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2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<sst xmlns="http://schemas.openxmlformats.org/spreadsheetml/2006/main" count="826" uniqueCount="315">
  <si>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</si>
  <si>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</si>
  <si>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</si>
  <si>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</si>
  <si>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</si>
  <si>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</si>
  <si>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</si>
  <si>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</si>
  <si>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</si>
  <si>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</si>
  <si>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</si>
  <si>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</si>
  <si>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</si>
  <si>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</si>
  <si>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</si>
  <si>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</si>
  <si>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</si>
  <si>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</si>
  <si>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</si>
  <si>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</si>
  <si>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</si>
  <si>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</si>
  <si>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</si>
  <si>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</si>
  <si>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</si>
  <si>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</si>
  <si>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</si>
  <si>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</si>
  <si>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</si>
  <si>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</si>
  <si>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</si>
  <si>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</si>
  <si>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</si>
  <si>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</si>
  <si>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</si>
  <si>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</si>
  <si>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</si>
  <si>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</si>
  <si>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</si>
  <si>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</si>
  <si>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</si>
  <si>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</si>
  <si>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</si>
  <si>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</si>
  <si>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</si>
  <si>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</si>
  <si>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</si>
  <si>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</si>
  <si>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</si>
  <si>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</si>
  <si>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</si>
  <si>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</si>
  <si>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</si>
  <si>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</si>
  <si>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</si>
  <si>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</si>
  <si>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</si>
  <si>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</si>
  <si>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</si>
  <si>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</si>
  <si>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</si>
  <si>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</si>
  <si>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</si>
  <si>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</si>
  <si>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</si>
  <si>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</si>
  <si>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</si>
  <si>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</si>
  <si>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</si>
  <si>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</si>
  <si>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</si>
  <si>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</si>
  <si>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</si>
  <si>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</si>
  <si>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</si>
  <si>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</si>
  <si>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</si>
  <si>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</si>
  <si>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</si>
  <si>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</si>
  <si>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</si>
  <si>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</si>
  <si>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</si>
  <si>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</si>
  <si>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</si>
  <si>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</si>
  <si>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</si>
  <si>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</si>
  <si>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</si>
  <si>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</si>
  <si>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</si>
  <si>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</si>
  <si>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</si>
  <si>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</si>
  <si>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</si>
  <si>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</si>
  <si>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</si>
  <si>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</si>
  <si>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</si>
  <si>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</si>
  <si>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</si>
  <si>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</si>
  <si>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</si>
  <si>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</si>
  <si>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</si>
  <si>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</si>
  <si>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</si>
  <si>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</si>
  <si>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</si>
  <si>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</si>
  <si>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</si>
  <si>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</si>
  <si>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</si>
  <si>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</si>
  <si>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</si>
  <si>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</si>
  <si>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</si>
  <si>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</si>
  <si>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</si>
  <si>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</si>
  <si>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</si>
  <si>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</si>
  <si>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</si>
  <si>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</si>
  <si>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</si>
  <si>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</si>
  <si>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</si>
  <si>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</si>
  <si>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</si>
  <si>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</si>
  <si>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</si>
  <si>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</si>
  <si>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</si>
  <si>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</si>
  <si>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</si>
  <si>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</si>
  <si>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</si>
  <si>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</si>
  <si>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</si>
  <si>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</si>
  <si>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</si>
  <si>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</si>
  <si>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</si>
  <si>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</si>
  <si>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</si>
  <si>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</si>
  <si>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</si>
  <si>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</si>
  <si>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</si>
  <si>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</si>
  <si>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</si>
  <si>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</si>
  <si>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</si>
  <si>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</si>
  <si>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</si>
  <si>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</si>
  <si>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</si>
  <si>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</si>
  <si>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</si>
  <si>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</si>
  <si>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</si>
  <si>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</si>
  <si>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</si>
  <si>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</si>
  <si>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</si>
  <si>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</si>
  <si>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</si>
  <si>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</si>
  <si>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</si>
  <si>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</si>
  <si>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</si>
  <si>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</si>
  <si>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</si>
  <si>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</si>
  <si>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</si>
  <si>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</si>
  <si>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</si>
  <si>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</si>
  <si>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</si>
  <si>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</si>
  <si>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</si>
  <si>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</si>
  <si>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</si>
  <si>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</si>
  <si>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</si>
  <si>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</si>
  <si>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</si>
  <si>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</si>
  <si>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</si>
  <si>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</si>
  <si>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</si>
  <si>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</si>
  <si>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</si>
  <si>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</si>
  <si>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</si>
  <si>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</si>
  <si>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</si>
  <si>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</si>
  <si>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</si>
  <si>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</si>
  <si>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</si>
  <si>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</si>
  <si>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</si>
  <si>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</si>
  <si>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</si>
  <si>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Агеева Н.В.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</si>
  <si>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</si>
  <si>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</si>
  <si>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</si>
  <si>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</si>
  <si>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</si>
  <si>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</si>
  <si>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</si>
  <si>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</si>
  <si>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</si>
  <si>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</si>
  <si>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</si>
  <si>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</si>
  <si>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</si>
  <si>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</si>
  <si>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</si>
  <si>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</si>
  <si>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</si>
  <si>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</si>
  <si>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</si>
  <si>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</si>
  <si>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</si>
  <si>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</si>
  <si>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</si>
  <si>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</si>
  <si>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</si>
  <si>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</si>
  <si>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</si>
  <si>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</si>
  <si>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</si>
  <si>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</si>
  <si>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</si>
  <si>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</si>
  <si>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</si>
  <si>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</si>
  <si>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</si>
  <si>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</si>
  <si>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</si>
  <si>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</si>
  <si>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</si>
  <si>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</si>
  <si>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</si>
  <si>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</si>
  <si>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</si>
  <si>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</si>
  <si>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</si>
  <si>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</si>
  <si>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</si>
  <si>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</si>
  <si>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</si>
  <si>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</si>
  <si>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</si>
  <si>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</si>
  <si>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</si>
  <si>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</si>
  <si>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</si>
  <si>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</si>
  <si>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</si>
  <si>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</si>
  <si>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</si>
  <si>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</si>
  <si>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</si>
  <si>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</si>
  <si>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</si>
  <si>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</si>
  <si>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</si>
  <si>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</si>
  <si>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</si>
  <si>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</si>
  <si>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</si>
  <si>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</si>
  <si>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</si>
  <si>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</si>
  <si>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</si>
  <si>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</si>
  <si>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</si>
  <si>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</si>
  <si>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</si>
  <si>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</si>
  <si>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</si>
  <si>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</si>
  <si>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</si>
  <si>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</si>
  <si>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</si>
  <si>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</si>
  <si>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об исполнении консолидированного бюджета Октябрьского района по состоянию на 01.02.2015</t>
  </si>
  <si>
    <t>План                 на 1 квартал 2015 года</t>
  </si>
  <si>
    <t xml:space="preserve">% исп-ия к плану на 1 квартал 2015 года </t>
  </si>
  <si>
    <t xml:space="preserve">% исп-ия к плану на 2015 год </t>
  </si>
  <si>
    <t>План на 2015 год</t>
  </si>
  <si>
    <t>Отчет  об  исполнении  консолидированного  бюджета  района  по  расходам на 1 февраля 2015 года</t>
  </si>
  <si>
    <t>исполнение на 01.02.2015</t>
  </si>
  <si>
    <t>исполнения на 01.02.2015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</si>
  <si>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</si>
  <si>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</si>
  <si>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</si>
  <si>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</si>
  <si>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</si>
  <si>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Субсидии  на софинансирование  расходов муниципальных образований на разработку  схем водоснабжения и водоотведения в рамках  подпрограммы "Создание условий для обеспечения качественными  коммунальными услугами"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(10.6.5436)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</si>
  <si>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</si>
  <si>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</si>
  <si>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</si>
  <si>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</si>
  <si>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</si>
  <si>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</si>
  <si>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</si>
  <si>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</si>
  <si>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</si>
  <si>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</si>
  <si>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 xml:space="preserve"> Заведующий отделом учета исполнения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</si>
</sst>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164" fontId="16" fillId="35" borderId="10" xfId="0" applyNumberFormat="1" applyFont="1" applyFill="1" applyBorder="1" applyAlignment="1">
      <alignment horizontal="center" vertical="center" wrapText="1"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6" fillId="0" borderId="10" xfId="0" applyNumberFormat="1" applyFont="1" applyFill="1" applyBorder="1" applyAlignment="1">
      <alignment vertical="top" wrapText="1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2" fillId="0" borderId="16" xfId="0" applyNumberFormat="1" applyFont="1" applyFill="1" applyBorder="1" applyAlignment="1">
      <alignment vertical="top"/>
    </xf>
    <xf numFmtId="165" fontId="22" fillId="0" borderId="16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3" fillId="0" borderId="10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2" fillId="0" borderId="0" xfId="0" applyNumberFormat="1" applyFont="1" applyFill="1" applyAlignment="1">
      <alignment vertical="top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65" fontId="23" fillId="0" borderId="17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19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49" fontId="22" fillId="0" borderId="0" xfId="0" applyNumberFormat="1" applyFont="1" applyFill="1" applyBorder="1" applyAlignment="1">
      <alignment horizontal="center" vertical="top"/>
    </xf>
    <xf numFmtId="165" fontId="26" fillId="0" borderId="14" xfId="0" applyNumberFormat="1" applyFont="1" applyFill="1" applyBorder="1" applyAlignment="1">
      <alignment horizontal="right" vertical="top" wrapText="1"/>
    </xf>
    <xf numFmtId="165" fontId="25" fillId="0" borderId="10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top"/>
    </xf>
    <xf numFmtId="165" fontId="26" fillId="0" borderId="10" xfId="0" applyNumberFormat="1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166" fontId="22" fillId="0" borderId="10" xfId="0" applyNumberFormat="1" applyFont="1" applyFill="1" applyBorder="1" applyAlignment="1">
      <alignment vertical="top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165" fontId="26" fillId="0" borderId="10" xfId="0" applyNumberFormat="1" applyFont="1" applyFill="1" applyBorder="1" applyAlignment="1">
      <alignment horizontal="right" vertical="top" wrapText="1"/>
    </xf>
    <xf numFmtId="49" fontId="26" fillId="0" borderId="14" xfId="0" applyNumberFormat="1" applyFont="1" applyFill="1" applyBorder="1" applyAlignment="1">
      <alignment horizontal="left" vertical="top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1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1" xfId="53" applyNumberFormat="1" applyFont="1" applyFill="1" applyBorder="1" applyAlignment="1">
      <alignment horizontal="center" vertical="center" wrapText="1"/>
      <protection/>
    </xf>
    <xf numFmtId="164" fontId="5" fillId="0" borderId="21" xfId="0" applyNumberFormat="1" applyFont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3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49" fontId="26" fillId="0" borderId="24" xfId="0" applyNumberFormat="1" applyFont="1" applyFill="1" applyBorder="1" applyAlignment="1">
      <alignment horizontal="center" vertical="top" wrapText="1"/>
    </xf>
    <xf numFmtId="49" fontId="26" fillId="0" borderId="25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44" fontId="26" fillId="0" borderId="24" xfId="42" applyFont="1" applyFill="1" applyBorder="1" applyAlignment="1">
      <alignment horizontal="center" vertical="top" wrapText="1"/>
    </xf>
    <xf numFmtId="44" fontId="26" fillId="0" borderId="25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165" fontId="23" fillId="0" borderId="25" xfId="0" applyNumberFormat="1" applyFont="1" applyFill="1" applyBorder="1" applyAlignment="1">
      <alignment horizontal="center" vertical="top"/>
    </xf>
    <xf numFmtId="165" fontId="23" fillId="0" borderId="26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0" applyNumberFormat="1" applyFont="1" applyBorder="1" applyAlignment="1">
      <alignment horizontal="center" vertical="center" wrapText="1"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0" fontId="20" fillId="36" borderId="23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0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1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1" xfId="53" applyNumberFormat="1" applyFont="1" applyFill="1" applyBorder="1" applyAlignment="1">
      <alignment horizontal="center" vertical="center" wrapText="1"/>
      <protection/>
    </xf>
    <xf numFmtId="164" fontId="16" fillId="0" borderId="21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0" fontId="22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24" fillId="35" borderId="24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 vertical="top" wrapText="1"/>
    </xf>
    <xf numFmtId="0" fontId="23" fillId="35" borderId="17" xfId="0" applyFont="1" applyFill="1" applyBorder="1" applyAlignment="1">
      <alignment horizontal="center" vertical="top"/>
    </xf>
    <xf numFmtId="0" fontId="24" fillId="35" borderId="18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 vertical="top" wrapText="1"/>
    </xf>
    <xf numFmtId="0" fontId="23" fillId="35" borderId="29" xfId="0" applyFont="1" applyFill="1" applyBorder="1" applyAlignment="1">
      <alignment horizontal="center" vertical="top"/>
    </xf>
    <xf numFmtId="0" fontId="23" fillId="35" borderId="16" xfId="0" applyFont="1" applyFill="1" applyBorder="1" applyAlignment="1">
      <alignment horizontal="center" vertical="top" wrapText="1"/>
    </xf>
    <xf numFmtId="0" fontId="23" fillId="35" borderId="1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165" fontId="26" fillId="0" borderId="10" xfId="0" applyNumberFormat="1" applyFont="1" applyFill="1" applyBorder="1" applyAlignment="1">
      <alignment vertical="top" wrapText="1" shrinkToFi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83" t="s">
        <v>170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84" t="s">
        <v>98</v>
      </c>
      <c r="B3" s="186" t="s">
        <v>97</v>
      </c>
      <c r="C3" s="188" t="s">
        <v>113</v>
      </c>
      <c r="D3" s="188"/>
      <c r="E3" s="188"/>
      <c r="F3" s="189" t="s">
        <v>112</v>
      </c>
      <c r="G3" s="189"/>
      <c r="H3" s="189"/>
      <c r="I3" s="190" t="s">
        <v>111</v>
      </c>
      <c r="J3" s="190"/>
      <c r="K3" s="191"/>
    </row>
    <row r="4" spans="1:11" ht="12.75">
      <c r="A4" s="185"/>
      <c r="B4" s="187"/>
      <c r="C4" s="175" t="s">
        <v>78</v>
      </c>
      <c r="D4" s="175" t="s">
        <v>171</v>
      </c>
      <c r="E4" s="175" t="s">
        <v>77</v>
      </c>
      <c r="F4" s="175" t="s">
        <v>78</v>
      </c>
      <c r="G4" s="192" t="s">
        <v>171</v>
      </c>
      <c r="H4" s="192" t="s">
        <v>77</v>
      </c>
      <c r="I4" s="193" t="s">
        <v>78</v>
      </c>
      <c r="J4" s="195" t="s">
        <v>173</v>
      </c>
      <c r="K4" s="178" t="s">
        <v>77</v>
      </c>
    </row>
    <row r="5" spans="1:11" ht="19.5" customHeight="1">
      <c r="A5" s="185"/>
      <c r="B5" s="187"/>
      <c r="C5" s="176"/>
      <c r="D5" s="175"/>
      <c r="E5" s="182"/>
      <c r="F5" s="176"/>
      <c r="G5" s="192"/>
      <c r="H5" s="176"/>
      <c r="I5" s="194"/>
      <c r="J5" s="195"/>
      <c r="K5" s="179"/>
    </row>
    <row r="6" spans="1:11" ht="12.75">
      <c r="A6" s="185"/>
      <c r="B6" s="180" t="s">
        <v>0</v>
      </c>
      <c r="C6" s="180"/>
      <c r="D6" s="180"/>
      <c r="E6" s="180"/>
      <c r="F6" s="180"/>
      <c r="G6" s="180"/>
      <c r="H6" s="180"/>
      <c r="I6" s="180"/>
      <c r="J6" s="180"/>
      <c r="K6" s="181"/>
    </row>
    <row r="7" spans="1:11" ht="12.75">
      <c r="A7" s="185"/>
      <c r="B7" s="180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2.75">
      <c r="A8" s="185"/>
      <c r="B8" s="180"/>
      <c r="C8" s="180"/>
      <c r="D8" s="180"/>
      <c r="E8" s="180"/>
      <c r="F8" s="180"/>
      <c r="G8" s="180"/>
      <c r="H8" s="180"/>
      <c r="I8" s="180"/>
      <c r="J8" s="180"/>
      <c r="K8" s="181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98" t="s">
        <v>20</v>
      </c>
      <c r="B20" s="199" t="s">
        <v>102</v>
      </c>
      <c r="C20" s="177">
        <f>C23+C24+C22</f>
        <v>25046.9</v>
      </c>
      <c r="D20" s="177">
        <f>D23+D24+D22</f>
        <v>0</v>
      </c>
      <c r="E20" s="177">
        <f>D20/C20*100</f>
        <v>0</v>
      </c>
      <c r="F20" s="177">
        <f>F23+F24+F22</f>
        <v>9535.5</v>
      </c>
      <c r="G20" s="177">
        <f>G23+G24+G22</f>
        <v>0</v>
      </c>
      <c r="H20" s="177">
        <f>G20/F20*100</f>
        <v>0</v>
      </c>
      <c r="I20" s="177">
        <f>I23+I24+I22</f>
        <v>32921.4</v>
      </c>
      <c r="J20" s="177">
        <f>SUM(J22:J24)</f>
        <v>0</v>
      </c>
      <c r="K20" s="177">
        <f>J20/I20*100</f>
        <v>0</v>
      </c>
    </row>
    <row r="21" spans="1:11" ht="12.75">
      <c r="A21" s="198"/>
      <c r="B21" s="199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96" t="s">
        <v>65</v>
      </c>
      <c r="B118" s="197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200" t="s">
        <v>124</v>
      </c>
      <c r="B124" s="200"/>
      <c r="C124" s="200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200" t="s">
        <v>125</v>
      </c>
      <c r="B125" s="200"/>
      <c r="C125" s="200"/>
      <c r="D125" s="42"/>
      <c r="E125" s="201" t="s">
        <v>66</v>
      </c>
      <c r="F125" s="201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200" t="s">
        <v>151</v>
      </c>
      <c r="B127" s="200"/>
      <c r="C127" s="200"/>
      <c r="D127" s="34"/>
      <c r="E127" s="201" t="s">
        <v>123</v>
      </c>
      <c r="F127" s="201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200" t="s">
        <v>154</v>
      </c>
      <c r="B129" s="200"/>
      <c r="C129" s="200"/>
      <c r="D129" s="34"/>
      <c r="E129" s="202" t="s">
        <v>155</v>
      </c>
      <c r="F129" s="202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5"/>
  <sheetViews>
    <sheetView zoomScalePageLayoutView="0" workbookViewId="0" topLeftCell="A193">
      <selection activeCell="J11" sqref="J11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3.75390625" style="0" customWidth="1"/>
    <col min="5" max="5" width="12.625" style="0" hidden="1" customWidth="1"/>
    <col min="6" max="6" width="10.25390625" style="0" customWidth="1"/>
    <col min="7" max="8" width="8.875" style="0" hidden="1" customWidth="1"/>
    <col min="9" max="9" width="7.125" style="0" hidden="1" customWidth="1"/>
    <col min="10" max="10" width="11.875" style="0" customWidth="1"/>
    <col min="11" max="11" width="0.2421875" style="0" hidden="1" customWidth="1"/>
    <col min="12" max="12" width="11.25390625" style="0" hidden="1" customWidth="1"/>
    <col min="13" max="13" width="10.125" style="0" hidden="1" customWidth="1"/>
    <col min="14" max="14" width="9.125" style="0" hidden="1" customWidth="1"/>
    <col min="15" max="15" width="10.625" style="0" hidden="1" customWidth="1"/>
    <col min="16" max="16" width="11.125" style="0" customWidth="1"/>
    <col min="17" max="17" width="10.875" style="0" customWidth="1"/>
  </cols>
  <sheetData>
    <row r="1" spans="1:17" ht="12.75">
      <c r="A1" s="215" t="s">
        <v>290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12"/>
      <c r="N2" s="112"/>
      <c r="O2" s="112"/>
      <c r="P2" s="112"/>
      <c r="Q2" s="112"/>
    </row>
    <row r="3" spans="1:17" ht="12.75">
      <c r="A3" s="245"/>
      <c r="B3" s="245"/>
      <c r="C3" s="246"/>
      <c r="D3" s="246"/>
      <c r="E3" s="246"/>
      <c r="F3" s="246"/>
      <c r="G3" s="246"/>
      <c r="H3" s="247"/>
      <c r="I3" s="247"/>
      <c r="J3" s="248" t="s">
        <v>211</v>
      </c>
      <c r="K3" s="247"/>
      <c r="L3" s="247"/>
      <c r="M3" s="112"/>
      <c r="N3" s="112"/>
      <c r="O3" s="112"/>
      <c r="P3" s="112"/>
      <c r="Q3" s="112"/>
    </row>
    <row r="4" spans="1:17" ht="12.75">
      <c r="A4" s="249" t="s">
        <v>212</v>
      </c>
      <c r="B4" s="249"/>
      <c r="C4" s="250"/>
      <c r="D4" s="251" t="s">
        <v>294</v>
      </c>
      <c r="E4" s="251" t="s">
        <v>291</v>
      </c>
      <c r="F4" s="252" t="s">
        <v>213</v>
      </c>
      <c r="G4" s="252" t="s">
        <v>214</v>
      </c>
      <c r="H4" s="252" t="s">
        <v>215</v>
      </c>
      <c r="I4" s="252" t="s">
        <v>216</v>
      </c>
      <c r="J4" s="251" t="s">
        <v>217</v>
      </c>
      <c r="K4" s="251" t="s">
        <v>217</v>
      </c>
      <c r="L4" s="251" t="s">
        <v>218</v>
      </c>
      <c r="M4" s="251" t="s">
        <v>219</v>
      </c>
      <c r="N4" s="251" t="s">
        <v>220</v>
      </c>
      <c r="O4" s="251" t="s">
        <v>221</v>
      </c>
      <c r="P4" s="251" t="s">
        <v>292</v>
      </c>
      <c r="Q4" s="251" t="s">
        <v>293</v>
      </c>
    </row>
    <row r="5" spans="1:17" ht="12.75">
      <c r="A5" s="253" t="s">
        <v>222</v>
      </c>
      <c r="B5" s="253"/>
      <c r="C5" s="254" t="s">
        <v>223</v>
      </c>
      <c r="D5" s="255"/>
      <c r="E5" s="255"/>
      <c r="F5" s="256"/>
      <c r="G5" s="256"/>
      <c r="H5" s="256"/>
      <c r="I5" s="256"/>
      <c r="J5" s="255"/>
      <c r="K5" s="255"/>
      <c r="L5" s="255"/>
      <c r="M5" s="255"/>
      <c r="N5" s="255"/>
      <c r="O5" s="255"/>
      <c r="P5" s="255"/>
      <c r="Q5" s="255"/>
    </row>
    <row r="6" spans="1:17" ht="12.75">
      <c r="A6" s="253"/>
      <c r="B6" s="253"/>
      <c r="C6" s="254"/>
      <c r="D6" s="257"/>
      <c r="E6" s="257"/>
      <c r="F6" s="258"/>
      <c r="G6" s="258"/>
      <c r="H6" s="258"/>
      <c r="I6" s="258"/>
      <c r="J6" s="257"/>
      <c r="K6" s="257"/>
      <c r="L6" s="257"/>
      <c r="M6" s="257"/>
      <c r="N6" s="257"/>
      <c r="O6" s="257"/>
      <c r="P6" s="257"/>
      <c r="Q6" s="257"/>
    </row>
    <row r="7" spans="1:17" ht="12.75">
      <c r="A7" s="259" t="s">
        <v>224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112"/>
      <c r="Q7" s="112"/>
    </row>
    <row r="8" spans="1:17" ht="12.75">
      <c r="A8" s="151" t="s">
        <v>225</v>
      </c>
      <c r="B8" s="151"/>
      <c r="C8" s="156" t="s">
        <v>226</v>
      </c>
      <c r="D8" s="145">
        <f aca="true" t="shared" si="0" ref="D8:J8">D9+D11+D12+D13+D15+D16+D18+D20+D14+D21+D17+D19+D10</f>
        <v>649949.9</v>
      </c>
      <c r="E8" s="145">
        <f t="shared" si="0"/>
        <v>140525.90000000002</v>
      </c>
      <c r="F8" s="145">
        <f t="shared" si="0"/>
        <v>140525.90000000002</v>
      </c>
      <c r="G8" s="145">
        <f t="shared" si="0"/>
        <v>172421</v>
      </c>
      <c r="H8" s="145">
        <f t="shared" si="0"/>
        <v>152550.80000000002</v>
      </c>
      <c r="I8" s="145">
        <f t="shared" si="0"/>
        <v>184452.2</v>
      </c>
      <c r="J8" s="145">
        <f t="shared" si="0"/>
        <v>50025</v>
      </c>
      <c r="K8" s="145" t="e">
        <f>K9+K11+K12+K13+K15+K16+K18+K20+K14+K21+K17+K19</f>
        <v>#REF!</v>
      </c>
      <c r="L8" s="145">
        <f aca="true" t="shared" si="1" ref="L8:L20">J8/H8*100</f>
        <v>32.79235507122873</v>
      </c>
      <c r="M8" s="157"/>
      <c r="N8" s="157"/>
      <c r="O8" s="145">
        <f>J8*100/I8</f>
        <v>27.120847569180523</v>
      </c>
      <c r="P8" s="145">
        <f>J8*100/E8</f>
        <v>35.598419935399804</v>
      </c>
      <c r="Q8" s="136">
        <f>J8*100/D8</f>
        <v>7.69674708773707</v>
      </c>
    </row>
    <row r="9" spans="1:17" ht="12.75">
      <c r="A9" s="117" t="s">
        <v>227</v>
      </c>
      <c r="B9" s="117"/>
      <c r="C9" s="137" t="s">
        <v>228</v>
      </c>
      <c r="D9" s="139">
        <f>F9+G9+H9+I9</f>
        <v>475656.4</v>
      </c>
      <c r="E9" s="139">
        <f>F9</f>
        <v>109917.70000000001</v>
      </c>
      <c r="F9" s="139">
        <f>30973.4+37107.2+41837.1</f>
        <v>109917.70000000001</v>
      </c>
      <c r="G9" s="139">
        <v>125600.4</v>
      </c>
      <c r="H9" s="143">
        <v>109440.1</v>
      </c>
      <c r="I9" s="142">
        <v>130698.2</v>
      </c>
      <c r="J9" s="142">
        <v>37613.5</v>
      </c>
      <c r="K9" s="143" t="e">
        <f>J9/#REF!*100</f>
        <v>#REF!</v>
      </c>
      <c r="L9" s="143">
        <f t="shared" si="1"/>
        <v>34.36902926806536</v>
      </c>
      <c r="M9" s="133"/>
      <c r="N9" s="133"/>
      <c r="O9" s="143">
        <f aca="true" t="shared" si="2" ref="O9:O76">J9*100/I9</f>
        <v>28.778896725433096</v>
      </c>
      <c r="P9" s="143">
        <f aca="true" t="shared" si="3" ref="P9:P73">J9*100/E9</f>
        <v>34.2196934615626</v>
      </c>
      <c r="Q9" s="142">
        <f aca="true" t="shared" si="4" ref="Q9:Q73">J9*100/D9</f>
        <v>7.907703964458378</v>
      </c>
    </row>
    <row r="10" spans="1:17" ht="12.75">
      <c r="A10" s="117" t="s">
        <v>229</v>
      </c>
      <c r="B10" s="117"/>
      <c r="C10" s="116" t="s">
        <v>230</v>
      </c>
      <c r="D10" s="138">
        <f aca="true" t="shared" si="5" ref="D10:D26">F10+G10+H10+I10</f>
        <v>33926</v>
      </c>
      <c r="E10" s="138">
        <f aca="true" t="shared" si="6" ref="E10:E25">F10</f>
        <v>8481.5</v>
      </c>
      <c r="F10" s="138">
        <v>8481.5</v>
      </c>
      <c r="G10" s="138">
        <v>8481.5</v>
      </c>
      <c r="H10" s="140">
        <v>8481.5</v>
      </c>
      <c r="I10" s="141">
        <v>8481.5</v>
      </c>
      <c r="J10" s="141">
        <v>3142.4</v>
      </c>
      <c r="K10" s="143"/>
      <c r="L10" s="143"/>
      <c r="M10" s="133"/>
      <c r="N10" s="133"/>
      <c r="O10" s="140"/>
      <c r="P10" s="143">
        <f t="shared" si="3"/>
        <v>37.0500501090609</v>
      </c>
      <c r="Q10" s="141">
        <f t="shared" si="4"/>
        <v>9.262512527265224</v>
      </c>
    </row>
    <row r="11" spans="1:17" ht="12.75">
      <c r="A11" s="117" t="s">
        <v>231</v>
      </c>
      <c r="B11" s="117"/>
      <c r="C11" s="116" t="s">
        <v>232</v>
      </c>
      <c r="D11" s="138">
        <f t="shared" si="5"/>
        <v>31247.1</v>
      </c>
      <c r="E11" s="138">
        <f t="shared" si="6"/>
        <v>7627.2</v>
      </c>
      <c r="F11" s="138">
        <v>7627.2</v>
      </c>
      <c r="G11" s="138">
        <v>7876.7</v>
      </c>
      <c r="H11" s="140">
        <v>7906.7</v>
      </c>
      <c r="I11" s="141">
        <v>7836.5</v>
      </c>
      <c r="J11" s="141">
        <v>3981.7</v>
      </c>
      <c r="K11" s="143" t="e">
        <f>J11/#REF!*100</f>
        <v>#REF!</v>
      </c>
      <c r="L11" s="143">
        <f t="shared" si="1"/>
        <v>50.35855666713041</v>
      </c>
      <c r="M11" s="133"/>
      <c r="N11" s="133"/>
      <c r="O11" s="140">
        <f t="shared" si="2"/>
        <v>50.809672685510115</v>
      </c>
      <c r="P11" s="143">
        <f t="shared" si="3"/>
        <v>52.20395426893224</v>
      </c>
      <c r="Q11" s="141">
        <f t="shared" si="4"/>
        <v>12.742622515369426</v>
      </c>
    </row>
    <row r="12" spans="1:17" ht="12.75">
      <c r="A12" s="117" t="s">
        <v>233</v>
      </c>
      <c r="B12" s="117"/>
      <c r="C12" s="116" t="s">
        <v>234</v>
      </c>
      <c r="D12" s="138">
        <f t="shared" si="5"/>
        <v>3100</v>
      </c>
      <c r="E12" s="138">
        <f t="shared" si="6"/>
        <v>775</v>
      </c>
      <c r="F12" s="138">
        <v>775</v>
      </c>
      <c r="G12" s="138">
        <v>775</v>
      </c>
      <c r="H12" s="140">
        <v>775</v>
      </c>
      <c r="I12" s="141">
        <v>775</v>
      </c>
      <c r="J12" s="141">
        <v>719.3</v>
      </c>
      <c r="K12" s="143" t="e">
        <f>J12/#REF!*100</f>
        <v>#REF!</v>
      </c>
      <c r="L12" s="143">
        <f t="shared" si="1"/>
        <v>92.81290322580644</v>
      </c>
      <c r="M12" s="133"/>
      <c r="N12" s="133"/>
      <c r="O12" s="140">
        <f t="shared" si="2"/>
        <v>92.81290322580645</v>
      </c>
      <c r="P12" s="143">
        <f t="shared" si="3"/>
        <v>92.81290322580645</v>
      </c>
      <c r="Q12" s="141">
        <f t="shared" si="4"/>
        <v>23.203225806451613</v>
      </c>
    </row>
    <row r="13" spans="1:17" ht="12.75">
      <c r="A13" s="117" t="s">
        <v>235</v>
      </c>
      <c r="B13" s="117"/>
      <c r="C13" s="116" t="s">
        <v>236</v>
      </c>
      <c r="D13" s="138">
        <f t="shared" si="5"/>
        <v>1819</v>
      </c>
      <c r="E13" s="138">
        <f t="shared" si="6"/>
        <v>453</v>
      </c>
      <c r="F13" s="138">
        <v>453</v>
      </c>
      <c r="G13" s="138">
        <v>456</v>
      </c>
      <c r="H13" s="140">
        <v>455</v>
      </c>
      <c r="I13" s="141">
        <v>455</v>
      </c>
      <c r="J13" s="141">
        <v>209.4</v>
      </c>
      <c r="K13" s="143" t="e">
        <f>J13/#REF!*100</f>
        <v>#REF!</v>
      </c>
      <c r="L13" s="143">
        <f t="shared" si="1"/>
        <v>46.02197802197802</v>
      </c>
      <c r="M13" s="133"/>
      <c r="N13" s="133"/>
      <c r="O13" s="140">
        <f t="shared" si="2"/>
        <v>46.02197802197802</v>
      </c>
      <c r="P13" s="143">
        <f t="shared" si="3"/>
        <v>46.22516556291391</v>
      </c>
      <c r="Q13" s="141">
        <f t="shared" si="4"/>
        <v>11.511819681143486</v>
      </c>
    </row>
    <row r="14" spans="1:17" ht="24">
      <c r="A14" s="117" t="s">
        <v>237</v>
      </c>
      <c r="B14" s="117"/>
      <c r="C14" s="116" t="s">
        <v>238</v>
      </c>
      <c r="D14" s="138">
        <f t="shared" si="5"/>
        <v>0</v>
      </c>
      <c r="E14" s="138">
        <f t="shared" si="6"/>
        <v>0</v>
      </c>
      <c r="F14" s="138"/>
      <c r="G14" s="138"/>
      <c r="H14" s="140"/>
      <c r="I14" s="141"/>
      <c r="J14" s="141"/>
      <c r="K14" s="143" t="e">
        <f>J14/#REF!*100</f>
        <v>#REF!</v>
      </c>
      <c r="L14" s="143"/>
      <c r="M14" s="133"/>
      <c r="N14" s="133"/>
      <c r="O14" s="140" t="e">
        <f t="shared" si="2"/>
        <v>#DIV/0!</v>
      </c>
      <c r="P14" s="143"/>
      <c r="Q14" s="141"/>
    </row>
    <row r="15" spans="1:17" ht="24">
      <c r="A15" s="118" t="s">
        <v>239</v>
      </c>
      <c r="B15" s="118"/>
      <c r="C15" s="116" t="s">
        <v>240</v>
      </c>
      <c r="D15" s="138">
        <f t="shared" si="5"/>
        <v>71746</v>
      </c>
      <c r="E15" s="138">
        <f t="shared" si="6"/>
        <v>5684.1</v>
      </c>
      <c r="F15" s="138">
        <v>5684.1</v>
      </c>
      <c r="G15" s="138">
        <v>18446.4</v>
      </c>
      <c r="H15" s="140">
        <v>18794.9</v>
      </c>
      <c r="I15" s="141">
        <v>28820.6</v>
      </c>
      <c r="J15" s="141">
        <v>880.9</v>
      </c>
      <c r="K15" s="143" t="e">
        <f>J15/#REF!*100</f>
        <v>#REF!</v>
      </c>
      <c r="L15" s="143">
        <f t="shared" si="1"/>
        <v>4.686909746793012</v>
      </c>
      <c r="M15" s="133"/>
      <c r="N15" s="133"/>
      <c r="O15" s="140">
        <f t="shared" si="2"/>
        <v>3.0564943130954942</v>
      </c>
      <c r="P15" s="143">
        <f t="shared" si="3"/>
        <v>15.497616157351207</v>
      </c>
      <c r="Q15" s="141">
        <f t="shared" si="4"/>
        <v>1.22780364062108</v>
      </c>
    </row>
    <row r="16" spans="1:17" ht="12.75">
      <c r="A16" s="119" t="s">
        <v>241</v>
      </c>
      <c r="B16" s="119"/>
      <c r="C16" s="116" t="s">
        <v>242</v>
      </c>
      <c r="D16" s="138">
        <f t="shared" si="5"/>
        <v>9202.4</v>
      </c>
      <c r="E16" s="138">
        <f t="shared" si="6"/>
        <v>2300.6</v>
      </c>
      <c r="F16" s="138">
        <v>2300.6</v>
      </c>
      <c r="G16" s="138">
        <v>2300.6</v>
      </c>
      <c r="H16" s="140">
        <v>2300.6</v>
      </c>
      <c r="I16" s="141">
        <v>2300.6</v>
      </c>
      <c r="J16" s="141">
        <v>2361</v>
      </c>
      <c r="K16" s="143" t="e">
        <f>J16/#REF!*100</f>
        <v>#REF!</v>
      </c>
      <c r="L16" s="143">
        <f t="shared" si="1"/>
        <v>102.62540206902548</v>
      </c>
      <c r="M16" s="133"/>
      <c r="N16" s="133"/>
      <c r="O16" s="140">
        <f t="shared" si="2"/>
        <v>102.62540206902547</v>
      </c>
      <c r="P16" s="143">
        <f t="shared" si="3"/>
        <v>102.62540206902547</v>
      </c>
      <c r="Q16" s="141">
        <f t="shared" si="4"/>
        <v>25.656350517256367</v>
      </c>
    </row>
    <row r="17" spans="1:17" ht="24">
      <c r="A17" s="120" t="s">
        <v>243</v>
      </c>
      <c r="B17" s="120"/>
      <c r="C17" s="116" t="s">
        <v>244</v>
      </c>
      <c r="D17" s="138">
        <f t="shared" si="5"/>
        <v>6751</v>
      </c>
      <c r="E17" s="138">
        <f t="shared" si="6"/>
        <v>1519.5</v>
      </c>
      <c r="F17" s="138">
        <v>1519.5</v>
      </c>
      <c r="G17" s="138">
        <v>1519.5</v>
      </c>
      <c r="H17" s="140">
        <v>1519.5</v>
      </c>
      <c r="I17" s="141">
        <v>2192.5</v>
      </c>
      <c r="J17" s="141">
        <v>40.9</v>
      </c>
      <c r="K17" s="143" t="e">
        <f>J17/#REF!*100</f>
        <v>#REF!</v>
      </c>
      <c r="L17" s="143">
        <f t="shared" si="1"/>
        <v>2.6916748930569265</v>
      </c>
      <c r="M17" s="133"/>
      <c r="N17" s="133"/>
      <c r="O17" s="140">
        <f t="shared" si="2"/>
        <v>1.8654503990877993</v>
      </c>
      <c r="P17" s="143">
        <f t="shared" si="3"/>
        <v>2.6916748930569265</v>
      </c>
      <c r="Q17" s="141">
        <f t="shared" si="4"/>
        <v>0.6058361724189009</v>
      </c>
    </row>
    <row r="18" spans="1:17" ht="24">
      <c r="A18" s="120" t="s">
        <v>245</v>
      </c>
      <c r="B18" s="120"/>
      <c r="C18" s="116" t="s">
        <v>246</v>
      </c>
      <c r="D18" s="138">
        <f t="shared" si="5"/>
        <v>15360</v>
      </c>
      <c r="E18" s="138">
        <f t="shared" si="6"/>
        <v>3493.1</v>
      </c>
      <c r="F18" s="138">
        <v>3493.1</v>
      </c>
      <c r="G18" s="138">
        <v>6681</v>
      </c>
      <c r="H18" s="140">
        <v>2593.6</v>
      </c>
      <c r="I18" s="141">
        <v>2592.3</v>
      </c>
      <c r="J18" s="141">
        <v>1118.6</v>
      </c>
      <c r="K18" s="143" t="e">
        <f>J18/#REF!*100</f>
        <v>#REF!</v>
      </c>
      <c r="L18" s="143">
        <f t="shared" si="1"/>
        <v>43.129241209130164</v>
      </c>
      <c r="M18" s="133"/>
      <c r="N18" s="133"/>
      <c r="O18" s="140">
        <f t="shared" si="2"/>
        <v>43.150869883886884</v>
      </c>
      <c r="P18" s="143">
        <f t="shared" si="3"/>
        <v>32.02313131602301</v>
      </c>
      <c r="Q18" s="141">
        <f t="shared" si="4"/>
        <v>7.282552083333332</v>
      </c>
    </row>
    <row r="19" spans="1:17" ht="12.75">
      <c r="A19" s="120" t="s">
        <v>247</v>
      </c>
      <c r="B19" s="120"/>
      <c r="C19" s="116" t="s">
        <v>248</v>
      </c>
      <c r="D19" s="138">
        <f t="shared" si="5"/>
        <v>7</v>
      </c>
      <c r="E19" s="138">
        <f t="shared" si="6"/>
        <v>2</v>
      </c>
      <c r="F19" s="138">
        <v>2</v>
      </c>
      <c r="G19" s="138">
        <v>1</v>
      </c>
      <c r="H19" s="140">
        <v>1</v>
      </c>
      <c r="I19" s="141">
        <v>3</v>
      </c>
      <c r="J19" s="141"/>
      <c r="K19" s="143" t="e">
        <f>J19/#REF!*100</f>
        <v>#REF!</v>
      </c>
      <c r="L19" s="143">
        <f t="shared" si="1"/>
        <v>0</v>
      </c>
      <c r="M19" s="133"/>
      <c r="N19" s="133"/>
      <c r="O19" s="140">
        <f t="shared" si="2"/>
        <v>0</v>
      </c>
      <c r="P19" s="143">
        <f t="shared" si="3"/>
        <v>0</v>
      </c>
      <c r="Q19" s="141">
        <f t="shared" si="4"/>
        <v>0</v>
      </c>
    </row>
    <row r="20" spans="1:17" ht="12.75">
      <c r="A20" s="115" t="s">
        <v>249</v>
      </c>
      <c r="B20" s="115"/>
      <c r="C20" s="116" t="s">
        <v>250</v>
      </c>
      <c r="D20" s="138">
        <f t="shared" si="5"/>
        <v>1135</v>
      </c>
      <c r="E20" s="138">
        <f t="shared" si="6"/>
        <v>272.2</v>
      </c>
      <c r="F20" s="138">
        <v>272.2</v>
      </c>
      <c r="G20" s="138">
        <v>282.9</v>
      </c>
      <c r="H20" s="140">
        <v>282.9</v>
      </c>
      <c r="I20" s="141">
        <v>297</v>
      </c>
      <c r="J20" s="141">
        <v>135.2</v>
      </c>
      <c r="K20" s="143" t="e">
        <f>J20/#REF!*100</f>
        <v>#REF!</v>
      </c>
      <c r="L20" s="143">
        <f t="shared" si="1"/>
        <v>47.790738776952985</v>
      </c>
      <c r="M20" s="133"/>
      <c r="N20" s="133"/>
      <c r="O20" s="140">
        <f t="shared" si="2"/>
        <v>45.521885521885515</v>
      </c>
      <c r="P20" s="143">
        <f t="shared" si="3"/>
        <v>49.66936076414401</v>
      </c>
      <c r="Q20" s="141">
        <f t="shared" si="4"/>
        <v>11.911894273127752</v>
      </c>
    </row>
    <row r="21" spans="1:17" ht="12.75">
      <c r="A21" s="121" t="s">
        <v>251</v>
      </c>
      <c r="B21" s="122"/>
      <c r="C21" s="123" t="s">
        <v>252</v>
      </c>
      <c r="D21" s="138">
        <f t="shared" si="5"/>
        <v>0</v>
      </c>
      <c r="E21" s="138">
        <f t="shared" si="6"/>
        <v>0</v>
      </c>
      <c r="F21" s="138"/>
      <c r="G21" s="138"/>
      <c r="H21" s="140"/>
      <c r="I21" s="141"/>
      <c r="J21" s="141">
        <v>-177.9</v>
      </c>
      <c r="K21" s="143"/>
      <c r="L21" s="143"/>
      <c r="M21" s="133"/>
      <c r="N21" s="133"/>
      <c r="O21" s="140"/>
      <c r="P21" s="143"/>
      <c r="Q21" s="141"/>
    </row>
    <row r="22" spans="1:17" ht="12.75">
      <c r="A22" s="113" t="s">
        <v>253</v>
      </c>
      <c r="B22" s="113"/>
      <c r="C22" s="124" t="s">
        <v>254</v>
      </c>
      <c r="D22" s="144">
        <f aca="true" t="shared" si="7" ref="D22:J22">D23+D24+D26+D25</f>
        <v>2690025.5999999996</v>
      </c>
      <c r="E22" s="144">
        <f>E23+E24+E26+E25</f>
        <v>532466.9</v>
      </c>
      <c r="F22" s="144">
        <f t="shared" si="7"/>
        <v>532466.9</v>
      </c>
      <c r="G22" s="144">
        <f t="shared" si="7"/>
        <v>759064.9</v>
      </c>
      <c r="H22" s="144">
        <f t="shared" si="7"/>
        <v>606104.1</v>
      </c>
      <c r="I22" s="144">
        <f t="shared" si="7"/>
        <v>792389.7</v>
      </c>
      <c r="J22" s="144">
        <f t="shared" si="7"/>
        <v>89047.20000000001</v>
      </c>
      <c r="K22" s="135" t="e">
        <f>J22/#REF!*100</f>
        <v>#REF!</v>
      </c>
      <c r="L22" s="135">
        <f aca="true" t="shared" si="8" ref="L22:L27">J22/H22*100</f>
        <v>14.691733647734772</v>
      </c>
      <c r="M22" s="133"/>
      <c r="N22" s="133"/>
      <c r="O22" s="145">
        <f t="shared" si="2"/>
        <v>11.237803823043134</v>
      </c>
      <c r="P22" s="135">
        <f t="shared" si="3"/>
        <v>16.723518400862105</v>
      </c>
      <c r="Q22" s="136">
        <f t="shared" si="4"/>
        <v>3.3102733297408036</v>
      </c>
    </row>
    <row r="23" spans="1:17" ht="24">
      <c r="A23" s="125" t="s">
        <v>255</v>
      </c>
      <c r="B23" s="117"/>
      <c r="C23" s="126" t="s">
        <v>256</v>
      </c>
      <c r="D23" s="138">
        <f t="shared" si="5"/>
        <v>2670025.5999999996</v>
      </c>
      <c r="E23" s="138">
        <f t="shared" si="6"/>
        <v>531666.9</v>
      </c>
      <c r="F23" s="138">
        <v>531666.9</v>
      </c>
      <c r="G23" s="138">
        <v>752464.9</v>
      </c>
      <c r="H23" s="141">
        <v>599504.1</v>
      </c>
      <c r="I23" s="141">
        <v>786389.7</v>
      </c>
      <c r="J23" s="141">
        <v>111900.6</v>
      </c>
      <c r="K23" s="143" t="e">
        <f>J23/#REF!*100</f>
        <v>#REF!</v>
      </c>
      <c r="L23" s="143">
        <f t="shared" si="8"/>
        <v>18.665527058113533</v>
      </c>
      <c r="M23" s="133"/>
      <c r="N23" s="133"/>
      <c r="O23" s="140">
        <f t="shared" si="2"/>
        <v>14.229662468875166</v>
      </c>
      <c r="P23" s="143">
        <f t="shared" si="3"/>
        <v>21.04712555925524</v>
      </c>
      <c r="Q23" s="141">
        <f t="shared" si="4"/>
        <v>4.190993524556469</v>
      </c>
    </row>
    <row r="24" spans="1:17" ht="12.75">
      <c r="A24" s="125" t="s">
        <v>257</v>
      </c>
      <c r="B24" s="125"/>
      <c r="C24" s="127" t="s">
        <v>258</v>
      </c>
      <c r="D24" s="138">
        <f t="shared" si="5"/>
        <v>20000</v>
      </c>
      <c r="E24" s="138">
        <f t="shared" si="6"/>
        <v>800</v>
      </c>
      <c r="F24" s="165">
        <v>800</v>
      </c>
      <c r="G24" s="165">
        <v>6600</v>
      </c>
      <c r="H24" s="141">
        <v>6600</v>
      </c>
      <c r="I24" s="141">
        <v>6000</v>
      </c>
      <c r="J24" s="141">
        <v>1539</v>
      </c>
      <c r="K24" s="143" t="e">
        <f>J24/#REF!*100</f>
        <v>#REF!</v>
      </c>
      <c r="L24" s="143">
        <f t="shared" si="8"/>
        <v>23.31818181818182</v>
      </c>
      <c r="M24" s="133"/>
      <c r="N24" s="133"/>
      <c r="O24" s="140">
        <f t="shared" si="2"/>
        <v>25.65</v>
      </c>
      <c r="P24" s="143">
        <f t="shared" si="3"/>
        <v>192.375</v>
      </c>
      <c r="Q24" s="141">
        <f t="shared" si="4"/>
        <v>7.695</v>
      </c>
    </row>
    <row r="25" spans="1:17" ht="66.75" customHeight="1">
      <c r="A25" s="125" t="s">
        <v>259</v>
      </c>
      <c r="B25" s="128" t="s">
        <v>260</v>
      </c>
      <c r="C25" s="123" t="s">
        <v>260</v>
      </c>
      <c r="D25" s="138">
        <f t="shared" si="5"/>
        <v>0</v>
      </c>
      <c r="E25" s="138">
        <f t="shared" si="6"/>
        <v>0</v>
      </c>
      <c r="F25" s="138"/>
      <c r="G25" s="138"/>
      <c r="H25" s="141"/>
      <c r="I25" s="141"/>
      <c r="J25" s="141"/>
      <c r="K25" s="143" t="e">
        <f>J25/#REF!*100</f>
        <v>#REF!</v>
      </c>
      <c r="L25" s="143"/>
      <c r="M25" s="133"/>
      <c r="N25" s="133"/>
      <c r="O25" s="140" t="e">
        <f t="shared" si="2"/>
        <v>#DIV/0!</v>
      </c>
      <c r="P25" s="143"/>
      <c r="Q25" s="141"/>
    </row>
    <row r="26" spans="1:17" ht="36">
      <c r="A26" s="125" t="s">
        <v>261</v>
      </c>
      <c r="B26" s="129"/>
      <c r="C26" s="130" t="s">
        <v>262</v>
      </c>
      <c r="D26" s="138">
        <f t="shared" si="5"/>
        <v>0</v>
      </c>
      <c r="E26" s="138">
        <f>F26</f>
        <v>0</v>
      </c>
      <c r="F26" s="260"/>
      <c r="G26" s="260"/>
      <c r="H26" s="141"/>
      <c r="I26" s="141"/>
      <c r="J26" s="141">
        <v>-24392.4</v>
      </c>
      <c r="K26" s="143" t="e">
        <f>J26/#REF!*100</f>
        <v>#REF!</v>
      </c>
      <c r="L26" s="143"/>
      <c r="M26" s="133"/>
      <c r="N26" s="133"/>
      <c r="O26" s="140" t="e">
        <f t="shared" si="2"/>
        <v>#DIV/0!</v>
      </c>
      <c r="P26" s="143"/>
      <c r="Q26" s="141"/>
    </row>
    <row r="27" spans="1:17" ht="12.75">
      <c r="A27" s="115"/>
      <c r="B27" s="131"/>
      <c r="C27" s="132" t="s">
        <v>263</v>
      </c>
      <c r="D27" s="136">
        <f aca="true" t="shared" si="9" ref="D27:J27">D22+D8</f>
        <v>3339975.4999999995</v>
      </c>
      <c r="E27" s="136">
        <f t="shared" si="9"/>
        <v>672992.8</v>
      </c>
      <c r="F27" s="136">
        <f t="shared" si="9"/>
        <v>672992.8</v>
      </c>
      <c r="G27" s="136">
        <f t="shared" si="9"/>
        <v>931485.9</v>
      </c>
      <c r="H27" s="136">
        <f t="shared" si="9"/>
        <v>758654.9</v>
      </c>
      <c r="I27" s="136">
        <f t="shared" si="9"/>
        <v>976841.8999999999</v>
      </c>
      <c r="J27" s="136">
        <f t="shared" si="9"/>
        <v>139072.2</v>
      </c>
      <c r="K27" s="135" t="e">
        <f>J27/#REF!*100</f>
        <v>#REF!</v>
      </c>
      <c r="L27" s="135">
        <f t="shared" si="8"/>
        <v>18.3314178818327</v>
      </c>
      <c r="M27" s="133"/>
      <c r="N27" s="147" t="e">
        <f>I27+#REF!+#REF!</f>
        <v>#REF!</v>
      </c>
      <c r="O27" s="145">
        <f t="shared" si="2"/>
        <v>14.236920017456256</v>
      </c>
      <c r="P27" s="135">
        <f t="shared" si="3"/>
        <v>20.6647381665896</v>
      </c>
      <c r="Q27" s="136">
        <f t="shared" si="4"/>
        <v>4.1638688667027655</v>
      </c>
    </row>
    <row r="28" spans="1:17" ht="12.75">
      <c r="A28" s="203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5"/>
      <c r="M28" s="133"/>
      <c r="N28" s="133"/>
      <c r="O28" s="134"/>
      <c r="P28" s="135"/>
      <c r="Q28" s="136"/>
    </row>
    <row r="29" spans="1:17" ht="12.75">
      <c r="A29" s="209" t="s">
        <v>264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135"/>
      <c r="Q29" s="136"/>
    </row>
    <row r="30" spans="1:17" ht="12.75">
      <c r="A30" s="113" t="s">
        <v>225</v>
      </c>
      <c r="B30" s="113"/>
      <c r="C30" s="114" t="s">
        <v>226</v>
      </c>
      <c r="D30" s="135">
        <f aca="true" t="shared" si="10" ref="D30:I30">D31+D32+D34+D36+D33+D35+D37</f>
        <v>16146.5</v>
      </c>
      <c r="E30" s="135">
        <f>E31+E32+E34+E36+E33+E35+E37</f>
        <v>4036.6</v>
      </c>
      <c r="F30" s="135">
        <f t="shared" si="10"/>
        <v>4036.6</v>
      </c>
      <c r="G30" s="135">
        <f t="shared" si="10"/>
        <v>4036.6</v>
      </c>
      <c r="H30" s="135">
        <f t="shared" si="10"/>
        <v>4036.6</v>
      </c>
      <c r="I30" s="135">
        <f t="shared" si="10"/>
        <v>4036.7</v>
      </c>
      <c r="J30" s="135">
        <f>J31+J32+J34+J36+J33+J35+J37</f>
        <v>830.2000000000002</v>
      </c>
      <c r="K30" s="135" t="e">
        <f>J30/#REF!*100</f>
        <v>#REF!</v>
      </c>
      <c r="L30" s="135">
        <f aca="true" t="shared" si="11" ref="L30:L36">J30/H30*100</f>
        <v>20.56681365505624</v>
      </c>
      <c r="M30" s="133"/>
      <c r="N30" s="133"/>
      <c r="O30" s="135">
        <f t="shared" si="2"/>
        <v>20.566304159338078</v>
      </c>
      <c r="P30" s="135">
        <f t="shared" si="3"/>
        <v>20.56681365505624</v>
      </c>
      <c r="Q30" s="136">
        <f t="shared" si="4"/>
        <v>5.141671569690026</v>
      </c>
    </row>
    <row r="31" spans="1:17" ht="12.75">
      <c r="A31" s="117" t="s">
        <v>227</v>
      </c>
      <c r="B31" s="117"/>
      <c r="C31" s="137" t="s">
        <v>228</v>
      </c>
      <c r="D31" s="138">
        <f aca="true" t="shared" si="12" ref="D31:D36">F31+G31+H31+I31</f>
        <v>14100</v>
      </c>
      <c r="E31" s="138">
        <f aca="true" t="shared" si="13" ref="E31:E40">F31</f>
        <v>3525</v>
      </c>
      <c r="F31" s="139">
        <v>3525</v>
      </c>
      <c r="G31" s="139">
        <v>3525</v>
      </c>
      <c r="H31" s="140">
        <v>3525</v>
      </c>
      <c r="I31" s="141">
        <v>3525</v>
      </c>
      <c r="J31" s="142">
        <v>828.2</v>
      </c>
      <c r="K31" s="143" t="e">
        <f>J31/#REF!*100</f>
        <v>#REF!</v>
      </c>
      <c r="L31" s="143">
        <f t="shared" si="11"/>
        <v>23.49503546099291</v>
      </c>
      <c r="M31" s="133"/>
      <c r="N31" s="133"/>
      <c r="O31" s="140">
        <f t="shared" si="2"/>
        <v>23.49503546099291</v>
      </c>
      <c r="P31" s="143">
        <f>J31*100/E31</f>
        <v>23.49503546099291</v>
      </c>
      <c r="Q31" s="141">
        <f t="shared" si="4"/>
        <v>5.873758865248227</v>
      </c>
    </row>
    <row r="32" spans="1:17" ht="12.75">
      <c r="A32" s="117" t="s">
        <v>233</v>
      </c>
      <c r="B32" s="117"/>
      <c r="C32" s="116" t="s">
        <v>234</v>
      </c>
      <c r="D32" s="138">
        <f t="shared" si="12"/>
        <v>290</v>
      </c>
      <c r="E32" s="138">
        <f t="shared" si="13"/>
        <v>72.5</v>
      </c>
      <c r="F32" s="138">
        <v>72.5</v>
      </c>
      <c r="G32" s="138">
        <v>72.5</v>
      </c>
      <c r="H32" s="140">
        <v>72.5</v>
      </c>
      <c r="I32" s="141">
        <v>72.5</v>
      </c>
      <c r="J32" s="141">
        <v>0.6</v>
      </c>
      <c r="K32" s="143" t="e">
        <f>J32/#REF!*100</f>
        <v>#REF!</v>
      </c>
      <c r="L32" s="143">
        <f t="shared" si="11"/>
        <v>0.8275862068965517</v>
      </c>
      <c r="M32" s="133"/>
      <c r="N32" s="133"/>
      <c r="O32" s="140">
        <f t="shared" si="2"/>
        <v>0.8275862068965517</v>
      </c>
      <c r="P32" s="143">
        <f t="shared" si="3"/>
        <v>0.8275862068965517</v>
      </c>
      <c r="Q32" s="141">
        <f t="shared" si="4"/>
        <v>0.20689655172413793</v>
      </c>
    </row>
    <row r="33" spans="1:17" ht="12.75">
      <c r="A33" s="117" t="s">
        <v>235</v>
      </c>
      <c r="B33" s="117"/>
      <c r="C33" s="116" t="s">
        <v>236</v>
      </c>
      <c r="D33" s="138">
        <f t="shared" si="12"/>
        <v>24</v>
      </c>
      <c r="E33" s="138">
        <f t="shared" si="13"/>
        <v>6</v>
      </c>
      <c r="F33" s="138">
        <v>6</v>
      </c>
      <c r="G33" s="138">
        <v>6</v>
      </c>
      <c r="H33" s="140">
        <v>6</v>
      </c>
      <c r="I33" s="141">
        <v>6</v>
      </c>
      <c r="J33" s="141">
        <v>1.2</v>
      </c>
      <c r="K33" s="143" t="e">
        <f>J33/#REF!*100</f>
        <v>#REF!</v>
      </c>
      <c r="L33" s="143">
        <f t="shared" si="11"/>
        <v>20</v>
      </c>
      <c r="M33" s="133"/>
      <c r="N33" s="133"/>
      <c r="O33" s="140">
        <f t="shared" si="2"/>
        <v>20</v>
      </c>
      <c r="P33" s="143">
        <f t="shared" si="3"/>
        <v>20</v>
      </c>
      <c r="Q33" s="141">
        <f t="shared" si="4"/>
        <v>5</v>
      </c>
    </row>
    <row r="34" spans="1:17" ht="24">
      <c r="A34" s="118" t="s">
        <v>239</v>
      </c>
      <c r="B34" s="118"/>
      <c r="C34" s="116" t="s">
        <v>240</v>
      </c>
      <c r="D34" s="138">
        <f t="shared" si="12"/>
        <v>1670</v>
      </c>
      <c r="E34" s="138">
        <f t="shared" si="13"/>
        <v>417.5</v>
      </c>
      <c r="F34" s="138">
        <v>417.5</v>
      </c>
      <c r="G34" s="138">
        <v>417.5</v>
      </c>
      <c r="H34" s="140">
        <v>417.5</v>
      </c>
      <c r="I34" s="141">
        <v>417.5</v>
      </c>
      <c r="J34" s="141">
        <v>0.2</v>
      </c>
      <c r="K34" s="143" t="e">
        <f>J34/#REF!*100</f>
        <v>#REF!</v>
      </c>
      <c r="L34" s="143">
        <f t="shared" si="11"/>
        <v>0.04790419161676647</v>
      </c>
      <c r="M34" s="133"/>
      <c r="N34" s="133"/>
      <c r="O34" s="140">
        <f t="shared" si="2"/>
        <v>0.04790419161676647</v>
      </c>
      <c r="P34" s="143">
        <f t="shared" si="3"/>
        <v>0.04790419161676647</v>
      </c>
      <c r="Q34" s="141">
        <f t="shared" si="4"/>
        <v>0.011976047904191617</v>
      </c>
    </row>
    <row r="35" spans="1:17" ht="24">
      <c r="A35" s="120" t="s">
        <v>243</v>
      </c>
      <c r="B35" s="120"/>
      <c r="C35" s="116" t="s">
        <v>244</v>
      </c>
      <c r="D35" s="138">
        <f t="shared" si="12"/>
        <v>0</v>
      </c>
      <c r="E35" s="138">
        <f t="shared" si="13"/>
        <v>0</v>
      </c>
      <c r="F35" s="138"/>
      <c r="G35" s="138"/>
      <c r="H35" s="140"/>
      <c r="I35" s="141"/>
      <c r="J35" s="141"/>
      <c r="K35" s="143"/>
      <c r="L35" s="143"/>
      <c r="M35" s="133"/>
      <c r="N35" s="133"/>
      <c r="O35" s="140"/>
      <c r="P35" s="143" t="e">
        <f t="shared" si="3"/>
        <v>#DIV/0!</v>
      </c>
      <c r="Q35" s="141" t="e">
        <f t="shared" si="4"/>
        <v>#DIV/0!</v>
      </c>
    </row>
    <row r="36" spans="1:17" ht="24">
      <c r="A36" s="119" t="s">
        <v>245</v>
      </c>
      <c r="B36" s="119"/>
      <c r="C36" s="116" t="s">
        <v>246</v>
      </c>
      <c r="D36" s="138">
        <f t="shared" si="12"/>
        <v>62.5</v>
      </c>
      <c r="E36" s="138">
        <f t="shared" si="13"/>
        <v>15.6</v>
      </c>
      <c r="F36" s="138">
        <v>15.6</v>
      </c>
      <c r="G36" s="138">
        <v>15.6</v>
      </c>
      <c r="H36" s="140">
        <v>15.6</v>
      </c>
      <c r="I36" s="141">
        <v>15.7</v>
      </c>
      <c r="J36" s="141"/>
      <c r="K36" s="143" t="e">
        <f>J36/#REF!*100</f>
        <v>#REF!</v>
      </c>
      <c r="L36" s="143">
        <f t="shared" si="11"/>
        <v>0</v>
      </c>
      <c r="M36" s="133"/>
      <c r="N36" s="133"/>
      <c r="O36" s="140">
        <f t="shared" si="2"/>
        <v>0</v>
      </c>
      <c r="P36" s="143">
        <f t="shared" si="3"/>
        <v>0</v>
      </c>
      <c r="Q36" s="141">
        <f t="shared" si="4"/>
        <v>0</v>
      </c>
    </row>
    <row r="37" spans="1:17" ht="12.75">
      <c r="A37" s="121" t="s">
        <v>251</v>
      </c>
      <c r="B37" s="122"/>
      <c r="C37" s="123" t="s">
        <v>252</v>
      </c>
      <c r="D37" s="116"/>
      <c r="E37" s="138">
        <f t="shared" si="13"/>
        <v>0</v>
      </c>
      <c r="F37" s="138"/>
      <c r="G37" s="138"/>
      <c r="H37" s="140"/>
      <c r="I37" s="141"/>
      <c r="J37" s="141"/>
      <c r="K37" s="143"/>
      <c r="L37" s="143"/>
      <c r="M37" s="133"/>
      <c r="N37" s="133"/>
      <c r="O37" s="140" t="e">
        <f t="shared" si="2"/>
        <v>#DIV/0!</v>
      </c>
      <c r="P37" s="135"/>
      <c r="Q37" s="136"/>
    </row>
    <row r="38" spans="1:17" ht="12.75">
      <c r="A38" s="113" t="s">
        <v>253</v>
      </c>
      <c r="B38" s="113"/>
      <c r="C38" s="124" t="s">
        <v>254</v>
      </c>
      <c r="D38" s="144">
        <f>D39+D40</f>
        <v>18810.1</v>
      </c>
      <c r="E38" s="144">
        <f aca="true" t="shared" si="14" ref="E38:J38">E39+E40</f>
        <v>4702.5</v>
      </c>
      <c r="F38" s="144">
        <f t="shared" si="14"/>
        <v>4702.5</v>
      </c>
      <c r="G38" s="144">
        <f t="shared" si="14"/>
        <v>4702.5</v>
      </c>
      <c r="H38" s="144">
        <f t="shared" si="14"/>
        <v>4702.5</v>
      </c>
      <c r="I38" s="144">
        <f t="shared" si="14"/>
        <v>4702.6</v>
      </c>
      <c r="J38" s="144">
        <f t="shared" si="14"/>
        <v>1112.1</v>
      </c>
      <c r="K38" s="144" t="e">
        <f>K39</f>
        <v>#REF!</v>
      </c>
      <c r="L38" s="135">
        <f>J38/H38*100</f>
        <v>23.64912280701754</v>
      </c>
      <c r="M38" s="133"/>
      <c r="N38" s="133"/>
      <c r="O38" s="145">
        <f t="shared" si="2"/>
        <v>23.648619912388888</v>
      </c>
      <c r="P38" s="135">
        <f t="shared" si="3"/>
        <v>23.64912280701754</v>
      </c>
      <c r="Q38" s="136">
        <f t="shared" si="4"/>
        <v>5.912249270338807</v>
      </c>
    </row>
    <row r="39" spans="1:17" ht="24">
      <c r="A39" s="125" t="s">
        <v>255</v>
      </c>
      <c r="B39" s="117"/>
      <c r="C39" s="126" t="s">
        <v>256</v>
      </c>
      <c r="D39" s="138">
        <f>F39+G39+H39+I39</f>
        <v>18810.1</v>
      </c>
      <c r="E39" s="138">
        <f t="shared" si="13"/>
        <v>4702.5</v>
      </c>
      <c r="F39" s="146">
        <v>4702.5</v>
      </c>
      <c r="G39" s="146">
        <v>4702.5</v>
      </c>
      <c r="H39" s="140">
        <v>4702.5</v>
      </c>
      <c r="I39" s="146">
        <v>4702.6</v>
      </c>
      <c r="J39" s="141">
        <v>1112.1</v>
      </c>
      <c r="K39" s="143" t="e">
        <f>J39/#REF!*100</f>
        <v>#REF!</v>
      </c>
      <c r="L39" s="143">
        <f>J39/H39*100</f>
        <v>23.64912280701754</v>
      </c>
      <c r="M39" s="133"/>
      <c r="N39" s="133"/>
      <c r="O39" s="140">
        <f t="shared" si="2"/>
        <v>23.648619912388888</v>
      </c>
      <c r="P39" s="143">
        <f t="shared" si="3"/>
        <v>23.64912280701754</v>
      </c>
      <c r="Q39" s="141">
        <f t="shared" si="4"/>
        <v>5.912249270338807</v>
      </c>
    </row>
    <row r="40" spans="1:17" ht="12.75">
      <c r="A40" s="125" t="s">
        <v>257</v>
      </c>
      <c r="B40" s="125"/>
      <c r="C40" s="127" t="s">
        <v>258</v>
      </c>
      <c r="D40" s="138">
        <f>F40+G40+H40+I40</f>
        <v>0</v>
      </c>
      <c r="E40" s="138">
        <f t="shared" si="13"/>
        <v>0</v>
      </c>
      <c r="F40" s="146"/>
      <c r="G40" s="146"/>
      <c r="H40" s="140"/>
      <c r="I40" s="146"/>
      <c r="J40" s="141"/>
      <c r="K40" s="143"/>
      <c r="L40" s="143"/>
      <c r="M40" s="133"/>
      <c r="N40" s="133"/>
      <c r="O40" s="140"/>
      <c r="P40" s="143"/>
      <c r="Q40" s="141"/>
    </row>
    <row r="41" spans="1:17" ht="12.75">
      <c r="A41" s="115"/>
      <c r="B41" s="131"/>
      <c r="C41" s="132" t="s">
        <v>263</v>
      </c>
      <c r="D41" s="136">
        <f aca="true" t="shared" si="15" ref="D41:I41">D38+D30</f>
        <v>34956.6</v>
      </c>
      <c r="E41" s="136">
        <f t="shared" si="15"/>
        <v>8739.1</v>
      </c>
      <c r="F41" s="136">
        <f t="shared" si="15"/>
        <v>8739.1</v>
      </c>
      <c r="G41" s="136">
        <f t="shared" si="15"/>
        <v>8739.1</v>
      </c>
      <c r="H41" s="136">
        <f t="shared" si="15"/>
        <v>8739.1</v>
      </c>
      <c r="I41" s="136">
        <f t="shared" si="15"/>
        <v>8739.3</v>
      </c>
      <c r="J41" s="136">
        <f>J38+J30</f>
        <v>1942.3000000000002</v>
      </c>
      <c r="K41" s="135" t="e">
        <f>J41/#REF!*100</f>
        <v>#REF!</v>
      </c>
      <c r="L41" s="135">
        <f>J41/H41*100</f>
        <v>22.225400784977857</v>
      </c>
      <c r="M41" s="133"/>
      <c r="N41" s="147" t="e">
        <f>I41+#REF!+#REF!</f>
        <v>#REF!</v>
      </c>
      <c r="O41" s="145">
        <f t="shared" si="2"/>
        <v>22.224892153833835</v>
      </c>
      <c r="P41" s="135">
        <f t="shared" si="3"/>
        <v>22.22540078497786</v>
      </c>
      <c r="Q41" s="136">
        <f t="shared" si="4"/>
        <v>5.556318406252325</v>
      </c>
    </row>
    <row r="42" spans="1:17" ht="12.75">
      <c r="A42" s="148"/>
      <c r="B42" s="149"/>
      <c r="C42" s="213"/>
      <c r="D42" s="213"/>
      <c r="E42" s="213"/>
      <c r="F42" s="213"/>
      <c r="G42" s="213"/>
      <c r="H42" s="213"/>
      <c r="I42" s="213"/>
      <c r="J42" s="213"/>
      <c r="K42" s="213"/>
      <c r="L42" s="214"/>
      <c r="M42" s="133"/>
      <c r="N42" s="133"/>
      <c r="O42" s="134"/>
      <c r="P42" s="135"/>
      <c r="Q42" s="136"/>
    </row>
    <row r="43" spans="1:17" ht="12.75">
      <c r="A43" s="209" t="s">
        <v>265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135"/>
      <c r="Q43" s="136"/>
    </row>
    <row r="44" spans="1:17" ht="12.75">
      <c r="A44" s="113" t="s">
        <v>225</v>
      </c>
      <c r="B44" s="113"/>
      <c r="C44" s="114" t="s">
        <v>226</v>
      </c>
      <c r="D44" s="135">
        <f aca="true" t="shared" si="16" ref="D44:J44">D45+D47+D49+D50+D51+D52+D48+D46</f>
        <v>16961.3</v>
      </c>
      <c r="E44" s="135">
        <f t="shared" si="16"/>
        <v>4108.400000000001</v>
      </c>
      <c r="F44" s="135">
        <f t="shared" si="16"/>
        <v>4108.400000000001</v>
      </c>
      <c r="G44" s="135">
        <f t="shared" si="16"/>
        <v>4286.7</v>
      </c>
      <c r="H44" s="135">
        <f t="shared" si="16"/>
        <v>4286.7</v>
      </c>
      <c r="I44" s="135">
        <f t="shared" si="16"/>
        <v>4279.5</v>
      </c>
      <c r="J44" s="135">
        <f t="shared" si="16"/>
        <v>472.19999999999993</v>
      </c>
      <c r="K44" s="135" t="e">
        <f>J44/#REF!*100</f>
        <v>#REF!</v>
      </c>
      <c r="L44" s="135">
        <f>J44/H44*100</f>
        <v>11.015466442718173</v>
      </c>
      <c r="M44" s="133"/>
      <c r="N44" s="133"/>
      <c r="O44" s="135">
        <f t="shared" si="2"/>
        <v>11.033999298983524</v>
      </c>
      <c r="P44" s="135">
        <f t="shared" si="3"/>
        <v>11.4935254600331</v>
      </c>
      <c r="Q44" s="136">
        <f t="shared" si="4"/>
        <v>2.7839847181525</v>
      </c>
    </row>
    <row r="45" spans="1:17" ht="12.75">
      <c r="A45" s="115" t="s">
        <v>227</v>
      </c>
      <c r="B45" s="117"/>
      <c r="C45" s="137" t="s">
        <v>228</v>
      </c>
      <c r="D45" s="138">
        <f aca="true" t="shared" si="17" ref="D45:D56">F45+G45+H45+I45</f>
        <v>14175</v>
      </c>
      <c r="E45" s="138">
        <f aca="true" t="shared" si="18" ref="E45:E56">F45</f>
        <v>3412.4</v>
      </c>
      <c r="F45" s="138">
        <v>3412.4</v>
      </c>
      <c r="G45" s="138">
        <v>3590.1</v>
      </c>
      <c r="H45" s="140">
        <v>3590.1</v>
      </c>
      <c r="I45" s="141">
        <v>3582.4</v>
      </c>
      <c r="J45" s="142">
        <v>445.2</v>
      </c>
      <c r="K45" s="143" t="e">
        <f>J45/#REF!*100</f>
        <v>#REF!</v>
      </c>
      <c r="L45" s="143">
        <f>J45/H45*100</f>
        <v>12.400768780813905</v>
      </c>
      <c r="M45" s="133"/>
      <c r="N45" s="133"/>
      <c r="O45" s="140">
        <f t="shared" si="2"/>
        <v>12.427422956677088</v>
      </c>
      <c r="P45" s="143">
        <f t="shared" si="3"/>
        <v>13.04653616223186</v>
      </c>
      <c r="Q45" s="141">
        <f t="shared" si="4"/>
        <v>3.140740740740741</v>
      </c>
    </row>
    <row r="46" spans="1:17" ht="12.75">
      <c r="A46" s="117" t="s">
        <v>231</v>
      </c>
      <c r="B46" s="117"/>
      <c r="C46" s="116" t="s">
        <v>232</v>
      </c>
      <c r="D46" s="138">
        <f t="shared" si="17"/>
        <v>9.5</v>
      </c>
      <c r="E46" s="138">
        <f t="shared" si="18"/>
        <v>2.3</v>
      </c>
      <c r="F46" s="138">
        <v>2.3</v>
      </c>
      <c r="G46" s="138">
        <v>2.4</v>
      </c>
      <c r="H46" s="140">
        <v>2.4</v>
      </c>
      <c r="I46" s="141">
        <v>2.4</v>
      </c>
      <c r="J46" s="142">
        <v>11.3</v>
      </c>
      <c r="K46" s="143" t="e">
        <f>J46/#REF!*100</f>
        <v>#REF!</v>
      </c>
      <c r="L46" s="143">
        <f>J46/H46*100</f>
        <v>470.83333333333337</v>
      </c>
      <c r="M46" s="133"/>
      <c r="N46" s="133"/>
      <c r="O46" s="140">
        <f t="shared" si="2"/>
        <v>470.83333333333337</v>
      </c>
      <c r="P46" s="143">
        <f t="shared" si="3"/>
        <v>491.304347826087</v>
      </c>
      <c r="Q46" s="141">
        <f t="shared" si="4"/>
        <v>118.94736842105263</v>
      </c>
    </row>
    <row r="47" spans="1:17" ht="12.75">
      <c r="A47" s="117" t="s">
        <v>233</v>
      </c>
      <c r="B47" s="117"/>
      <c r="C47" s="116" t="s">
        <v>234</v>
      </c>
      <c r="D47" s="138">
        <f t="shared" si="17"/>
        <v>2034</v>
      </c>
      <c r="E47" s="138">
        <f t="shared" si="18"/>
        <v>508</v>
      </c>
      <c r="F47" s="138">
        <v>508</v>
      </c>
      <c r="G47" s="138">
        <v>508.5</v>
      </c>
      <c r="H47" s="140">
        <v>508.5</v>
      </c>
      <c r="I47" s="141">
        <v>509</v>
      </c>
      <c r="J47" s="141">
        <v>29.4</v>
      </c>
      <c r="K47" s="143" t="e">
        <f>J47/#REF!*100</f>
        <v>#REF!</v>
      </c>
      <c r="L47" s="143">
        <f>J47/H47*100</f>
        <v>5.781710914454277</v>
      </c>
      <c r="M47" s="133"/>
      <c r="N47" s="133"/>
      <c r="O47" s="140">
        <f t="shared" si="2"/>
        <v>5.7760314341846755</v>
      </c>
      <c r="P47" s="143">
        <f t="shared" si="3"/>
        <v>5.78740157480315</v>
      </c>
      <c r="Q47" s="141">
        <f t="shared" si="4"/>
        <v>1.4454277286135693</v>
      </c>
    </row>
    <row r="48" spans="1:17" ht="12.75">
      <c r="A48" s="117" t="s">
        <v>235</v>
      </c>
      <c r="B48" s="117"/>
      <c r="C48" s="116" t="s">
        <v>236</v>
      </c>
      <c r="D48" s="138">
        <f t="shared" si="17"/>
        <v>0</v>
      </c>
      <c r="E48" s="138">
        <f t="shared" si="18"/>
        <v>0</v>
      </c>
      <c r="F48" s="138"/>
      <c r="G48" s="138"/>
      <c r="H48" s="140"/>
      <c r="I48" s="141"/>
      <c r="J48" s="141"/>
      <c r="K48" s="143"/>
      <c r="L48" s="143"/>
      <c r="M48" s="133"/>
      <c r="N48" s="133"/>
      <c r="O48" s="140" t="e">
        <f t="shared" si="2"/>
        <v>#DIV/0!</v>
      </c>
      <c r="P48" s="143" t="e">
        <f t="shared" si="3"/>
        <v>#DIV/0!</v>
      </c>
      <c r="Q48" s="141" t="e">
        <f t="shared" si="4"/>
        <v>#DIV/0!</v>
      </c>
    </row>
    <row r="49" spans="1:17" ht="24">
      <c r="A49" s="118" t="s">
        <v>239</v>
      </c>
      <c r="B49" s="118"/>
      <c r="C49" s="116" t="s">
        <v>240</v>
      </c>
      <c r="D49" s="138">
        <f t="shared" si="17"/>
        <v>592.8</v>
      </c>
      <c r="E49" s="138">
        <f t="shared" si="18"/>
        <v>148.2</v>
      </c>
      <c r="F49" s="138">
        <v>148.2</v>
      </c>
      <c r="G49" s="138">
        <v>148.2</v>
      </c>
      <c r="H49" s="140">
        <v>148.2</v>
      </c>
      <c r="I49" s="141">
        <v>148.2</v>
      </c>
      <c r="J49" s="141">
        <v>-25.6</v>
      </c>
      <c r="K49" s="143" t="e">
        <f>J49/#REF!*100</f>
        <v>#REF!</v>
      </c>
      <c r="L49" s="143">
        <f>J49/H49*100</f>
        <v>-17.273954116059382</v>
      </c>
      <c r="M49" s="133"/>
      <c r="N49" s="133"/>
      <c r="O49" s="140">
        <f t="shared" si="2"/>
        <v>-17.27395411605938</v>
      </c>
      <c r="P49" s="143">
        <f t="shared" si="3"/>
        <v>-17.27395411605938</v>
      </c>
      <c r="Q49" s="141">
        <f t="shared" si="4"/>
        <v>-4.318488529014845</v>
      </c>
    </row>
    <row r="50" spans="1:17" ht="24">
      <c r="A50" s="120" t="s">
        <v>245</v>
      </c>
      <c r="B50" s="120"/>
      <c r="C50" s="116" t="s">
        <v>246</v>
      </c>
      <c r="D50" s="138">
        <f t="shared" si="17"/>
        <v>150</v>
      </c>
      <c r="E50" s="138">
        <f t="shared" si="18"/>
        <v>37.5</v>
      </c>
      <c r="F50" s="138">
        <v>37.5</v>
      </c>
      <c r="G50" s="138">
        <v>37.5</v>
      </c>
      <c r="H50" s="140">
        <v>37.5</v>
      </c>
      <c r="I50" s="141">
        <v>37.5</v>
      </c>
      <c r="J50" s="141">
        <v>11.9</v>
      </c>
      <c r="K50" s="143" t="e">
        <f>J50/#REF!*100</f>
        <v>#REF!</v>
      </c>
      <c r="L50" s="143">
        <f>J50/H50*100</f>
        <v>31.733333333333334</v>
      </c>
      <c r="M50" s="133"/>
      <c r="N50" s="133"/>
      <c r="O50" s="140">
        <f t="shared" si="2"/>
        <v>31.733333333333334</v>
      </c>
      <c r="P50" s="143">
        <f t="shared" si="3"/>
        <v>31.733333333333334</v>
      </c>
      <c r="Q50" s="141">
        <f t="shared" si="4"/>
        <v>7.933333333333334</v>
      </c>
    </row>
    <row r="51" spans="1:17" ht="12.75">
      <c r="A51" s="115" t="s">
        <v>249</v>
      </c>
      <c r="B51" s="115"/>
      <c r="C51" s="116" t="s">
        <v>250</v>
      </c>
      <c r="D51" s="138">
        <f t="shared" si="17"/>
        <v>0</v>
      </c>
      <c r="E51" s="138">
        <f t="shared" si="18"/>
        <v>0</v>
      </c>
      <c r="F51" s="138"/>
      <c r="G51" s="138"/>
      <c r="H51" s="140"/>
      <c r="I51" s="141"/>
      <c r="J51" s="141"/>
      <c r="K51" s="143" t="e">
        <f>J51/#REF!*100</f>
        <v>#REF!</v>
      </c>
      <c r="L51" s="143"/>
      <c r="M51" s="133"/>
      <c r="N51" s="133"/>
      <c r="O51" s="140" t="e">
        <f t="shared" si="2"/>
        <v>#DIV/0!</v>
      </c>
      <c r="P51" s="143"/>
      <c r="Q51" s="141"/>
    </row>
    <row r="52" spans="1:17" ht="12.75">
      <c r="A52" s="150" t="s">
        <v>251</v>
      </c>
      <c r="B52" s="122"/>
      <c r="C52" s="123" t="s">
        <v>252</v>
      </c>
      <c r="D52" s="138">
        <f t="shared" si="17"/>
        <v>0</v>
      </c>
      <c r="E52" s="138">
        <f t="shared" si="18"/>
        <v>0</v>
      </c>
      <c r="F52" s="138"/>
      <c r="G52" s="138"/>
      <c r="H52" s="140"/>
      <c r="I52" s="141"/>
      <c r="J52" s="141"/>
      <c r="K52" s="143"/>
      <c r="L52" s="143"/>
      <c r="M52" s="133"/>
      <c r="N52" s="133"/>
      <c r="O52" s="140" t="e">
        <f t="shared" si="2"/>
        <v>#DIV/0!</v>
      </c>
      <c r="P52" s="143"/>
      <c r="Q52" s="141"/>
    </row>
    <row r="53" spans="1:17" ht="12.75">
      <c r="A53" s="151" t="s">
        <v>253</v>
      </c>
      <c r="B53" s="151"/>
      <c r="C53" s="124" t="s">
        <v>254</v>
      </c>
      <c r="D53" s="144">
        <f>D54+D56+D55</f>
        <v>22481.699999999997</v>
      </c>
      <c r="E53" s="144">
        <f aca="true" t="shared" si="19" ref="E53:O53">E54+E56+E55</f>
        <v>6114</v>
      </c>
      <c r="F53" s="144">
        <f t="shared" si="19"/>
        <v>6114</v>
      </c>
      <c r="G53" s="144">
        <f t="shared" si="19"/>
        <v>5455.9</v>
      </c>
      <c r="H53" s="144">
        <f t="shared" si="19"/>
        <v>5455.9</v>
      </c>
      <c r="I53" s="144">
        <f t="shared" si="19"/>
        <v>5455.9</v>
      </c>
      <c r="J53" s="144">
        <f t="shared" si="19"/>
        <v>911.6</v>
      </c>
      <c r="K53" s="144" t="e">
        <f t="shared" si="19"/>
        <v>#REF!</v>
      </c>
      <c r="L53" s="144">
        <f t="shared" si="19"/>
        <v>16.70851738484943</v>
      </c>
      <c r="M53" s="144">
        <f t="shared" si="19"/>
        <v>0.1</v>
      </c>
      <c r="N53" s="144">
        <f t="shared" si="19"/>
        <v>0</v>
      </c>
      <c r="O53" s="144" t="e">
        <f t="shared" si="19"/>
        <v>#DIV/0!</v>
      </c>
      <c r="P53" s="135">
        <f t="shared" si="3"/>
        <v>14.910042525351653</v>
      </c>
      <c r="Q53" s="136">
        <f t="shared" si="4"/>
        <v>4.054853503071388</v>
      </c>
    </row>
    <row r="54" spans="1:17" ht="24">
      <c r="A54" s="125" t="s">
        <v>255</v>
      </c>
      <c r="B54" s="117"/>
      <c r="C54" s="126" t="s">
        <v>256</v>
      </c>
      <c r="D54" s="138">
        <f t="shared" si="17"/>
        <v>22481.699999999997</v>
      </c>
      <c r="E54" s="138">
        <f t="shared" si="18"/>
        <v>6114</v>
      </c>
      <c r="F54" s="146">
        <f>5455.9+658.1</f>
        <v>6114</v>
      </c>
      <c r="G54" s="146">
        <v>5455.9</v>
      </c>
      <c r="H54" s="140">
        <v>5455.9</v>
      </c>
      <c r="I54" s="140">
        <v>5455.9</v>
      </c>
      <c r="J54" s="141">
        <v>911.6</v>
      </c>
      <c r="K54" s="143" t="e">
        <f>J54/#REF!*100</f>
        <v>#REF!</v>
      </c>
      <c r="L54" s="143">
        <f>J54/H54*100</f>
        <v>16.70851738484943</v>
      </c>
      <c r="M54" s="133">
        <v>0.1</v>
      </c>
      <c r="N54" s="133"/>
      <c r="O54" s="140">
        <f t="shared" si="2"/>
        <v>16.70851738484943</v>
      </c>
      <c r="P54" s="143">
        <f t="shared" si="3"/>
        <v>14.910042525351653</v>
      </c>
      <c r="Q54" s="141">
        <f t="shared" si="4"/>
        <v>4.054853503071388</v>
      </c>
    </row>
    <row r="55" spans="1:17" ht="12.75">
      <c r="A55" s="125" t="s">
        <v>257</v>
      </c>
      <c r="B55" s="125"/>
      <c r="C55" s="127" t="s">
        <v>258</v>
      </c>
      <c r="D55" s="138">
        <f>F55+G55+H55+I55</f>
        <v>0</v>
      </c>
      <c r="E55" s="138">
        <f t="shared" si="18"/>
        <v>0</v>
      </c>
      <c r="F55" s="146"/>
      <c r="G55" s="146"/>
      <c r="H55" s="140"/>
      <c r="I55" s="134"/>
      <c r="J55" s="141"/>
      <c r="K55" s="143"/>
      <c r="L55" s="143"/>
      <c r="M55" s="133"/>
      <c r="N55" s="133"/>
      <c r="O55" s="140"/>
      <c r="P55" s="143" t="e">
        <f t="shared" si="3"/>
        <v>#DIV/0!</v>
      </c>
      <c r="Q55" s="141" t="e">
        <f t="shared" si="4"/>
        <v>#DIV/0!</v>
      </c>
    </row>
    <row r="56" spans="1:17" ht="36">
      <c r="A56" s="125" t="s">
        <v>261</v>
      </c>
      <c r="B56" s="129"/>
      <c r="C56" s="130" t="s">
        <v>262</v>
      </c>
      <c r="D56" s="138">
        <f t="shared" si="17"/>
        <v>0</v>
      </c>
      <c r="E56" s="138">
        <f t="shared" si="18"/>
        <v>0</v>
      </c>
      <c r="F56" s="152"/>
      <c r="G56" s="152"/>
      <c r="H56" s="140"/>
      <c r="I56" s="134"/>
      <c r="J56" s="141"/>
      <c r="K56" s="143" t="e">
        <f>J56/#REF!*100</f>
        <v>#REF!</v>
      </c>
      <c r="L56" s="143"/>
      <c r="M56" s="133"/>
      <c r="N56" s="133"/>
      <c r="O56" s="140" t="e">
        <f t="shared" si="2"/>
        <v>#DIV/0!</v>
      </c>
      <c r="P56" s="143"/>
      <c r="Q56" s="141"/>
    </row>
    <row r="57" spans="1:17" ht="12.75">
      <c r="A57" s="118"/>
      <c r="B57" s="153"/>
      <c r="C57" s="154" t="s">
        <v>263</v>
      </c>
      <c r="D57" s="155">
        <f aca="true" t="shared" si="20" ref="D57:J57">D53+D44</f>
        <v>39443</v>
      </c>
      <c r="E57" s="155">
        <f t="shared" si="20"/>
        <v>10222.400000000001</v>
      </c>
      <c r="F57" s="155">
        <f t="shared" si="20"/>
        <v>10222.400000000001</v>
      </c>
      <c r="G57" s="155">
        <f t="shared" si="20"/>
        <v>9742.599999999999</v>
      </c>
      <c r="H57" s="155">
        <f t="shared" si="20"/>
        <v>9742.599999999999</v>
      </c>
      <c r="I57" s="155">
        <f t="shared" si="20"/>
        <v>9735.4</v>
      </c>
      <c r="J57" s="155">
        <f t="shared" si="20"/>
        <v>1383.8</v>
      </c>
      <c r="K57" s="135" t="e">
        <f>J57/#REF!*100</f>
        <v>#REF!</v>
      </c>
      <c r="L57" s="135">
        <f>J57/H57*100</f>
        <v>14.203600681542916</v>
      </c>
      <c r="M57" s="133"/>
      <c r="N57" s="147" t="e">
        <f>I57+#REF!+#REF!</f>
        <v>#REF!</v>
      </c>
      <c r="O57" s="145">
        <f t="shared" si="2"/>
        <v>14.214105224233212</v>
      </c>
      <c r="P57" s="135">
        <f t="shared" si="3"/>
        <v>13.536938488026292</v>
      </c>
      <c r="Q57" s="136">
        <f t="shared" si="4"/>
        <v>3.5083538270415535</v>
      </c>
    </row>
    <row r="58" spans="1:17" ht="12.75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5"/>
      <c r="M58" s="133"/>
      <c r="N58" s="133"/>
      <c r="O58" s="134"/>
      <c r="P58" s="135"/>
      <c r="Q58" s="136"/>
    </row>
    <row r="59" spans="1:17" ht="12.75">
      <c r="A59" s="209" t="s">
        <v>266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135"/>
      <c r="Q59" s="136"/>
    </row>
    <row r="60" spans="1:17" ht="12.75">
      <c r="A60" s="151" t="s">
        <v>225</v>
      </c>
      <c r="B60" s="151"/>
      <c r="C60" s="156" t="s">
        <v>226</v>
      </c>
      <c r="D60" s="145">
        <f aca="true" t="shared" si="21" ref="D60:J60">D61+D63+D65+D67+D64+D69+D68+D62+D66</f>
        <v>30441</v>
      </c>
      <c r="E60" s="145">
        <f t="shared" si="21"/>
        <v>6165.3</v>
      </c>
      <c r="F60" s="145">
        <f t="shared" si="21"/>
        <v>6165.3</v>
      </c>
      <c r="G60" s="145">
        <f t="shared" si="21"/>
        <v>6987.2</v>
      </c>
      <c r="H60" s="145">
        <f t="shared" si="21"/>
        <v>8124.8</v>
      </c>
      <c r="I60" s="145">
        <f t="shared" si="21"/>
        <v>9163.7</v>
      </c>
      <c r="J60" s="145">
        <f t="shared" si="21"/>
        <v>851.5</v>
      </c>
      <c r="K60" s="145" t="e">
        <f>J60/#REF!*100</f>
        <v>#REF!</v>
      </c>
      <c r="L60" s="145">
        <f aca="true" t="shared" si="22" ref="L60:L67">J60/H60*100</f>
        <v>10.480257975580937</v>
      </c>
      <c r="M60" s="157"/>
      <c r="N60" s="157"/>
      <c r="O60" s="145">
        <f t="shared" si="2"/>
        <v>9.292098169953183</v>
      </c>
      <c r="P60" s="135">
        <f t="shared" si="3"/>
        <v>13.811168961769905</v>
      </c>
      <c r="Q60" s="136">
        <f t="shared" si="4"/>
        <v>2.7972142833678264</v>
      </c>
    </row>
    <row r="61" spans="1:17" ht="12.75">
      <c r="A61" s="117" t="s">
        <v>227</v>
      </c>
      <c r="B61" s="117"/>
      <c r="C61" s="137" t="s">
        <v>228</v>
      </c>
      <c r="D61" s="138">
        <f>F61+G61+H61+I61</f>
        <v>17850</v>
      </c>
      <c r="E61" s="138">
        <f aca="true" t="shared" si="23" ref="E61:E72">F61</f>
        <v>3164.3</v>
      </c>
      <c r="F61" s="158">
        <v>3164.3</v>
      </c>
      <c r="G61" s="158">
        <v>4691.2</v>
      </c>
      <c r="H61" s="143">
        <v>3871.4</v>
      </c>
      <c r="I61" s="143">
        <v>6123.1</v>
      </c>
      <c r="J61" s="143">
        <v>641.9</v>
      </c>
      <c r="K61" s="143" t="e">
        <f>J61/#REF!*100</f>
        <v>#REF!</v>
      </c>
      <c r="L61" s="143">
        <f t="shared" si="22"/>
        <v>16.58056517022266</v>
      </c>
      <c r="M61" s="133"/>
      <c r="N61" s="133"/>
      <c r="O61" s="143">
        <f t="shared" si="2"/>
        <v>10.483251947542911</v>
      </c>
      <c r="P61" s="143">
        <f t="shared" si="3"/>
        <v>20.28568719780046</v>
      </c>
      <c r="Q61" s="141">
        <f t="shared" si="4"/>
        <v>3.596078431372549</v>
      </c>
    </row>
    <row r="62" spans="1:17" ht="12.75">
      <c r="A62" s="117" t="s">
        <v>231</v>
      </c>
      <c r="B62" s="117"/>
      <c r="C62" s="116" t="s">
        <v>232</v>
      </c>
      <c r="D62" s="138">
        <f aca="true" t="shared" si="24" ref="D62:D72">F62+G62+H62+I62</f>
        <v>35</v>
      </c>
      <c r="E62" s="138">
        <f t="shared" si="23"/>
        <v>11</v>
      </c>
      <c r="F62" s="146">
        <v>11</v>
      </c>
      <c r="G62" s="146">
        <v>8</v>
      </c>
      <c r="H62" s="140">
        <v>8</v>
      </c>
      <c r="I62" s="140">
        <v>8</v>
      </c>
      <c r="J62" s="140">
        <v>1.1</v>
      </c>
      <c r="K62" s="143" t="e">
        <f>J62/#REF!*100</f>
        <v>#REF!</v>
      </c>
      <c r="L62" s="143">
        <f t="shared" si="22"/>
        <v>13.750000000000002</v>
      </c>
      <c r="M62" s="133"/>
      <c r="N62" s="133"/>
      <c r="O62" s="140">
        <f t="shared" si="2"/>
        <v>13.750000000000002</v>
      </c>
      <c r="P62" s="143">
        <f t="shared" si="3"/>
        <v>10.000000000000002</v>
      </c>
      <c r="Q62" s="141">
        <f t="shared" si="4"/>
        <v>3.1428571428571432</v>
      </c>
    </row>
    <row r="63" spans="1:17" ht="12.75">
      <c r="A63" s="117" t="s">
        <v>233</v>
      </c>
      <c r="B63" s="117"/>
      <c r="C63" s="116" t="s">
        <v>234</v>
      </c>
      <c r="D63" s="138">
        <f t="shared" si="24"/>
        <v>6250</v>
      </c>
      <c r="E63" s="138">
        <f t="shared" si="23"/>
        <v>2671</v>
      </c>
      <c r="F63" s="146">
        <v>2671</v>
      </c>
      <c r="G63" s="146">
        <v>303</v>
      </c>
      <c r="H63" s="140">
        <v>2315.4</v>
      </c>
      <c r="I63" s="140">
        <v>960.6</v>
      </c>
      <c r="J63" s="140">
        <v>178.2</v>
      </c>
      <c r="K63" s="143" t="e">
        <f>J63/#REF!*100</f>
        <v>#REF!</v>
      </c>
      <c r="L63" s="143">
        <f t="shared" si="22"/>
        <v>7.696294376781548</v>
      </c>
      <c r="M63" s="133"/>
      <c r="N63" s="133"/>
      <c r="O63" s="140">
        <f t="shared" si="2"/>
        <v>18.550905683947533</v>
      </c>
      <c r="P63" s="143">
        <f t="shared" si="3"/>
        <v>6.671658554848372</v>
      </c>
      <c r="Q63" s="141">
        <f t="shared" si="4"/>
        <v>2.8512</v>
      </c>
    </row>
    <row r="64" spans="1:17" ht="12.75">
      <c r="A64" s="117" t="s">
        <v>235</v>
      </c>
      <c r="B64" s="117"/>
      <c r="C64" s="116" t="s">
        <v>236</v>
      </c>
      <c r="D64" s="138">
        <f t="shared" si="24"/>
        <v>0</v>
      </c>
      <c r="E64" s="138">
        <f t="shared" si="23"/>
        <v>0</v>
      </c>
      <c r="F64" s="146"/>
      <c r="G64" s="146"/>
      <c r="H64" s="140"/>
      <c r="I64" s="140"/>
      <c r="J64" s="140"/>
      <c r="K64" s="143"/>
      <c r="L64" s="143" t="e">
        <f t="shared" si="22"/>
        <v>#DIV/0!</v>
      </c>
      <c r="M64" s="133"/>
      <c r="N64" s="133"/>
      <c r="O64" s="140" t="e">
        <f t="shared" si="2"/>
        <v>#DIV/0!</v>
      </c>
      <c r="P64" s="143" t="e">
        <f t="shared" si="3"/>
        <v>#DIV/0!</v>
      </c>
      <c r="Q64" s="141" t="e">
        <f t="shared" si="4"/>
        <v>#DIV/0!</v>
      </c>
    </row>
    <row r="65" spans="1:17" ht="24">
      <c r="A65" s="118" t="s">
        <v>239</v>
      </c>
      <c r="B65" s="118"/>
      <c r="C65" s="116" t="s">
        <v>240</v>
      </c>
      <c r="D65" s="138">
        <f t="shared" si="24"/>
        <v>6000</v>
      </c>
      <c r="E65" s="138">
        <f t="shared" si="23"/>
        <v>259</v>
      </c>
      <c r="F65" s="146">
        <v>259</v>
      </c>
      <c r="G65" s="146">
        <v>1865</v>
      </c>
      <c r="H65" s="140">
        <v>1865</v>
      </c>
      <c r="I65" s="140">
        <v>2011</v>
      </c>
      <c r="J65" s="140">
        <v>24.1</v>
      </c>
      <c r="K65" s="143" t="e">
        <f>J65/#REF!*100</f>
        <v>#REF!</v>
      </c>
      <c r="L65" s="143">
        <f t="shared" si="22"/>
        <v>1.292225201072386</v>
      </c>
      <c r="M65" s="133"/>
      <c r="N65" s="133"/>
      <c r="O65" s="140">
        <f t="shared" si="2"/>
        <v>1.198408751864744</v>
      </c>
      <c r="P65" s="143">
        <f t="shared" si="3"/>
        <v>9.305019305019306</v>
      </c>
      <c r="Q65" s="141">
        <f t="shared" si="4"/>
        <v>0.40166666666666667</v>
      </c>
    </row>
    <row r="66" spans="1:17" ht="24">
      <c r="A66" s="120" t="s">
        <v>243</v>
      </c>
      <c r="B66" s="120"/>
      <c r="C66" s="116" t="s">
        <v>244</v>
      </c>
      <c r="D66" s="138">
        <f t="shared" si="24"/>
        <v>0</v>
      </c>
      <c r="E66" s="138">
        <f t="shared" si="23"/>
        <v>0</v>
      </c>
      <c r="F66" s="146"/>
      <c r="G66" s="146"/>
      <c r="H66" s="140"/>
      <c r="I66" s="140"/>
      <c r="J66" s="140"/>
      <c r="K66" s="143" t="e">
        <f>J66/#REF!*100</f>
        <v>#REF!</v>
      </c>
      <c r="L66" s="143"/>
      <c r="M66" s="133"/>
      <c r="N66" s="133"/>
      <c r="O66" s="140" t="e">
        <f t="shared" si="2"/>
        <v>#DIV/0!</v>
      </c>
      <c r="P66" s="143"/>
      <c r="Q66" s="141"/>
    </row>
    <row r="67" spans="1:17" ht="24">
      <c r="A67" s="119" t="s">
        <v>245</v>
      </c>
      <c r="B67" s="119"/>
      <c r="C67" s="116" t="s">
        <v>246</v>
      </c>
      <c r="D67" s="138">
        <f t="shared" si="24"/>
        <v>306</v>
      </c>
      <c r="E67" s="138">
        <f t="shared" si="23"/>
        <v>60</v>
      </c>
      <c r="F67" s="146">
        <v>60</v>
      </c>
      <c r="G67" s="146">
        <v>120</v>
      </c>
      <c r="H67" s="140">
        <v>65</v>
      </c>
      <c r="I67" s="140">
        <v>61</v>
      </c>
      <c r="J67" s="140">
        <v>6.2</v>
      </c>
      <c r="K67" s="143" t="e">
        <f>J67/#REF!*100</f>
        <v>#REF!</v>
      </c>
      <c r="L67" s="143">
        <f t="shared" si="22"/>
        <v>9.538461538461538</v>
      </c>
      <c r="M67" s="133"/>
      <c r="N67" s="133"/>
      <c r="O67" s="140">
        <f t="shared" si="2"/>
        <v>10.163934426229508</v>
      </c>
      <c r="P67" s="143">
        <f t="shared" si="3"/>
        <v>10.333333333333334</v>
      </c>
      <c r="Q67" s="141">
        <f t="shared" si="4"/>
        <v>2.026143790849673</v>
      </c>
    </row>
    <row r="68" spans="1:17" ht="12.75">
      <c r="A68" s="115" t="s">
        <v>249</v>
      </c>
      <c r="B68" s="115"/>
      <c r="C68" s="116" t="s">
        <v>250</v>
      </c>
      <c r="D68" s="138">
        <f t="shared" si="24"/>
        <v>0</v>
      </c>
      <c r="E68" s="138">
        <f t="shared" si="23"/>
        <v>0</v>
      </c>
      <c r="F68" s="146"/>
      <c r="G68" s="146"/>
      <c r="H68" s="140"/>
      <c r="I68" s="140"/>
      <c r="J68" s="140"/>
      <c r="K68" s="143"/>
      <c r="L68" s="143"/>
      <c r="M68" s="133"/>
      <c r="N68" s="133"/>
      <c r="O68" s="140" t="e">
        <f t="shared" si="2"/>
        <v>#DIV/0!</v>
      </c>
      <c r="P68" s="143"/>
      <c r="Q68" s="141"/>
    </row>
    <row r="69" spans="1:17" ht="12.75">
      <c r="A69" s="121" t="s">
        <v>251</v>
      </c>
      <c r="B69" s="122"/>
      <c r="C69" s="123" t="s">
        <v>252</v>
      </c>
      <c r="D69" s="138">
        <f t="shared" si="24"/>
        <v>0</v>
      </c>
      <c r="E69" s="138">
        <f t="shared" si="23"/>
        <v>0</v>
      </c>
      <c r="F69" s="146"/>
      <c r="G69" s="146"/>
      <c r="H69" s="140"/>
      <c r="I69" s="140"/>
      <c r="J69" s="140"/>
      <c r="K69" s="143"/>
      <c r="L69" s="143"/>
      <c r="M69" s="133"/>
      <c r="N69" s="133"/>
      <c r="O69" s="140" t="e">
        <f t="shared" si="2"/>
        <v>#DIV/0!</v>
      </c>
      <c r="P69" s="143"/>
      <c r="Q69" s="141"/>
    </row>
    <row r="70" spans="1:17" ht="12.75">
      <c r="A70" s="113" t="s">
        <v>253</v>
      </c>
      <c r="B70" s="113"/>
      <c r="C70" s="124" t="s">
        <v>254</v>
      </c>
      <c r="D70" s="144">
        <f aca="true" t="shared" si="25" ref="D70:J70">D71+D72</f>
        <v>43310.5</v>
      </c>
      <c r="E70" s="144">
        <f t="shared" si="25"/>
        <v>10767.7</v>
      </c>
      <c r="F70" s="144">
        <f t="shared" si="25"/>
        <v>10767.7</v>
      </c>
      <c r="G70" s="144">
        <f t="shared" si="25"/>
        <v>12203.6</v>
      </c>
      <c r="H70" s="144">
        <f t="shared" si="25"/>
        <v>9356</v>
      </c>
      <c r="I70" s="144">
        <f t="shared" si="25"/>
        <v>10983.2</v>
      </c>
      <c r="J70" s="144">
        <f t="shared" si="25"/>
        <v>1963.7</v>
      </c>
      <c r="K70" s="135" t="e">
        <f>J70/#REF!*100</f>
        <v>#REF!</v>
      </c>
      <c r="L70" s="135">
        <f>J70/H70*100</f>
        <v>20.988670371953827</v>
      </c>
      <c r="M70" s="133"/>
      <c r="N70" s="133"/>
      <c r="O70" s="145">
        <f t="shared" si="2"/>
        <v>17.879124481025563</v>
      </c>
      <c r="P70" s="135">
        <f t="shared" si="3"/>
        <v>18.23694939494971</v>
      </c>
      <c r="Q70" s="136">
        <f t="shared" si="4"/>
        <v>4.534004456194225</v>
      </c>
    </row>
    <row r="71" spans="1:17" ht="24">
      <c r="A71" s="125" t="s">
        <v>255</v>
      </c>
      <c r="B71" s="117"/>
      <c r="C71" s="126" t="s">
        <v>256</v>
      </c>
      <c r="D71" s="138">
        <f t="shared" si="24"/>
        <v>43310.5</v>
      </c>
      <c r="E71" s="138">
        <f t="shared" si="23"/>
        <v>10767.7</v>
      </c>
      <c r="F71" s="146">
        <v>10767.7</v>
      </c>
      <c r="G71" s="146">
        <v>12203.6</v>
      </c>
      <c r="H71" s="140">
        <v>9356</v>
      </c>
      <c r="I71" s="141">
        <v>10983.2</v>
      </c>
      <c r="J71" s="141">
        <v>1963.7</v>
      </c>
      <c r="K71" s="143" t="e">
        <f>J71/#REF!*100</f>
        <v>#REF!</v>
      </c>
      <c r="L71" s="143">
        <f>J71/H71*100</f>
        <v>20.988670371953827</v>
      </c>
      <c r="M71" s="133"/>
      <c r="N71" s="133"/>
      <c r="O71" s="140">
        <f t="shared" si="2"/>
        <v>17.879124481025563</v>
      </c>
      <c r="P71" s="143">
        <f t="shared" si="3"/>
        <v>18.23694939494971</v>
      </c>
      <c r="Q71" s="141">
        <f t="shared" si="4"/>
        <v>4.534004456194225</v>
      </c>
    </row>
    <row r="72" spans="1:17" ht="36">
      <c r="A72" s="125" t="s">
        <v>261</v>
      </c>
      <c r="B72" s="129"/>
      <c r="C72" s="130" t="s">
        <v>262</v>
      </c>
      <c r="D72" s="138">
        <f t="shared" si="24"/>
        <v>0</v>
      </c>
      <c r="E72" s="138">
        <f t="shared" si="23"/>
        <v>0</v>
      </c>
      <c r="F72" s="152"/>
      <c r="G72" s="152"/>
      <c r="H72" s="140"/>
      <c r="I72" s="141"/>
      <c r="J72" s="141"/>
      <c r="K72" s="143" t="e">
        <f>J72/#REF!*100</f>
        <v>#REF!</v>
      </c>
      <c r="L72" s="143"/>
      <c r="M72" s="133"/>
      <c r="N72" s="133"/>
      <c r="O72" s="140" t="e">
        <f t="shared" si="2"/>
        <v>#DIV/0!</v>
      </c>
      <c r="P72" s="135"/>
      <c r="Q72" s="136"/>
    </row>
    <row r="73" spans="1:17" ht="12.75">
      <c r="A73" s="115"/>
      <c r="B73" s="131"/>
      <c r="C73" s="132" t="s">
        <v>263</v>
      </c>
      <c r="D73" s="136">
        <f aca="true" t="shared" si="26" ref="D73:K73">D70+D60</f>
        <v>73751.5</v>
      </c>
      <c r="E73" s="136">
        <f t="shared" si="26"/>
        <v>16933</v>
      </c>
      <c r="F73" s="136">
        <f t="shared" si="26"/>
        <v>16933</v>
      </c>
      <c r="G73" s="136">
        <f t="shared" si="26"/>
        <v>19190.8</v>
      </c>
      <c r="H73" s="136">
        <f t="shared" si="26"/>
        <v>17480.8</v>
      </c>
      <c r="I73" s="136">
        <f t="shared" si="26"/>
        <v>20146.9</v>
      </c>
      <c r="J73" s="136">
        <f t="shared" si="26"/>
        <v>2815.2</v>
      </c>
      <c r="K73" s="136" t="e">
        <f t="shared" si="26"/>
        <v>#REF!</v>
      </c>
      <c r="L73" s="135">
        <f>J73/H73*100</f>
        <v>16.10452610864491</v>
      </c>
      <c r="M73" s="133"/>
      <c r="N73" s="147" t="e">
        <f>I73+#REF!+#REF!</f>
        <v>#REF!</v>
      </c>
      <c r="O73" s="145">
        <f t="shared" si="2"/>
        <v>13.973365629451676</v>
      </c>
      <c r="P73" s="135">
        <f t="shared" si="3"/>
        <v>16.62552412449064</v>
      </c>
      <c r="Q73" s="136">
        <f t="shared" si="4"/>
        <v>3.8171427021823283</v>
      </c>
    </row>
    <row r="74" spans="1:17" ht="12.75">
      <c r="A74" s="20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5"/>
      <c r="M74" s="133"/>
      <c r="N74" s="133"/>
      <c r="O74" s="134"/>
      <c r="P74" s="135"/>
      <c r="Q74" s="136"/>
    </row>
    <row r="75" spans="1:17" ht="12.75">
      <c r="A75" s="209" t="s">
        <v>267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135"/>
      <c r="Q75" s="136"/>
    </row>
    <row r="76" spans="1:17" ht="12.75">
      <c r="A76" s="113" t="s">
        <v>225</v>
      </c>
      <c r="B76" s="113"/>
      <c r="C76" s="114" t="s">
        <v>226</v>
      </c>
      <c r="D76" s="135">
        <f>D77+D78+D79+D80+D81+D82+D83+D84+D85</f>
        <v>23357.5</v>
      </c>
      <c r="E76" s="135">
        <f>E77+E78+E79+E80+E81+E82+E83+E84+E85</f>
        <v>4679.2</v>
      </c>
      <c r="F76" s="135">
        <f>F77+F78+F79+F80+F81+F82+F83+F84+F85</f>
        <v>4679.2</v>
      </c>
      <c r="G76" s="135">
        <f>G77+G78+G79+G80+G81+G82+G83+G84+G85</f>
        <v>6147</v>
      </c>
      <c r="H76" s="135">
        <f>H77+H78+H79+H80+H81+H82+H83+H84+H85</f>
        <v>5307.900000000001</v>
      </c>
      <c r="I76" s="135">
        <f>I77+I78+I79+I80+I81+I82+I83+I84+I85+I86</f>
        <v>7223.4</v>
      </c>
      <c r="J76" s="135">
        <f>J77+J78+J79+J80+J81+J82+J83+J84+J85+J86</f>
        <v>1149.3999999999999</v>
      </c>
      <c r="K76" s="135" t="e">
        <f>J76/#REF!*100</f>
        <v>#REF!</v>
      </c>
      <c r="L76" s="135">
        <f>J76/H76*100</f>
        <v>21.65451496825486</v>
      </c>
      <c r="M76" s="133"/>
      <c r="N76" s="133"/>
      <c r="O76" s="135">
        <f t="shared" si="2"/>
        <v>15.91217432234128</v>
      </c>
      <c r="P76" s="135">
        <f aca="true" t="shared" si="27" ref="P76:P138">J76*100/E76</f>
        <v>24.56402803898102</v>
      </c>
      <c r="Q76" s="136">
        <f aca="true" t="shared" si="28" ref="Q76:Q138">J76*100/D76</f>
        <v>4.92090335010168</v>
      </c>
    </row>
    <row r="77" spans="1:17" ht="12.75">
      <c r="A77" s="115" t="s">
        <v>227</v>
      </c>
      <c r="B77" s="115"/>
      <c r="C77" s="116" t="s">
        <v>228</v>
      </c>
      <c r="D77" s="138">
        <f>F77+G77+H77+I77</f>
        <v>15496</v>
      </c>
      <c r="E77" s="138">
        <f aca="true" t="shared" si="29" ref="E77:E85">F77</f>
        <v>3500</v>
      </c>
      <c r="F77" s="146">
        <v>3500</v>
      </c>
      <c r="G77" s="146">
        <v>4100</v>
      </c>
      <c r="H77" s="140">
        <v>3250</v>
      </c>
      <c r="I77" s="140">
        <v>4646</v>
      </c>
      <c r="J77" s="141">
        <v>831.5</v>
      </c>
      <c r="K77" s="143" t="e">
        <f>J77/#REF!*100</f>
        <v>#REF!</v>
      </c>
      <c r="L77" s="143">
        <f>J77/H77*100</f>
        <v>25.584615384615383</v>
      </c>
      <c r="M77" s="133"/>
      <c r="N77" s="133"/>
      <c r="O77" s="140">
        <f aca="true" t="shared" si="30" ref="O77:O142">J77*100/I77</f>
        <v>17.897115798536376</v>
      </c>
      <c r="P77" s="143">
        <f t="shared" si="27"/>
        <v>23.757142857142856</v>
      </c>
      <c r="Q77" s="141">
        <f t="shared" si="28"/>
        <v>5.365900877645844</v>
      </c>
    </row>
    <row r="78" spans="1:17" ht="12.75">
      <c r="A78" s="117" t="s">
        <v>231</v>
      </c>
      <c r="B78" s="117"/>
      <c r="C78" s="116" t="s">
        <v>232</v>
      </c>
      <c r="D78" s="138">
        <f aca="true" t="shared" si="31" ref="D78:D85">F78+G78+H78+I78</f>
        <v>0</v>
      </c>
      <c r="E78" s="138">
        <f t="shared" si="29"/>
        <v>0</v>
      </c>
      <c r="F78" s="146"/>
      <c r="G78" s="146"/>
      <c r="H78" s="140"/>
      <c r="I78" s="140"/>
      <c r="J78" s="141">
        <v>0.5</v>
      </c>
      <c r="K78" s="143"/>
      <c r="L78" s="143"/>
      <c r="M78" s="133"/>
      <c r="N78" s="133"/>
      <c r="O78" s="140" t="e">
        <f t="shared" si="30"/>
        <v>#DIV/0!</v>
      </c>
      <c r="P78" s="143"/>
      <c r="Q78" s="141"/>
    </row>
    <row r="79" spans="1:17" ht="12.75">
      <c r="A79" s="117" t="s">
        <v>233</v>
      </c>
      <c r="B79" s="117"/>
      <c r="C79" s="116" t="s">
        <v>234</v>
      </c>
      <c r="D79" s="138">
        <f t="shared" si="31"/>
        <v>1432</v>
      </c>
      <c r="E79" s="138">
        <f t="shared" si="29"/>
        <v>234.9</v>
      </c>
      <c r="F79" s="146">
        <v>234.9</v>
      </c>
      <c r="G79" s="146">
        <v>215.4</v>
      </c>
      <c r="H79" s="140">
        <v>390.8</v>
      </c>
      <c r="I79" s="140">
        <v>590.9</v>
      </c>
      <c r="J79" s="141">
        <v>121.5</v>
      </c>
      <c r="K79" s="143" t="e">
        <f>J79/#REF!*100</f>
        <v>#REF!</v>
      </c>
      <c r="L79" s="143">
        <f>J79/H79*100</f>
        <v>31.09007164790174</v>
      </c>
      <c r="M79" s="133"/>
      <c r="N79" s="133"/>
      <c r="O79" s="140">
        <f t="shared" si="30"/>
        <v>20.56185479776612</v>
      </c>
      <c r="P79" s="143">
        <f t="shared" si="27"/>
        <v>51.724137931034484</v>
      </c>
      <c r="Q79" s="141">
        <f t="shared" si="28"/>
        <v>8.48463687150838</v>
      </c>
    </row>
    <row r="80" spans="1:17" ht="12.75">
      <c r="A80" s="117" t="s">
        <v>235</v>
      </c>
      <c r="B80" s="117"/>
      <c r="C80" s="116" t="s">
        <v>236</v>
      </c>
      <c r="D80" s="138">
        <f t="shared" si="31"/>
        <v>0</v>
      </c>
      <c r="E80" s="138">
        <f t="shared" si="29"/>
        <v>0</v>
      </c>
      <c r="F80" s="146"/>
      <c r="G80" s="146"/>
      <c r="H80" s="140"/>
      <c r="I80" s="140"/>
      <c r="J80" s="141"/>
      <c r="K80" s="143"/>
      <c r="L80" s="143"/>
      <c r="M80" s="133"/>
      <c r="N80" s="133"/>
      <c r="O80" s="140" t="e">
        <f t="shared" si="30"/>
        <v>#DIV/0!</v>
      </c>
      <c r="P80" s="143" t="e">
        <f t="shared" si="27"/>
        <v>#DIV/0!</v>
      </c>
      <c r="Q80" s="141" t="e">
        <f t="shared" si="28"/>
        <v>#DIV/0!</v>
      </c>
    </row>
    <row r="81" spans="1:17" ht="24">
      <c r="A81" s="118" t="s">
        <v>239</v>
      </c>
      <c r="B81" s="118"/>
      <c r="C81" s="116" t="s">
        <v>240</v>
      </c>
      <c r="D81" s="138">
        <f t="shared" si="31"/>
        <v>5848</v>
      </c>
      <c r="E81" s="138">
        <f t="shared" si="29"/>
        <v>775</v>
      </c>
      <c r="F81" s="146">
        <v>775</v>
      </c>
      <c r="G81" s="146">
        <v>1700</v>
      </c>
      <c r="H81" s="140">
        <v>1600</v>
      </c>
      <c r="I81" s="140">
        <v>1773</v>
      </c>
      <c r="J81" s="141">
        <v>43.8</v>
      </c>
      <c r="K81" s="143" t="e">
        <f>J81/#REF!*100</f>
        <v>#REF!</v>
      </c>
      <c r="L81" s="143">
        <f>J81/H81*100</f>
        <v>2.7375</v>
      </c>
      <c r="M81" s="133"/>
      <c r="N81" s="133"/>
      <c r="O81" s="140">
        <f t="shared" si="30"/>
        <v>2.470389170896785</v>
      </c>
      <c r="P81" s="143">
        <f t="shared" si="27"/>
        <v>5.651612903225806</v>
      </c>
      <c r="Q81" s="141">
        <f t="shared" si="28"/>
        <v>0.7489740082079344</v>
      </c>
    </row>
    <row r="82" spans="1:17" ht="24">
      <c r="A82" s="120" t="s">
        <v>243</v>
      </c>
      <c r="B82" s="120"/>
      <c r="C82" s="116" t="s">
        <v>244</v>
      </c>
      <c r="D82" s="138">
        <f t="shared" si="31"/>
        <v>479</v>
      </c>
      <c r="E82" s="138">
        <f t="shared" si="29"/>
        <v>144.3</v>
      </c>
      <c r="F82" s="146">
        <v>144.3</v>
      </c>
      <c r="G82" s="146">
        <v>105.6</v>
      </c>
      <c r="H82" s="140">
        <v>41.1</v>
      </c>
      <c r="I82" s="140">
        <v>188</v>
      </c>
      <c r="J82" s="141"/>
      <c r="K82" s="143" t="e">
        <f>J82/#REF!*100</f>
        <v>#REF!</v>
      </c>
      <c r="L82" s="143">
        <f>J82/H82*100</f>
        <v>0</v>
      </c>
      <c r="M82" s="133"/>
      <c r="N82" s="133"/>
      <c r="O82" s="140">
        <f t="shared" si="30"/>
        <v>0</v>
      </c>
      <c r="P82" s="143">
        <f t="shared" si="27"/>
        <v>0</v>
      </c>
      <c r="Q82" s="141">
        <f t="shared" si="28"/>
        <v>0</v>
      </c>
    </row>
    <row r="83" spans="1:17" ht="24">
      <c r="A83" s="119" t="s">
        <v>245</v>
      </c>
      <c r="B83" s="119"/>
      <c r="C83" s="116" t="s">
        <v>246</v>
      </c>
      <c r="D83" s="138">
        <f t="shared" si="31"/>
        <v>102.5</v>
      </c>
      <c r="E83" s="138">
        <f t="shared" si="29"/>
        <v>25</v>
      </c>
      <c r="F83" s="146">
        <v>25</v>
      </c>
      <c r="G83" s="146">
        <v>26</v>
      </c>
      <c r="H83" s="140">
        <v>26</v>
      </c>
      <c r="I83" s="140">
        <v>25.5</v>
      </c>
      <c r="J83" s="141">
        <v>152.1</v>
      </c>
      <c r="K83" s="143" t="e">
        <f>J83/#REF!*100</f>
        <v>#REF!</v>
      </c>
      <c r="L83" s="143">
        <f>J83/H83*100</f>
        <v>585</v>
      </c>
      <c r="M83" s="133"/>
      <c r="N83" s="133"/>
      <c r="O83" s="140">
        <f t="shared" si="30"/>
        <v>596.4705882352941</v>
      </c>
      <c r="P83" s="143">
        <f t="shared" si="27"/>
        <v>608.4</v>
      </c>
      <c r="Q83" s="141">
        <f t="shared" si="28"/>
        <v>148.390243902439</v>
      </c>
    </row>
    <row r="84" spans="1:17" ht="12.75">
      <c r="A84" s="115" t="s">
        <v>249</v>
      </c>
      <c r="B84" s="115"/>
      <c r="C84" s="116" t="s">
        <v>250</v>
      </c>
      <c r="D84" s="138">
        <f t="shared" si="31"/>
        <v>0</v>
      </c>
      <c r="E84" s="138">
        <f t="shared" si="29"/>
        <v>0</v>
      </c>
      <c r="F84" s="146"/>
      <c r="G84" s="146"/>
      <c r="H84" s="140"/>
      <c r="I84" s="140"/>
      <c r="J84" s="141"/>
      <c r="K84" s="135"/>
      <c r="L84" s="135"/>
      <c r="M84" s="133"/>
      <c r="N84" s="133"/>
      <c r="O84" s="140" t="e">
        <f t="shared" si="30"/>
        <v>#DIV/0!</v>
      </c>
      <c r="P84" s="143"/>
      <c r="Q84" s="141"/>
    </row>
    <row r="85" spans="1:17" ht="12.75">
      <c r="A85" s="121" t="s">
        <v>251</v>
      </c>
      <c r="B85" s="122"/>
      <c r="C85" s="123" t="s">
        <v>252</v>
      </c>
      <c r="D85" s="138">
        <f t="shared" si="31"/>
        <v>0</v>
      </c>
      <c r="E85" s="138">
        <f t="shared" si="29"/>
        <v>0</v>
      </c>
      <c r="F85" s="146"/>
      <c r="G85" s="146"/>
      <c r="H85" s="140"/>
      <c r="I85" s="140"/>
      <c r="J85" s="141"/>
      <c r="K85" s="135"/>
      <c r="L85" s="135"/>
      <c r="M85" s="133"/>
      <c r="N85" s="133"/>
      <c r="O85" s="140" t="e">
        <f t="shared" si="30"/>
        <v>#DIV/0!</v>
      </c>
      <c r="P85" s="143"/>
      <c r="Q85" s="141"/>
    </row>
    <row r="86" spans="1:17" ht="12.75">
      <c r="A86" s="121" t="s">
        <v>268</v>
      </c>
      <c r="B86" s="122"/>
      <c r="C86" s="123" t="s">
        <v>269</v>
      </c>
      <c r="D86" s="123"/>
      <c r="E86" s="123"/>
      <c r="F86" s="146"/>
      <c r="G86" s="146"/>
      <c r="H86" s="140" t="e">
        <f>I86+#REF!+#REF!+#REF!</f>
        <v>#REF!</v>
      </c>
      <c r="I86" s="140"/>
      <c r="J86" s="141"/>
      <c r="K86" s="135"/>
      <c r="L86" s="135"/>
      <c r="M86" s="133"/>
      <c r="N86" s="133"/>
      <c r="O86" s="140" t="e">
        <f t="shared" si="30"/>
        <v>#DIV/0!</v>
      </c>
      <c r="P86" s="135" t="e">
        <f t="shared" si="27"/>
        <v>#DIV/0!</v>
      </c>
      <c r="Q86" s="136" t="e">
        <f t="shared" si="28"/>
        <v>#DIV/0!</v>
      </c>
    </row>
    <row r="87" spans="1:17" ht="12.75">
      <c r="A87" s="113" t="s">
        <v>253</v>
      </c>
      <c r="B87" s="113"/>
      <c r="C87" s="124" t="s">
        <v>254</v>
      </c>
      <c r="D87" s="144">
        <f aca="true" t="shared" si="32" ref="D87:J87">D88+D89</f>
        <v>63281.1</v>
      </c>
      <c r="E87" s="159">
        <f t="shared" si="32"/>
        <v>12882.8</v>
      </c>
      <c r="F87" s="144">
        <f t="shared" si="32"/>
        <v>12882.8</v>
      </c>
      <c r="G87" s="144">
        <f t="shared" si="32"/>
        <v>20394.2</v>
      </c>
      <c r="H87" s="144">
        <f t="shared" si="32"/>
        <v>16819</v>
      </c>
      <c r="I87" s="144">
        <f t="shared" si="32"/>
        <v>13185.1</v>
      </c>
      <c r="J87" s="144">
        <f t="shared" si="32"/>
        <v>3821.5</v>
      </c>
      <c r="K87" s="135" t="e">
        <f>J87/#REF!*100</f>
        <v>#REF!</v>
      </c>
      <c r="L87" s="135">
        <f>J87/H87*100</f>
        <v>22.721327070574944</v>
      </c>
      <c r="M87" s="133"/>
      <c r="N87" s="133"/>
      <c r="O87" s="145">
        <f t="shared" si="30"/>
        <v>28.983473769633903</v>
      </c>
      <c r="P87" s="135">
        <f t="shared" si="27"/>
        <v>29.663582451019966</v>
      </c>
      <c r="Q87" s="136">
        <f t="shared" si="28"/>
        <v>6.038927894742664</v>
      </c>
    </row>
    <row r="88" spans="1:17" ht="24">
      <c r="A88" s="125" t="s">
        <v>255</v>
      </c>
      <c r="B88" s="117"/>
      <c r="C88" s="126" t="s">
        <v>256</v>
      </c>
      <c r="D88" s="138">
        <f>F88+G88+H88+I88</f>
        <v>63281.1</v>
      </c>
      <c r="E88" s="138">
        <f>F88</f>
        <v>12882.8</v>
      </c>
      <c r="F88" s="146">
        <v>12882.8</v>
      </c>
      <c r="G88" s="146">
        <v>20394.2</v>
      </c>
      <c r="H88" s="140">
        <v>16819</v>
      </c>
      <c r="I88" s="140">
        <v>13185.1</v>
      </c>
      <c r="J88" s="141">
        <v>3821.5</v>
      </c>
      <c r="K88" s="143" t="e">
        <f>J88/#REF!*100</f>
        <v>#REF!</v>
      </c>
      <c r="L88" s="143">
        <f>J88/H88*100</f>
        <v>22.721327070574944</v>
      </c>
      <c r="M88" s="133"/>
      <c r="N88" s="133"/>
      <c r="O88" s="140">
        <f t="shared" si="30"/>
        <v>28.983473769633903</v>
      </c>
      <c r="P88" s="143">
        <f t="shared" si="27"/>
        <v>29.663582451019966</v>
      </c>
      <c r="Q88" s="141">
        <f t="shared" si="28"/>
        <v>6.038927894742664</v>
      </c>
    </row>
    <row r="89" spans="1:17" ht="12.75">
      <c r="A89" s="125" t="s">
        <v>257</v>
      </c>
      <c r="B89" s="125"/>
      <c r="C89" s="127" t="s">
        <v>258</v>
      </c>
      <c r="D89" s="138">
        <f>F89+G89+H89+I89</f>
        <v>0</v>
      </c>
      <c r="E89" s="138">
        <f>F89</f>
        <v>0</v>
      </c>
      <c r="F89" s="160"/>
      <c r="G89" s="160"/>
      <c r="H89" s="140"/>
      <c r="I89" s="140"/>
      <c r="J89" s="141"/>
      <c r="K89" s="143" t="e">
        <f>J89/#REF!*100</f>
        <v>#REF!</v>
      </c>
      <c r="L89" s="143"/>
      <c r="M89" s="133"/>
      <c r="N89" s="133"/>
      <c r="O89" s="140" t="e">
        <f t="shared" si="30"/>
        <v>#DIV/0!</v>
      </c>
      <c r="P89" s="143" t="e">
        <f>J89*100/E89</f>
        <v>#DIV/0!</v>
      </c>
      <c r="Q89" s="141" t="e">
        <f>J89*100/D89</f>
        <v>#DIV/0!</v>
      </c>
    </row>
    <row r="90" spans="1:17" ht="12.75">
      <c r="A90" s="115"/>
      <c r="B90" s="131"/>
      <c r="C90" s="132" t="s">
        <v>263</v>
      </c>
      <c r="D90" s="136">
        <f aca="true" t="shared" si="33" ref="D90:J90">D87+D76</f>
        <v>86638.6</v>
      </c>
      <c r="E90" s="136">
        <f t="shared" si="33"/>
        <v>17562</v>
      </c>
      <c r="F90" s="136">
        <f t="shared" si="33"/>
        <v>17562</v>
      </c>
      <c r="G90" s="136">
        <f t="shared" si="33"/>
        <v>26541.2</v>
      </c>
      <c r="H90" s="136">
        <f t="shared" si="33"/>
        <v>22126.9</v>
      </c>
      <c r="I90" s="136">
        <f t="shared" si="33"/>
        <v>20408.5</v>
      </c>
      <c r="J90" s="136">
        <f t="shared" si="33"/>
        <v>4970.9</v>
      </c>
      <c r="K90" s="135" t="e">
        <f>J90/#REF!*100</f>
        <v>#REF!</v>
      </c>
      <c r="L90" s="135">
        <f>J90/H90*100</f>
        <v>22.465415399355532</v>
      </c>
      <c r="M90" s="133"/>
      <c r="N90" s="147" t="e">
        <f>I90+#REF!+#REF!</f>
        <v>#REF!</v>
      </c>
      <c r="O90" s="145">
        <f t="shared" si="30"/>
        <v>24.35700810936619</v>
      </c>
      <c r="P90" s="135">
        <f t="shared" si="27"/>
        <v>28.30486277189386</v>
      </c>
      <c r="Q90" s="136">
        <f t="shared" si="28"/>
        <v>5.737511917320916</v>
      </c>
    </row>
    <row r="91" spans="1:17" ht="12.75">
      <c r="A91" s="20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5"/>
      <c r="M91" s="133"/>
      <c r="N91" s="133"/>
      <c r="O91" s="134"/>
      <c r="P91" s="135"/>
      <c r="Q91" s="136"/>
    </row>
    <row r="92" spans="1:17" ht="12.75">
      <c r="A92" s="209" t="s">
        <v>270</v>
      </c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135"/>
      <c r="Q92" s="136"/>
    </row>
    <row r="93" spans="1:17" ht="12.75">
      <c r="A93" s="113" t="s">
        <v>225</v>
      </c>
      <c r="B93" s="113"/>
      <c r="C93" s="114" t="s">
        <v>226</v>
      </c>
      <c r="D93" s="135">
        <f aca="true" t="shared" si="34" ref="D93:J93">D94+D95+D99+D96+D97+D100+D98</f>
        <v>3422.5</v>
      </c>
      <c r="E93" s="135">
        <f t="shared" si="34"/>
        <v>850.1000000000001</v>
      </c>
      <c r="F93" s="135">
        <f t="shared" si="34"/>
        <v>850.1000000000001</v>
      </c>
      <c r="G93" s="135">
        <f t="shared" si="34"/>
        <v>858.1999999999999</v>
      </c>
      <c r="H93" s="135">
        <f t="shared" si="34"/>
        <v>857.9000000000001</v>
      </c>
      <c r="I93" s="135">
        <f t="shared" si="34"/>
        <v>856.3</v>
      </c>
      <c r="J93" s="135">
        <f t="shared" si="34"/>
        <v>129.90000000000003</v>
      </c>
      <c r="K93" s="135" t="e">
        <f>J93/#REF!*100</f>
        <v>#REF!</v>
      </c>
      <c r="L93" s="135">
        <f>J93/H93*100</f>
        <v>15.141624898006764</v>
      </c>
      <c r="M93" s="133"/>
      <c r="N93" s="133"/>
      <c r="O93" s="135">
        <f t="shared" si="30"/>
        <v>15.16991708513372</v>
      </c>
      <c r="P93" s="135">
        <f t="shared" si="27"/>
        <v>15.280555228796613</v>
      </c>
      <c r="Q93" s="136">
        <f t="shared" si="28"/>
        <v>3.795471146822499</v>
      </c>
    </row>
    <row r="94" spans="1:17" ht="12.75">
      <c r="A94" s="115" t="s">
        <v>227</v>
      </c>
      <c r="B94" s="115"/>
      <c r="C94" s="116" t="s">
        <v>228</v>
      </c>
      <c r="D94" s="138">
        <f>F94+G94+H94+I94</f>
        <v>3255</v>
      </c>
      <c r="E94" s="138">
        <f aca="true" t="shared" si="35" ref="E94:E102">F94</f>
        <v>813.7</v>
      </c>
      <c r="F94" s="146">
        <v>813.7</v>
      </c>
      <c r="G94" s="146">
        <v>813.8</v>
      </c>
      <c r="H94" s="140">
        <v>813.7</v>
      </c>
      <c r="I94" s="141">
        <v>813.8</v>
      </c>
      <c r="J94" s="141">
        <v>132.4</v>
      </c>
      <c r="K94" s="143"/>
      <c r="L94" s="143">
        <f>J94/H94*100</f>
        <v>16.271353078530172</v>
      </c>
      <c r="M94" s="147"/>
      <c r="N94" s="133"/>
      <c r="O94" s="140">
        <f t="shared" si="30"/>
        <v>16.269353649545344</v>
      </c>
      <c r="P94" s="143">
        <f t="shared" si="27"/>
        <v>16.27135307853017</v>
      </c>
      <c r="Q94" s="141">
        <f t="shared" si="28"/>
        <v>4.067588325652841</v>
      </c>
    </row>
    <row r="95" spans="1:17" ht="12.75">
      <c r="A95" s="117" t="s">
        <v>233</v>
      </c>
      <c r="B95" s="117"/>
      <c r="C95" s="116" t="s">
        <v>234</v>
      </c>
      <c r="D95" s="138">
        <f aca="true" t="shared" si="36" ref="D95:D103">F95+G95+H95+I95</f>
        <v>40</v>
      </c>
      <c r="E95" s="138">
        <f t="shared" si="35"/>
        <v>7.1</v>
      </c>
      <c r="F95" s="146">
        <v>7.1</v>
      </c>
      <c r="G95" s="146">
        <v>11</v>
      </c>
      <c r="H95" s="140">
        <v>10.9</v>
      </c>
      <c r="I95" s="141">
        <v>11</v>
      </c>
      <c r="J95" s="141">
        <v>-5.6</v>
      </c>
      <c r="K95" s="143"/>
      <c r="L95" s="143">
        <f aca="true" t="shared" si="37" ref="L95:L102">J95/H95*100</f>
        <v>-51.376146788990816</v>
      </c>
      <c r="M95" s="147"/>
      <c r="N95" s="133"/>
      <c r="O95" s="140">
        <f t="shared" si="30"/>
        <v>-50.90909090909091</v>
      </c>
      <c r="P95" s="143">
        <f t="shared" si="27"/>
        <v>-78.87323943661973</v>
      </c>
      <c r="Q95" s="141">
        <f t="shared" si="28"/>
        <v>-14</v>
      </c>
    </row>
    <row r="96" spans="1:17" ht="12.75">
      <c r="A96" s="117" t="s">
        <v>235</v>
      </c>
      <c r="B96" s="117"/>
      <c r="C96" s="116" t="s">
        <v>236</v>
      </c>
      <c r="D96" s="138">
        <f t="shared" si="36"/>
        <v>10</v>
      </c>
      <c r="E96" s="138">
        <f t="shared" si="35"/>
        <v>1</v>
      </c>
      <c r="F96" s="146">
        <v>1</v>
      </c>
      <c r="G96" s="146">
        <v>3</v>
      </c>
      <c r="H96" s="140">
        <v>3</v>
      </c>
      <c r="I96" s="141">
        <v>3</v>
      </c>
      <c r="J96" s="141">
        <v>0.4</v>
      </c>
      <c r="K96" s="143"/>
      <c r="L96" s="143">
        <f t="shared" si="37"/>
        <v>13.333333333333334</v>
      </c>
      <c r="M96" s="133"/>
      <c r="N96" s="133"/>
      <c r="O96" s="140">
        <f t="shared" si="30"/>
        <v>13.333333333333334</v>
      </c>
      <c r="P96" s="143">
        <f t="shared" si="27"/>
        <v>40</v>
      </c>
      <c r="Q96" s="141">
        <f t="shared" si="28"/>
        <v>4</v>
      </c>
    </row>
    <row r="97" spans="1:17" ht="24">
      <c r="A97" s="118" t="s">
        <v>239</v>
      </c>
      <c r="B97" s="118"/>
      <c r="C97" s="116" t="s">
        <v>240</v>
      </c>
      <c r="D97" s="138">
        <f t="shared" si="36"/>
        <v>82.5</v>
      </c>
      <c r="E97" s="138">
        <f t="shared" si="35"/>
        <v>20.6</v>
      </c>
      <c r="F97" s="146">
        <v>20.6</v>
      </c>
      <c r="G97" s="146">
        <v>20.6</v>
      </c>
      <c r="H97" s="140">
        <v>20.6</v>
      </c>
      <c r="I97" s="141">
        <v>20.7</v>
      </c>
      <c r="J97" s="141">
        <v>0.7</v>
      </c>
      <c r="K97" s="143"/>
      <c r="L97" s="143">
        <f t="shared" si="37"/>
        <v>3.3980582524271843</v>
      </c>
      <c r="M97" s="133"/>
      <c r="N97" s="133"/>
      <c r="O97" s="140">
        <f t="shared" si="30"/>
        <v>3.3816425120772946</v>
      </c>
      <c r="P97" s="143">
        <f t="shared" si="27"/>
        <v>3.3980582524271843</v>
      </c>
      <c r="Q97" s="141">
        <f t="shared" si="28"/>
        <v>0.8484848484848485</v>
      </c>
    </row>
    <row r="98" spans="1:17" ht="24">
      <c r="A98" s="120" t="s">
        <v>243</v>
      </c>
      <c r="B98" s="120"/>
      <c r="C98" s="116" t="s">
        <v>244</v>
      </c>
      <c r="D98" s="138">
        <f t="shared" si="36"/>
        <v>27</v>
      </c>
      <c r="E98" s="138">
        <f t="shared" si="35"/>
        <v>6.7</v>
      </c>
      <c r="F98" s="146">
        <v>6.7</v>
      </c>
      <c r="G98" s="146">
        <v>6.8</v>
      </c>
      <c r="H98" s="140">
        <v>6.7</v>
      </c>
      <c r="I98" s="141">
        <v>6.8</v>
      </c>
      <c r="J98" s="141"/>
      <c r="K98" s="143"/>
      <c r="L98" s="143">
        <f t="shared" si="37"/>
        <v>0</v>
      </c>
      <c r="M98" s="133"/>
      <c r="N98" s="133"/>
      <c r="O98" s="140">
        <f t="shared" si="30"/>
        <v>0</v>
      </c>
      <c r="P98" s="143">
        <f t="shared" si="27"/>
        <v>0</v>
      </c>
      <c r="Q98" s="141">
        <f t="shared" si="28"/>
        <v>0</v>
      </c>
    </row>
    <row r="99" spans="1:17" ht="24">
      <c r="A99" s="120" t="s">
        <v>245</v>
      </c>
      <c r="B99" s="120"/>
      <c r="C99" s="116" t="s">
        <v>246</v>
      </c>
      <c r="D99" s="138">
        <f t="shared" si="36"/>
        <v>8</v>
      </c>
      <c r="E99" s="138">
        <f t="shared" si="35"/>
        <v>1</v>
      </c>
      <c r="F99" s="146">
        <v>1</v>
      </c>
      <c r="G99" s="146">
        <v>3</v>
      </c>
      <c r="H99" s="140">
        <v>3</v>
      </c>
      <c r="I99" s="141">
        <v>1</v>
      </c>
      <c r="J99" s="141"/>
      <c r="K99" s="143"/>
      <c r="L99" s="143">
        <f t="shared" si="37"/>
        <v>0</v>
      </c>
      <c r="M99" s="133"/>
      <c r="N99" s="133"/>
      <c r="O99" s="140">
        <f t="shared" si="30"/>
        <v>0</v>
      </c>
      <c r="P99" s="143">
        <f t="shared" si="27"/>
        <v>0</v>
      </c>
      <c r="Q99" s="141">
        <f t="shared" si="28"/>
        <v>0</v>
      </c>
    </row>
    <row r="100" spans="1:17" ht="12.75">
      <c r="A100" s="120" t="s">
        <v>251</v>
      </c>
      <c r="B100" s="161"/>
      <c r="C100" s="123" t="s">
        <v>252</v>
      </c>
      <c r="D100" s="138">
        <f t="shared" si="36"/>
        <v>0</v>
      </c>
      <c r="E100" s="138">
        <f t="shared" si="35"/>
        <v>0</v>
      </c>
      <c r="F100" s="146"/>
      <c r="G100" s="146"/>
      <c r="H100" s="140"/>
      <c r="I100" s="141"/>
      <c r="J100" s="141">
        <v>2</v>
      </c>
      <c r="K100" s="135"/>
      <c r="L100" s="143" t="e">
        <f t="shared" si="37"/>
        <v>#DIV/0!</v>
      </c>
      <c r="M100" s="133"/>
      <c r="N100" s="133"/>
      <c r="O100" s="140" t="e">
        <f t="shared" si="30"/>
        <v>#DIV/0!</v>
      </c>
      <c r="P100" s="135"/>
      <c r="Q100" s="136"/>
    </row>
    <row r="101" spans="1:17" ht="12.75">
      <c r="A101" s="151" t="s">
        <v>253</v>
      </c>
      <c r="B101" s="151"/>
      <c r="C101" s="124" t="s">
        <v>254</v>
      </c>
      <c r="D101" s="144">
        <f aca="true" t="shared" si="38" ref="D101:K101">D102+D103</f>
        <v>19490.6</v>
      </c>
      <c r="E101" s="144">
        <f t="shared" si="38"/>
        <v>5015.2</v>
      </c>
      <c r="F101" s="144">
        <f t="shared" si="38"/>
        <v>5015.2</v>
      </c>
      <c r="G101" s="144">
        <f t="shared" si="38"/>
        <v>4825.1</v>
      </c>
      <c r="H101" s="144">
        <f t="shared" si="38"/>
        <v>4825.1</v>
      </c>
      <c r="I101" s="144">
        <f t="shared" si="38"/>
        <v>4825.2</v>
      </c>
      <c r="J101" s="144">
        <f t="shared" si="38"/>
        <v>1116.3</v>
      </c>
      <c r="K101" s="144">
        <f t="shared" si="38"/>
        <v>0</v>
      </c>
      <c r="L101" s="135">
        <f>J101/H101*100</f>
        <v>23.135271807838176</v>
      </c>
      <c r="M101" s="133"/>
      <c r="N101" s="133"/>
      <c r="O101" s="145">
        <f t="shared" si="30"/>
        <v>23.134792340213878</v>
      </c>
      <c r="P101" s="135">
        <f t="shared" si="27"/>
        <v>22.258334662625618</v>
      </c>
      <c r="Q101" s="136">
        <f t="shared" si="28"/>
        <v>5.727376273690908</v>
      </c>
    </row>
    <row r="102" spans="1:17" ht="24">
      <c r="A102" s="125" t="s">
        <v>255</v>
      </c>
      <c r="B102" s="117"/>
      <c r="C102" s="126" t="s">
        <v>256</v>
      </c>
      <c r="D102" s="138">
        <f t="shared" si="36"/>
        <v>19490.6</v>
      </c>
      <c r="E102" s="138">
        <f t="shared" si="35"/>
        <v>5015.2</v>
      </c>
      <c r="F102" s="146">
        <v>5015.2</v>
      </c>
      <c r="G102" s="146">
        <v>4825.1</v>
      </c>
      <c r="H102" s="140">
        <v>4825.1</v>
      </c>
      <c r="I102" s="141">
        <v>4825.2</v>
      </c>
      <c r="J102" s="141">
        <v>1116.3</v>
      </c>
      <c r="K102" s="143"/>
      <c r="L102" s="143">
        <f t="shared" si="37"/>
        <v>23.135271807838176</v>
      </c>
      <c r="M102" s="133"/>
      <c r="N102" s="133"/>
      <c r="O102" s="140">
        <f t="shared" si="30"/>
        <v>23.134792340213878</v>
      </c>
      <c r="P102" s="143">
        <f t="shared" si="27"/>
        <v>22.258334662625618</v>
      </c>
      <c r="Q102" s="141">
        <f t="shared" si="28"/>
        <v>5.727376273690908</v>
      </c>
    </row>
    <row r="103" spans="1:17" ht="12.75">
      <c r="A103" s="125" t="s">
        <v>257</v>
      </c>
      <c r="B103" s="125"/>
      <c r="C103" s="127" t="s">
        <v>258</v>
      </c>
      <c r="D103" s="138">
        <f t="shared" si="36"/>
        <v>0</v>
      </c>
      <c r="E103" s="138">
        <f>F103+G103</f>
        <v>0</v>
      </c>
      <c r="F103" s="160"/>
      <c r="G103" s="160"/>
      <c r="H103" s="140"/>
      <c r="I103" s="141"/>
      <c r="J103" s="141"/>
      <c r="K103" s="143"/>
      <c r="L103" s="143"/>
      <c r="M103" s="133"/>
      <c r="N103" s="133"/>
      <c r="O103" s="140" t="e">
        <f t="shared" si="30"/>
        <v>#DIV/0!</v>
      </c>
      <c r="P103" s="135"/>
      <c r="Q103" s="136"/>
    </row>
    <row r="104" spans="1:17" ht="12.75">
      <c r="A104" s="115"/>
      <c r="B104" s="131"/>
      <c r="C104" s="132" t="s">
        <v>263</v>
      </c>
      <c r="D104" s="136">
        <f aca="true" t="shared" si="39" ref="D104:K104">D101+D93</f>
        <v>22913.1</v>
      </c>
      <c r="E104" s="145">
        <f t="shared" si="39"/>
        <v>5865.3</v>
      </c>
      <c r="F104" s="145">
        <f t="shared" si="39"/>
        <v>5865.3</v>
      </c>
      <c r="G104" s="145">
        <f>G101+G93</f>
        <v>5683.3</v>
      </c>
      <c r="H104" s="136">
        <f t="shared" si="39"/>
        <v>5683</v>
      </c>
      <c r="I104" s="136">
        <f t="shared" si="39"/>
        <v>5681.5</v>
      </c>
      <c r="J104" s="136">
        <f t="shared" si="39"/>
        <v>1246.2</v>
      </c>
      <c r="K104" s="136" t="e">
        <f t="shared" si="39"/>
        <v>#REF!</v>
      </c>
      <c r="L104" s="135">
        <f>J104/H104*100</f>
        <v>21.92855885975717</v>
      </c>
      <c r="M104" s="133"/>
      <c r="N104" s="147" t="e">
        <f>I104+#REF!+#REF!</f>
        <v>#REF!</v>
      </c>
      <c r="O104" s="145">
        <f t="shared" si="30"/>
        <v>21.934348323506118</v>
      </c>
      <c r="P104" s="135">
        <f t="shared" si="27"/>
        <v>21.24699503861695</v>
      </c>
      <c r="Q104" s="136">
        <f t="shared" si="28"/>
        <v>5.438810112992131</v>
      </c>
    </row>
    <row r="105" spans="1:17" ht="12.75">
      <c r="A105" s="20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5"/>
      <c r="M105" s="133"/>
      <c r="N105" s="133"/>
      <c r="O105" s="134"/>
      <c r="P105" s="135"/>
      <c r="Q105" s="136"/>
    </row>
    <row r="106" spans="1:17" ht="12.75">
      <c r="A106" s="209" t="s">
        <v>271</v>
      </c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135"/>
      <c r="Q106" s="136"/>
    </row>
    <row r="107" spans="1:17" ht="12.75">
      <c r="A107" s="113" t="s">
        <v>225</v>
      </c>
      <c r="B107" s="113"/>
      <c r="C107" s="114" t="s">
        <v>226</v>
      </c>
      <c r="D107" s="135">
        <f>D108+D110+D114+D111+D112+D115+D113+D116+D109</f>
        <v>1801.6</v>
      </c>
      <c r="E107" s="135">
        <f aca="true" t="shared" si="40" ref="E107:J107">E108+E110+E114+E111+E112+E115+E113+E116+E109</f>
        <v>354.6</v>
      </c>
      <c r="F107" s="135">
        <f t="shared" si="40"/>
        <v>354.6</v>
      </c>
      <c r="G107" s="135">
        <f t="shared" si="40"/>
        <v>444.79999999999995</v>
      </c>
      <c r="H107" s="135">
        <f t="shared" si="40"/>
        <v>428.9</v>
      </c>
      <c r="I107" s="135">
        <f t="shared" si="40"/>
        <v>573.3</v>
      </c>
      <c r="J107" s="135">
        <f t="shared" si="40"/>
        <v>77.5</v>
      </c>
      <c r="K107" s="135" t="e">
        <f>J107/#REF!*100</f>
        <v>#REF!</v>
      </c>
      <c r="L107" s="135">
        <f aca="true" t="shared" si="41" ref="L107:L114">J107/H107*100</f>
        <v>18.069480065283283</v>
      </c>
      <c r="M107" s="133"/>
      <c r="N107" s="133"/>
      <c r="O107" s="135">
        <f t="shared" si="30"/>
        <v>13.518227803942091</v>
      </c>
      <c r="P107" s="135">
        <f t="shared" si="27"/>
        <v>21.855611957134798</v>
      </c>
      <c r="Q107" s="136">
        <f t="shared" si="28"/>
        <v>4.301731793960924</v>
      </c>
    </row>
    <row r="108" spans="1:17" ht="12.75">
      <c r="A108" s="115" t="s">
        <v>227</v>
      </c>
      <c r="B108" s="115"/>
      <c r="C108" s="116" t="s">
        <v>228</v>
      </c>
      <c r="D108" s="138">
        <f>F108+G108+H108+I108</f>
        <v>1260</v>
      </c>
      <c r="E108" s="138">
        <f aca="true" t="shared" si="42" ref="E108:E118">F108</f>
        <v>235.4</v>
      </c>
      <c r="F108" s="138">
        <v>235.4</v>
      </c>
      <c r="G108" s="138">
        <v>285</v>
      </c>
      <c r="H108" s="141">
        <v>292.7</v>
      </c>
      <c r="I108" s="141">
        <v>446.9</v>
      </c>
      <c r="J108" s="141">
        <v>54.6</v>
      </c>
      <c r="K108" s="143" t="e">
        <f>J108/#REF!*100</f>
        <v>#REF!</v>
      </c>
      <c r="L108" s="143">
        <f t="shared" si="41"/>
        <v>18.653911855141786</v>
      </c>
      <c r="M108" s="133"/>
      <c r="N108" s="133"/>
      <c r="O108" s="140">
        <f t="shared" si="30"/>
        <v>12.21749832177221</v>
      </c>
      <c r="P108" s="143">
        <f t="shared" si="27"/>
        <v>23.194562446898896</v>
      </c>
      <c r="Q108" s="141">
        <f t="shared" si="28"/>
        <v>4.333333333333333</v>
      </c>
    </row>
    <row r="109" spans="1:17" ht="12.75">
      <c r="A109" s="117" t="s">
        <v>231</v>
      </c>
      <c r="B109" s="117"/>
      <c r="C109" s="116" t="s">
        <v>232</v>
      </c>
      <c r="D109" s="138">
        <f>F109+G109+H109+I109</f>
        <v>0</v>
      </c>
      <c r="E109" s="138">
        <f t="shared" si="42"/>
        <v>0</v>
      </c>
      <c r="F109" s="138"/>
      <c r="G109" s="138"/>
      <c r="H109" s="141"/>
      <c r="I109" s="141"/>
      <c r="J109" s="141"/>
      <c r="K109" s="143"/>
      <c r="L109" s="143"/>
      <c r="M109" s="133"/>
      <c r="N109" s="133"/>
      <c r="O109" s="140"/>
      <c r="P109" s="143"/>
      <c r="Q109" s="141"/>
    </row>
    <row r="110" spans="1:17" ht="12.75">
      <c r="A110" s="117" t="s">
        <v>233</v>
      </c>
      <c r="B110" s="117"/>
      <c r="C110" s="116" t="s">
        <v>234</v>
      </c>
      <c r="D110" s="138">
        <f aca="true" t="shared" si="43" ref="D110:D118">F110+G110+H110+I110</f>
        <v>63</v>
      </c>
      <c r="E110" s="138">
        <f t="shared" si="42"/>
        <v>9</v>
      </c>
      <c r="F110" s="138">
        <v>9</v>
      </c>
      <c r="G110" s="138">
        <v>30</v>
      </c>
      <c r="H110" s="141">
        <v>12</v>
      </c>
      <c r="I110" s="141">
        <v>12</v>
      </c>
      <c r="J110" s="141">
        <v>0.8</v>
      </c>
      <c r="K110" s="143" t="e">
        <f>J110/#REF!*100</f>
        <v>#REF!</v>
      </c>
      <c r="L110" s="143">
        <f t="shared" si="41"/>
        <v>6.666666666666667</v>
      </c>
      <c r="M110" s="133"/>
      <c r="N110" s="133"/>
      <c r="O110" s="140">
        <f t="shared" si="30"/>
        <v>6.666666666666667</v>
      </c>
      <c r="P110" s="143">
        <f t="shared" si="27"/>
        <v>8.88888888888889</v>
      </c>
      <c r="Q110" s="141">
        <f t="shared" si="28"/>
        <v>1.2698412698412698</v>
      </c>
    </row>
    <row r="111" spans="1:17" ht="12.75">
      <c r="A111" s="117" t="s">
        <v>235</v>
      </c>
      <c r="B111" s="117"/>
      <c r="C111" s="116" t="s">
        <v>236</v>
      </c>
      <c r="D111" s="138">
        <f t="shared" si="43"/>
        <v>31</v>
      </c>
      <c r="E111" s="138">
        <f t="shared" si="42"/>
        <v>7.5</v>
      </c>
      <c r="F111" s="138">
        <v>7.5</v>
      </c>
      <c r="G111" s="138">
        <v>8.4</v>
      </c>
      <c r="H111" s="141">
        <v>7.6</v>
      </c>
      <c r="I111" s="141">
        <v>7.5</v>
      </c>
      <c r="J111" s="141">
        <v>2.8</v>
      </c>
      <c r="K111" s="143" t="e">
        <f>J111/#REF!*100</f>
        <v>#REF!</v>
      </c>
      <c r="L111" s="143">
        <f t="shared" si="41"/>
        <v>36.84210526315789</v>
      </c>
      <c r="M111" s="133"/>
      <c r="N111" s="133"/>
      <c r="O111" s="140">
        <f t="shared" si="30"/>
        <v>37.333333333333336</v>
      </c>
      <c r="P111" s="143">
        <f t="shared" si="27"/>
        <v>37.333333333333336</v>
      </c>
      <c r="Q111" s="141">
        <f t="shared" si="28"/>
        <v>9.03225806451613</v>
      </c>
    </row>
    <row r="112" spans="1:17" ht="24">
      <c r="A112" s="118" t="s">
        <v>239</v>
      </c>
      <c r="B112" s="118"/>
      <c r="C112" s="116" t="s">
        <v>240</v>
      </c>
      <c r="D112" s="138">
        <f t="shared" si="43"/>
        <v>330.1</v>
      </c>
      <c r="E112" s="138">
        <f t="shared" si="42"/>
        <v>80.2</v>
      </c>
      <c r="F112" s="138">
        <v>80.2</v>
      </c>
      <c r="G112" s="138">
        <v>81.4</v>
      </c>
      <c r="H112" s="141">
        <v>84.1</v>
      </c>
      <c r="I112" s="141">
        <v>84.4</v>
      </c>
      <c r="J112" s="141">
        <v>19.3</v>
      </c>
      <c r="K112" s="143" t="e">
        <f>J112/#REF!*100</f>
        <v>#REF!</v>
      </c>
      <c r="L112" s="143">
        <f t="shared" si="41"/>
        <v>22.948870392390013</v>
      </c>
      <c r="M112" s="133"/>
      <c r="N112" s="133"/>
      <c r="O112" s="140">
        <f t="shared" si="30"/>
        <v>22.86729857819905</v>
      </c>
      <c r="P112" s="143">
        <f t="shared" si="27"/>
        <v>24.064837905236907</v>
      </c>
      <c r="Q112" s="141">
        <f t="shared" si="28"/>
        <v>5.846713117237201</v>
      </c>
    </row>
    <row r="113" spans="1:17" ht="24">
      <c r="A113" s="120" t="s">
        <v>243</v>
      </c>
      <c r="B113" s="120"/>
      <c r="C113" s="116" t="s">
        <v>244</v>
      </c>
      <c r="D113" s="138">
        <f t="shared" si="43"/>
        <v>90</v>
      </c>
      <c r="E113" s="138">
        <f t="shared" si="42"/>
        <v>22.5</v>
      </c>
      <c r="F113" s="138">
        <v>22.5</v>
      </c>
      <c r="G113" s="138">
        <v>22.5</v>
      </c>
      <c r="H113" s="141">
        <v>22.5</v>
      </c>
      <c r="I113" s="141">
        <v>22.5</v>
      </c>
      <c r="J113" s="141"/>
      <c r="K113" s="143" t="e">
        <f>J113/#REF!*100</f>
        <v>#REF!</v>
      </c>
      <c r="L113" s="143">
        <f t="shared" si="41"/>
        <v>0</v>
      </c>
      <c r="M113" s="133"/>
      <c r="N113" s="133"/>
      <c r="O113" s="140">
        <f t="shared" si="30"/>
        <v>0</v>
      </c>
      <c r="P113" s="143">
        <f t="shared" si="27"/>
        <v>0</v>
      </c>
      <c r="Q113" s="141">
        <f t="shared" si="28"/>
        <v>0</v>
      </c>
    </row>
    <row r="114" spans="1:17" ht="24">
      <c r="A114" s="119" t="s">
        <v>245</v>
      </c>
      <c r="B114" s="119"/>
      <c r="C114" s="116" t="s">
        <v>246</v>
      </c>
      <c r="D114" s="138">
        <f t="shared" si="43"/>
        <v>27.5</v>
      </c>
      <c r="E114" s="138">
        <f t="shared" si="42"/>
        <v>0</v>
      </c>
      <c r="F114" s="138"/>
      <c r="G114" s="138">
        <v>17.5</v>
      </c>
      <c r="H114" s="141">
        <v>10</v>
      </c>
      <c r="I114" s="141"/>
      <c r="J114" s="141"/>
      <c r="K114" s="143" t="e">
        <f>J114/#REF!*100</f>
        <v>#REF!</v>
      </c>
      <c r="L114" s="143">
        <f t="shared" si="41"/>
        <v>0</v>
      </c>
      <c r="M114" s="133"/>
      <c r="N114" s="133"/>
      <c r="O114" s="140" t="e">
        <f t="shared" si="30"/>
        <v>#DIV/0!</v>
      </c>
      <c r="P114" s="143"/>
      <c r="Q114" s="141">
        <f t="shared" si="28"/>
        <v>0</v>
      </c>
    </row>
    <row r="115" spans="1:17" ht="12.75">
      <c r="A115" s="115" t="s">
        <v>249</v>
      </c>
      <c r="B115" s="115"/>
      <c r="C115" s="116" t="s">
        <v>250</v>
      </c>
      <c r="D115" s="138">
        <f t="shared" si="43"/>
        <v>0</v>
      </c>
      <c r="E115" s="138">
        <f t="shared" si="42"/>
        <v>0</v>
      </c>
      <c r="F115" s="138"/>
      <c r="G115" s="138"/>
      <c r="H115" s="141"/>
      <c r="I115" s="141"/>
      <c r="J115" s="141"/>
      <c r="K115" s="143"/>
      <c r="L115" s="143"/>
      <c r="M115" s="133"/>
      <c r="N115" s="133"/>
      <c r="O115" s="140" t="e">
        <f t="shared" si="30"/>
        <v>#DIV/0!</v>
      </c>
      <c r="P115" s="135" t="e">
        <f t="shared" si="27"/>
        <v>#DIV/0!</v>
      </c>
      <c r="Q115" s="136" t="e">
        <f t="shared" si="28"/>
        <v>#DIV/0!</v>
      </c>
    </row>
    <row r="116" spans="1:17" ht="12.75">
      <c r="A116" s="119" t="s">
        <v>251</v>
      </c>
      <c r="B116" s="161"/>
      <c r="C116" s="123" t="s">
        <v>252</v>
      </c>
      <c r="D116" s="138">
        <f t="shared" si="43"/>
        <v>0</v>
      </c>
      <c r="E116" s="138">
        <f t="shared" si="42"/>
        <v>0</v>
      </c>
      <c r="F116" s="138"/>
      <c r="G116" s="138"/>
      <c r="H116" s="141"/>
      <c r="I116" s="141"/>
      <c r="J116" s="141"/>
      <c r="K116" s="143"/>
      <c r="L116" s="143"/>
      <c r="M116" s="133"/>
      <c r="N116" s="133"/>
      <c r="O116" s="140" t="e">
        <f t="shared" si="30"/>
        <v>#DIV/0!</v>
      </c>
      <c r="P116" s="135"/>
      <c r="Q116" s="136"/>
    </row>
    <row r="117" spans="1:17" ht="12.75">
      <c r="A117" s="113" t="s">
        <v>253</v>
      </c>
      <c r="B117" s="113"/>
      <c r="C117" s="124" t="s">
        <v>254</v>
      </c>
      <c r="D117" s="144">
        <f aca="true" t="shared" si="44" ref="D117:K117">D118</f>
        <v>24734.8</v>
      </c>
      <c r="E117" s="163">
        <f t="shared" si="44"/>
        <v>3823.7</v>
      </c>
      <c r="F117" s="163">
        <f t="shared" si="44"/>
        <v>3823.7</v>
      </c>
      <c r="G117" s="163">
        <f t="shared" si="44"/>
        <v>7079.4</v>
      </c>
      <c r="H117" s="163">
        <f t="shared" si="44"/>
        <v>7725.2</v>
      </c>
      <c r="I117" s="144">
        <f t="shared" si="44"/>
        <v>6106.5</v>
      </c>
      <c r="J117" s="144">
        <f t="shared" si="44"/>
        <v>1287.9</v>
      </c>
      <c r="K117" s="144" t="e">
        <f t="shared" si="44"/>
        <v>#REF!</v>
      </c>
      <c r="L117" s="135">
        <f>J117/H117*100</f>
        <v>16.671413037850154</v>
      </c>
      <c r="M117" s="133"/>
      <c r="N117" s="133"/>
      <c r="O117" s="145">
        <f t="shared" si="30"/>
        <v>21.09064112011791</v>
      </c>
      <c r="P117" s="135">
        <f t="shared" si="27"/>
        <v>33.68203572455999</v>
      </c>
      <c r="Q117" s="136">
        <f t="shared" si="28"/>
        <v>5.206834096091337</v>
      </c>
    </row>
    <row r="118" spans="1:17" ht="24">
      <c r="A118" s="125" t="s">
        <v>255</v>
      </c>
      <c r="B118" s="117"/>
      <c r="C118" s="126" t="s">
        <v>256</v>
      </c>
      <c r="D118" s="138">
        <f t="shared" si="43"/>
        <v>24734.8</v>
      </c>
      <c r="E118" s="138">
        <f t="shared" si="42"/>
        <v>3823.7</v>
      </c>
      <c r="F118" s="138">
        <v>3823.7</v>
      </c>
      <c r="G118" s="138">
        <v>7079.4</v>
      </c>
      <c r="H118" s="141">
        <v>7725.2</v>
      </c>
      <c r="I118" s="141">
        <v>6106.5</v>
      </c>
      <c r="J118" s="141">
        <v>1287.9</v>
      </c>
      <c r="K118" s="143" t="e">
        <f>J118/#REF!*100</f>
        <v>#REF!</v>
      </c>
      <c r="L118" s="143">
        <f>J118/H118*100</f>
        <v>16.671413037850154</v>
      </c>
      <c r="M118" s="133"/>
      <c r="N118" s="133"/>
      <c r="O118" s="140">
        <f t="shared" si="30"/>
        <v>21.09064112011791</v>
      </c>
      <c r="P118" s="143">
        <f t="shared" si="27"/>
        <v>33.68203572455999</v>
      </c>
      <c r="Q118" s="141">
        <f t="shared" si="28"/>
        <v>5.206834096091337</v>
      </c>
    </row>
    <row r="119" spans="1:17" ht="12.75">
      <c r="A119" s="115"/>
      <c r="B119" s="131"/>
      <c r="C119" s="132" t="s">
        <v>263</v>
      </c>
      <c r="D119" s="136">
        <f aca="true" t="shared" si="45" ref="D119:J119">D117+D107</f>
        <v>26536.399999999998</v>
      </c>
      <c r="E119" s="136">
        <f t="shared" si="45"/>
        <v>4178.3</v>
      </c>
      <c r="F119" s="136">
        <f t="shared" si="45"/>
        <v>4178.3</v>
      </c>
      <c r="G119" s="136">
        <f t="shared" si="45"/>
        <v>7524.2</v>
      </c>
      <c r="H119" s="136">
        <f t="shared" si="45"/>
        <v>8154.099999999999</v>
      </c>
      <c r="I119" s="136">
        <f t="shared" si="45"/>
        <v>6679.8</v>
      </c>
      <c r="J119" s="136">
        <f t="shared" si="45"/>
        <v>1365.4</v>
      </c>
      <c r="K119" s="135" t="e">
        <f>J119/#REF!*100</f>
        <v>#REF!</v>
      </c>
      <c r="L119" s="135">
        <f>J119/H119*100</f>
        <v>16.744950393053802</v>
      </c>
      <c r="M119" s="133"/>
      <c r="N119" s="147" t="e">
        <f>I119+#REF!+#REF!</f>
        <v>#REF!</v>
      </c>
      <c r="O119" s="145">
        <f t="shared" si="30"/>
        <v>20.44073175843588</v>
      </c>
      <c r="P119" s="135">
        <f t="shared" si="27"/>
        <v>32.678362013258976</v>
      </c>
      <c r="Q119" s="136">
        <f t="shared" si="28"/>
        <v>5.1453852067349</v>
      </c>
    </row>
    <row r="120" spans="1:17" ht="12.75">
      <c r="A120" s="203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5"/>
      <c r="M120" s="133"/>
      <c r="N120" s="133"/>
      <c r="O120" s="134"/>
      <c r="P120" s="135"/>
      <c r="Q120" s="136"/>
    </row>
    <row r="121" spans="1:17" ht="12.75">
      <c r="A121" s="209" t="s">
        <v>272</v>
      </c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135"/>
      <c r="Q121" s="136"/>
    </row>
    <row r="122" spans="1:17" ht="12.75">
      <c r="A122" s="113" t="s">
        <v>225</v>
      </c>
      <c r="B122" s="113"/>
      <c r="C122" s="114" t="s">
        <v>226</v>
      </c>
      <c r="D122" s="135">
        <f aca="true" t="shared" si="46" ref="D122:J122">D123+D124+D125+D126+D128+D130+D127+D129</f>
        <v>2764</v>
      </c>
      <c r="E122" s="135">
        <f t="shared" si="46"/>
        <v>579.2</v>
      </c>
      <c r="F122" s="135">
        <f t="shared" si="46"/>
        <v>579.2</v>
      </c>
      <c r="G122" s="135">
        <f t="shared" si="46"/>
        <v>695.2</v>
      </c>
      <c r="H122" s="135">
        <f t="shared" si="46"/>
        <v>726.3</v>
      </c>
      <c r="I122" s="135">
        <f t="shared" si="46"/>
        <v>763.3000000000001</v>
      </c>
      <c r="J122" s="135">
        <f t="shared" si="46"/>
        <v>54.4</v>
      </c>
      <c r="K122" s="135" t="e">
        <f>J122/#REF!*100</f>
        <v>#REF!</v>
      </c>
      <c r="L122" s="135">
        <f aca="true" t="shared" si="47" ref="L122:L128">J122/H122*100</f>
        <v>7.490017898939833</v>
      </c>
      <c r="M122" s="133"/>
      <c r="N122" s="133"/>
      <c r="O122" s="135">
        <f t="shared" si="30"/>
        <v>7.126948775055679</v>
      </c>
      <c r="P122" s="135">
        <f t="shared" si="27"/>
        <v>9.392265193370164</v>
      </c>
      <c r="Q122" s="136">
        <f t="shared" si="28"/>
        <v>1.968162083936324</v>
      </c>
    </row>
    <row r="123" spans="1:17" ht="12.75">
      <c r="A123" s="115" t="s">
        <v>227</v>
      </c>
      <c r="B123" s="115"/>
      <c r="C123" s="116" t="s">
        <v>228</v>
      </c>
      <c r="D123" s="138">
        <f>F123+G123+H123+I123</f>
        <v>1922.5000000000002</v>
      </c>
      <c r="E123" s="138">
        <f aca="true" t="shared" si="48" ref="E123:E133">F123</f>
        <v>480.6</v>
      </c>
      <c r="F123" s="146">
        <v>480.6</v>
      </c>
      <c r="G123" s="146">
        <v>480.6</v>
      </c>
      <c r="H123" s="140">
        <v>480.6</v>
      </c>
      <c r="I123" s="141">
        <v>480.7</v>
      </c>
      <c r="J123" s="141">
        <v>45.6</v>
      </c>
      <c r="K123" s="143" t="e">
        <f>J123/#REF!*100</f>
        <v>#REF!</v>
      </c>
      <c r="L123" s="143">
        <f t="shared" si="47"/>
        <v>9.488139825218477</v>
      </c>
      <c r="M123" s="133"/>
      <c r="N123" s="133"/>
      <c r="O123" s="140">
        <f t="shared" si="30"/>
        <v>9.486166007905139</v>
      </c>
      <c r="P123" s="143">
        <f t="shared" si="27"/>
        <v>9.488139825218477</v>
      </c>
      <c r="Q123" s="141">
        <f t="shared" si="28"/>
        <v>2.3719115734720413</v>
      </c>
    </row>
    <row r="124" spans="1:17" ht="12.75">
      <c r="A124" s="117" t="s">
        <v>233</v>
      </c>
      <c r="B124" s="117"/>
      <c r="C124" s="116" t="s">
        <v>234</v>
      </c>
      <c r="D124" s="138">
        <f aca="true" t="shared" si="49" ref="D124:D133">F124+G124+H124+I124</f>
        <v>196</v>
      </c>
      <c r="E124" s="138">
        <f t="shared" si="48"/>
        <v>43</v>
      </c>
      <c r="F124" s="146">
        <v>43</v>
      </c>
      <c r="G124" s="146">
        <v>47.9</v>
      </c>
      <c r="H124" s="140">
        <v>45.3</v>
      </c>
      <c r="I124" s="141">
        <v>59.8</v>
      </c>
      <c r="J124" s="141">
        <v>3.3</v>
      </c>
      <c r="K124" s="143" t="e">
        <f>J124/#REF!*100</f>
        <v>#REF!</v>
      </c>
      <c r="L124" s="143">
        <f t="shared" si="47"/>
        <v>7.28476821192053</v>
      </c>
      <c r="M124" s="133"/>
      <c r="N124" s="133"/>
      <c r="O124" s="140">
        <f t="shared" si="30"/>
        <v>5.518394648829432</v>
      </c>
      <c r="P124" s="143">
        <f t="shared" si="27"/>
        <v>7.674418604651163</v>
      </c>
      <c r="Q124" s="141">
        <f t="shared" si="28"/>
        <v>1.683673469387755</v>
      </c>
    </row>
    <row r="125" spans="1:17" ht="12.75">
      <c r="A125" s="117" t="s">
        <v>235</v>
      </c>
      <c r="B125" s="117"/>
      <c r="C125" s="116" t="s">
        <v>236</v>
      </c>
      <c r="D125" s="138">
        <f t="shared" si="49"/>
        <v>40</v>
      </c>
      <c r="E125" s="138">
        <f t="shared" si="48"/>
        <v>6</v>
      </c>
      <c r="F125" s="146">
        <v>6</v>
      </c>
      <c r="G125" s="146">
        <v>6</v>
      </c>
      <c r="H125" s="140">
        <v>12.8</v>
      </c>
      <c r="I125" s="141">
        <v>15.2</v>
      </c>
      <c r="J125" s="141">
        <v>5.5</v>
      </c>
      <c r="K125" s="143" t="e">
        <f>J125/#REF!*100</f>
        <v>#REF!</v>
      </c>
      <c r="L125" s="143">
        <f t="shared" si="47"/>
        <v>42.96875</v>
      </c>
      <c r="M125" s="133"/>
      <c r="N125" s="133"/>
      <c r="O125" s="140">
        <f t="shared" si="30"/>
        <v>36.184210526315795</v>
      </c>
      <c r="P125" s="143">
        <f t="shared" si="27"/>
        <v>91.66666666666667</v>
      </c>
      <c r="Q125" s="141">
        <f t="shared" si="28"/>
        <v>13.75</v>
      </c>
    </row>
    <row r="126" spans="1:17" ht="24">
      <c r="A126" s="118" t="s">
        <v>239</v>
      </c>
      <c r="B126" s="118"/>
      <c r="C126" s="116" t="s">
        <v>240</v>
      </c>
      <c r="D126" s="138">
        <f t="shared" si="49"/>
        <v>432.5</v>
      </c>
      <c r="E126" s="138">
        <f t="shared" si="48"/>
        <v>24</v>
      </c>
      <c r="F126" s="146">
        <v>24</v>
      </c>
      <c r="G126" s="146">
        <v>116</v>
      </c>
      <c r="H126" s="140">
        <v>136.4</v>
      </c>
      <c r="I126" s="141">
        <v>156.1</v>
      </c>
      <c r="J126" s="141"/>
      <c r="K126" s="143" t="e">
        <f>J126/#REF!*100</f>
        <v>#REF!</v>
      </c>
      <c r="L126" s="143">
        <f t="shared" si="47"/>
        <v>0</v>
      </c>
      <c r="M126" s="133"/>
      <c r="N126" s="133"/>
      <c r="O126" s="140">
        <f t="shared" si="30"/>
        <v>0</v>
      </c>
      <c r="P126" s="143">
        <f t="shared" si="27"/>
        <v>0</v>
      </c>
      <c r="Q126" s="141">
        <f t="shared" si="28"/>
        <v>0</v>
      </c>
    </row>
    <row r="127" spans="1:17" ht="24">
      <c r="A127" s="120" t="s">
        <v>243</v>
      </c>
      <c r="B127" s="120"/>
      <c r="C127" s="116" t="s">
        <v>244</v>
      </c>
      <c r="D127" s="138">
        <f t="shared" si="49"/>
        <v>80</v>
      </c>
      <c r="E127" s="138">
        <f t="shared" si="48"/>
        <v>19.6</v>
      </c>
      <c r="F127" s="146">
        <v>19.6</v>
      </c>
      <c r="G127" s="146">
        <v>20.7</v>
      </c>
      <c r="H127" s="140">
        <v>19.7</v>
      </c>
      <c r="I127" s="141">
        <v>20</v>
      </c>
      <c r="J127" s="141"/>
      <c r="K127" s="143" t="e">
        <f>J127/#REF!*100</f>
        <v>#REF!</v>
      </c>
      <c r="L127" s="143">
        <f t="shared" si="47"/>
        <v>0</v>
      </c>
      <c r="M127" s="133"/>
      <c r="N127" s="133"/>
      <c r="O127" s="140">
        <f t="shared" si="30"/>
        <v>0</v>
      </c>
      <c r="P127" s="143">
        <f t="shared" si="27"/>
        <v>0</v>
      </c>
      <c r="Q127" s="141">
        <f t="shared" si="28"/>
        <v>0</v>
      </c>
    </row>
    <row r="128" spans="1:17" ht="24">
      <c r="A128" s="120" t="s">
        <v>245</v>
      </c>
      <c r="B128" s="120"/>
      <c r="C128" s="116" t="s">
        <v>246</v>
      </c>
      <c r="D128" s="138">
        <f t="shared" si="49"/>
        <v>93</v>
      </c>
      <c r="E128" s="138">
        <f t="shared" si="48"/>
        <v>6</v>
      </c>
      <c r="F128" s="146">
        <v>6</v>
      </c>
      <c r="G128" s="146">
        <v>24</v>
      </c>
      <c r="H128" s="140">
        <v>31.5</v>
      </c>
      <c r="I128" s="141">
        <v>31.5</v>
      </c>
      <c r="J128" s="141"/>
      <c r="K128" s="143" t="e">
        <f>J128/#REF!*100</f>
        <v>#REF!</v>
      </c>
      <c r="L128" s="143">
        <f t="shared" si="47"/>
        <v>0</v>
      </c>
      <c r="M128" s="133"/>
      <c r="N128" s="133"/>
      <c r="O128" s="140">
        <f t="shared" si="30"/>
        <v>0</v>
      </c>
      <c r="P128" s="143">
        <f t="shared" si="27"/>
        <v>0</v>
      </c>
      <c r="Q128" s="141">
        <f t="shared" si="28"/>
        <v>0</v>
      </c>
    </row>
    <row r="129" spans="1:17" ht="12.75">
      <c r="A129" s="115" t="s">
        <v>249</v>
      </c>
      <c r="B129" s="115"/>
      <c r="C129" s="116" t="s">
        <v>250</v>
      </c>
      <c r="D129" s="138">
        <f t="shared" si="49"/>
        <v>0</v>
      </c>
      <c r="E129" s="138">
        <f t="shared" si="48"/>
        <v>0</v>
      </c>
      <c r="F129" s="146"/>
      <c r="G129" s="146"/>
      <c r="H129" s="140"/>
      <c r="I129" s="141"/>
      <c r="J129" s="141"/>
      <c r="K129" s="143"/>
      <c r="L129" s="143"/>
      <c r="M129" s="133"/>
      <c r="N129" s="133"/>
      <c r="O129" s="140"/>
      <c r="P129" s="143"/>
      <c r="Q129" s="141"/>
    </row>
    <row r="130" spans="1:17" ht="12.75">
      <c r="A130" s="120" t="s">
        <v>251</v>
      </c>
      <c r="B130" s="161"/>
      <c r="C130" s="123" t="s">
        <v>252</v>
      </c>
      <c r="D130" s="138">
        <f t="shared" si="49"/>
        <v>0</v>
      </c>
      <c r="E130" s="138">
        <f t="shared" si="48"/>
        <v>0</v>
      </c>
      <c r="F130" s="146"/>
      <c r="G130" s="146"/>
      <c r="H130" s="140"/>
      <c r="I130" s="141"/>
      <c r="J130" s="140"/>
      <c r="K130" s="143"/>
      <c r="L130" s="143"/>
      <c r="M130" s="133"/>
      <c r="N130" s="133"/>
      <c r="O130" s="140"/>
      <c r="P130" s="143"/>
      <c r="Q130" s="141"/>
    </row>
    <row r="131" spans="1:17" ht="12.75">
      <c r="A131" s="151" t="s">
        <v>253</v>
      </c>
      <c r="B131" s="151"/>
      <c r="C131" s="124" t="s">
        <v>254</v>
      </c>
      <c r="D131" s="144">
        <f aca="true" t="shared" si="50" ref="D131:J131">D132+D133</f>
        <v>43219.4</v>
      </c>
      <c r="E131" s="144">
        <f t="shared" si="50"/>
        <v>11196.800000000001</v>
      </c>
      <c r="F131" s="144">
        <f t="shared" si="50"/>
        <v>11196.800000000001</v>
      </c>
      <c r="G131" s="144">
        <f t="shared" si="50"/>
        <v>10674.2</v>
      </c>
      <c r="H131" s="144">
        <f t="shared" si="50"/>
        <v>10674.2</v>
      </c>
      <c r="I131" s="144">
        <f t="shared" si="50"/>
        <v>10674.2</v>
      </c>
      <c r="J131" s="144">
        <f t="shared" si="50"/>
        <v>2445.3</v>
      </c>
      <c r="K131" s="135" t="e">
        <f>J131/#REF!*100</f>
        <v>#REF!</v>
      </c>
      <c r="L131" s="135">
        <f>J131/H131*100</f>
        <v>22.908508365966537</v>
      </c>
      <c r="M131" s="133"/>
      <c r="N131" s="133"/>
      <c r="O131" s="145">
        <f t="shared" si="30"/>
        <v>22.908508365966537</v>
      </c>
      <c r="P131" s="135">
        <f t="shared" si="27"/>
        <v>21.839275507287798</v>
      </c>
      <c r="Q131" s="136">
        <f t="shared" si="28"/>
        <v>5.657875861303026</v>
      </c>
    </row>
    <row r="132" spans="1:17" ht="24">
      <c r="A132" s="125" t="s">
        <v>255</v>
      </c>
      <c r="B132" s="117"/>
      <c r="C132" s="126" t="s">
        <v>256</v>
      </c>
      <c r="D132" s="138">
        <f t="shared" si="49"/>
        <v>43219.4</v>
      </c>
      <c r="E132" s="138">
        <f t="shared" si="48"/>
        <v>11196.800000000001</v>
      </c>
      <c r="F132" s="146">
        <f>11113.2+83.6</f>
        <v>11196.800000000001</v>
      </c>
      <c r="G132" s="146">
        <v>10674.2</v>
      </c>
      <c r="H132" s="140">
        <v>10674.2</v>
      </c>
      <c r="I132" s="141">
        <v>10674.2</v>
      </c>
      <c r="J132" s="141">
        <v>2445.3</v>
      </c>
      <c r="K132" s="143" t="e">
        <f>J132/#REF!*100</f>
        <v>#REF!</v>
      </c>
      <c r="L132" s="143">
        <f>J132/H132*100</f>
        <v>22.908508365966537</v>
      </c>
      <c r="M132" s="133"/>
      <c r="N132" s="133"/>
      <c r="O132" s="140">
        <f t="shared" si="30"/>
        <v>22.908508365966537</v>
      </c>
      <c r="P132" s="143">
        <f t="shared" si="27"/>
        <v>21.839275507287798</v>
      </c>
      <c r="Q132" s="141">
        <f t="shared" si="28"/>
        <v>5.657875861303026</v>
      </c>
    </row>
    <row r="133" spans="1:17" ht="12.75">
      <c r="A133" s="125" t="s">
        <v>257</v>
      </c>
      <c r="B133" s="125"/>
      <c r="C133" s="127" t="s">
        <v>258</v>
      </c>
      <c r="D133" s="138">
        <f t="shared" si="49"/>
        <v>0</v>
      </c>
      <c r="E133" s="138">
        <f t="shared" si="48"/>
        <v>0</v>
      </c>
      <c r="F133" s="160"/>
      <c r="G133" s="160"/>
      <c r="H133" s="140"/>
      <c r="I133" s="141"/>
      <c r="J133" s="141"/>
      <c r="K133" s="143"/>
      <c r="L133" s="143"/>
      <c r="M133" s="133"/>
      <c r="N133" s="133"/>
      <c r="O133" s="140" t="e">
        <f t="shared" si="30"/>
        <v>#DIV/0!</v>
      </c>
      <c r="P133" s="143"/>
      <c r="Q133" s="141"/>
    </row>
    <row r="134" spans="1:17" ht="12.75">
      <c r="A134" s="115"/>
      <c r="B134" s="131"/>
      <c r="C134" s="132" t="s">
        <v>263</v>
      </c>
      <c r="D134" s="136">
        <f aca="true" t="shared" si="51" ref="D134:J134">D131+D122</f>
        <v>45983.4</v>
      </c>
      <c r="E134" s="136">
        <f t="shared" si="51"/>
        <v>11776.000000000002</v>
      </c>
      <c r="F134" s="145">
        <f t="shared" si="51"/>
        <v>11776.000000000002</v>
      </c>
      <c r="G134" s="145">
        <f t="shared" si="51"/>
        <v>11369.400000000001</v>
      </c>
      <c r="H134" s="145">
        <f t="shared" si="51"/>
        <v>11400.5</v>
      </c>
      <c r="I134" s="136">
        <f t="shared" si="51"/>
        <v>11437.5</v>
      </c>
      <c r="J134" s="136">
        <f t="shared" si="51"/>
        <v>2499.7000000000003</v>
      </c>
      <c r="K134" s="135" t="e">
        <f>J134/#REF!*100</f>
        <v>#REF!</v>
      </c>
      <c r="L134" s="135">
        <f>J134/H134*100</f>
        <v>21.926231305644492</v>
      </c>
      <c r="M134" s="133"/>
      <c r="N134" s="147" t="e">
        <f>I134+#REF!+#REF!</f>
        <v>#REF!</v>
      </c>
      <c r="O134" s="145">
        <f t="shared" si="30"/>
        <v>21.85530054644809</v>
      </c>
      <c r="P134" s="135">
        <f t="shared" si="27"/>
        <v>21.227072010869563</v>
      </c>
      <c r="Q134" s="136">
        <f t="shared" si="28"/>
        <v>5.436092154995064</v>
      </c>
    </row>
    <row r="135" spans="1:17" ht="12.75">
      <c r="A135" s="210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2"/>
      <c r="M135" s="133"/>
      <c r="N135" s="133"/>
      <c r="O135" s="134"/>
      <c r="P135" s="135"/>
      <c r="Q135" s="136"/>
    </row>
    <row r="136" spans="1:17" ht="12.75">
      <c r="A136" s="209" t="s">
        <v>273</v>
      </c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135"/>
      <c r="Q136" s="136"/>
    </row>
    <row r="137" spans="1:17" ht="12.75">
      <c r="A137" s="113" t="s">
        <v>225</v>
      </c>
      <c r="B137" s="113"/>
      <c r="C137" s="114" t="s">
        <v>226</v>
      </c>
      <c r="D137" s="135">
        <f aca="true" t="shared" si="52" ref="D137:J137">D138+D140+D142+D144+D141+D145+D143+D146+D139</f>
        <v>15159.000000000002</v>
      </c>
      <c r="E137" s="135">
        <f t="shared" si="52"/>
        <v>2984.2</v>
      </c>
      <c r="F137" s="135">
        <f t="shared" si="52"/>
        <v>2984.2</v>
      </c>
      <c r="G137" s="135">
        <f t="shared" si="52"/>
        <v>4031.6</v>
      </c>
      <c r="H137" s="135">
        <f t="shared" si="52"/>
        <v>4004.6</v>
      </c>
      <c r="I137" s="135">
        <f t="shared" si="52"/>
        <v>4138.599999999999</v>
      </c>
      <c r="J137" s="135">
        <f t="shared" si="52"/>
        <v>735</v>
      </c>
      <c r="K137" s="135" t="e">
        <f>J137/#REF!*100</f>
        <v>#REF!</v>
      </c>
      <c r="L137" s="135">
        <f>J137/H137*100</f>
        <v>18.353893023023524</v>
      </c>
      <c r="M137" s="133"/>
      <c r="N137" s="133"/>
      <c r="O137" s="135">
        <f t="shared" si="30"/>
        <v>17.75962886000097</v>
      </c>
      <c r="P137" s="135">
        <f t="shared" si="27"/>
        <v>24.629716506936536</v>
      </c>
      <c r="Q137" s="136">
        <f t="shared" si="28"/>
        <v>4.848604789234118</v>
      </c>
    </row>
    <row r="138" spans="1:17" ht="12.75">
      <c r="A138" s="115" t="s">
        <v>227</v>
      </c>
      <c r="B138" s="115"/>
      <c r="C138" s="116" t="s">
        <v>228</v>
      </c>
      <c r="D138" s="146">
        <f>F138+G138+H138+I138</f>
        <v>12839.7</v>
      </c>
      <c r="E138" s="138">
        <f aca="true" t="shared" si="53" ref="E138:E149">F138</f>
        <v>2590</v>
      </c>
      <c r="F138" s="146">
        <v>2590</v>
      </c>
      <c r="G138" s="146">
        <v>3500</v>
      </c>
      <c r="H138" s="140">
        <v>3400</v>
      </c>
      <c r="I138" s="141">
        <v>3349.7</v>
      </c>
      <c r="J138" s="141">
        <v>688.4</v>
      </c>
      <c r="K138" s="143" t="e">
        <f>J138/#REF!*100</f>
        <v>#REF!</v>
      </c>
      <c r="L138" s="143">
        <f>J138/H138*100</f>
        <v>20.24705882352941</v>
      </c>
      <c r="M138" s="133"/>
      <c r="N138" s="133"/>
      <c r="O138" s="140">
        <f t="shared" si="30"/>
        <v>20.551094127832343</v>
      </c>
      <c r="P138" s="143">
        <f t="shared" si="27"/>
        <v>26.57915057915058</v>
      </c>
      <c r="Q138" s="141">
        <f t="shared" si="28"/>
        <v>5.361495985108686</v>
      </c>
    </row>
    <row r="139" spans="1:17" ht="12.75">
      <c r="A139" s="117" t="s">
        <v>231</v>
      </c>
      <c r="B139" s="117"/>
      <c r="C139" s="116" t="s">
        <v>232</v>
      </c>
      <c r="D139" s="146">
        <f aca="true" t="shared" si="54" ref="D139:D148">F139+G139+H139+I139</f>
        <v>0</v>
      </c>
      <c r="E139" s="138">
        <f t="shared" si="53"/>
        <v>0</v>
      </c>
      <c r="F139" s="146"/>
      <c r="G139" s="146"/>
      <c r="H139" s="140"/>
      <c r="I139" s="141"/>
      <c r="J139" s="141"/>
      <c r="K139" s="143"/>
      <c r="L139" s="143"/>
      <c r="M139" s="133"/>
      <c r="N139" s="133"/>
      <c r="O139" s="140" t="e">
        <f t="shared" si="30"/>
        <v>#DIV/0!</v>
      </c>
      <c r="P139" s="143"/>
      <c r="Q139" s="141"/>
    </row>
    <row r="140" spans="1:17" ht="12.75">
      <c r="A140" s="117" t="s">
        <v>233</v>
      </c>
      <c r="B140" s="117"/>
      <c r="C140" s="116" t="s">
        <v>234</v>
      </c>
      <c r="D140" s="146">
        <f t="shared" si="54"/>
        <v>792</v>
      </c>
      <c r="E140" s="138">
        <f t="shared" si="53"/>
        <v>90</v>
      </c>
      <c r="F140" s="146">
        <v>90</v>
      </c>
      <c r="G140" s="146">
        <v>87</v>
      </c>
      <c r="H140" s="140">
        <v>201</v>
      </c>
      <c r="I140" s="141">
        <v>414</v>
      </c>
      <c r="J140" s="141">
        <v>37.5</v>
      </c>
      <c r="K140" s="143" t="e">
        <f>J140/#REF!*100</f>
        <v>#REF!</v>
      </c>
      <c r="L140" s="143">
        <f>J140/H140*100</f>
        <v>18.65671641791045</v>
      </c>
      <c r="M140" s="133"/>
      <c r="N140" s="133"/>
      <c r="O140" s="140">
        <f t="shared" si="30"/>
        <v>9.057971014492754</v>
      </c>
      <c r="P140" s="143">
        <f aca="true" t="shared" si="55" ref="P140:P202">J140*100/E140</f>
        <v>41.666666666666664</v>
      </c>
      <c r="Q140" s="141">
        <f aca="true" t="shared" si="56" ref="Q140:Q202">J140*100/D140</f>
        <v>4.734848484848484</v>
      </c>
    </row>
    <row r="141" spans="1:17" ht="12.75">
      <c r="A141" s="117" t="s">
        <v>235</v>
      </c>
      <c r="B141" s="117"/>
      <c r="C141" s="116" t="s">
        <v>236</v>
      </c>
      <c r="D141" s="146">
        <f t="shared" si="54"/>
        <v>158.7</v>
      </c>
      <c r="E141" s="138">
        <f t="shared" si="53"/>
        <v>22</v>
      </c>
      <c r="F141" s="146">
        <v>22</v>
      </c>
      <c r="G141" s="146">
        <v>53</v>
      </c>
      <c r="H141" s="140">
        <v>27</v>
      </c>
      <c r="I141" s="141">
        <v>56.7</v>
      </c>
      <c r="J141" s="141"/>
      <c r="K141" s="143" t="e">
        <f>J141/#REF!*100</f>
        <v>#REF!</v>
      </c>
      <c r="L141" s="143">
        <f>J141/H141*100</f>
        <v>0</v>
      </c>
      <c r="M141" s="133"/>
      <c r="N141" s="133"/>
      <c r="O141" s="140">
        <f t="shared" si="30"/>
        <v>0</v>
      </c>
      <c r="P141" s="143">
        <f t="shared" si="55"/>
        <v>0</v>
      </c>
      <c r="Q141" s="141">
        <f t="shared" si="56"/>
        <v>0</v>
      </c>
    </row>
    <row r="142" spans="1:17" ht="24">
      <c r="A142" s="118" t="s">
        <v>239</v>
      </c>
      <c r="B142" s="118"/>
      <c r="C142" s="116" t="s">
        <v>240</v>
      </c>
      <c r="D142" s="146">
        <f t="shared" si="54"/>
        <v>1297.6</v>
      </c>
      <c r="E142" s="138">
        <f t="shared" si="53"/>
        <v>277.2</v>
      </c>
      <c r="F142" s="146">
        <v>277.2</v>
      </c>
      <c r="G142" s="146">
        <v>369.6</v>
      </c>
      <c r="H142" s="140">
        <v>348.6</v>
      </c>
      <c r="I142" s="141">
        <v>302.2</v>
      </c>
      <c r="J142" s="141"/>
      <c r="K142" s="143" t="e">
        <f>J142/#REF!*100</f>
        <v>#REF!</v>
      </c>
      <c r="L142" s="143">
        <f>J142/H142*100</f>
        <v>0</v>
      </c>
      <c r="M142" s="133"/>
      <c r="N142" s="133"/>
      <c r="O142" s="140">
        <f t="shared" si="30"/>
        <v>0</v>
      </c>
      <c r="P142" s="143">
        <f t="shared" si="55"/>
        <v>0</v>
      </c>
      <c r="Q142" s="141">
        <f t="shared" si="56"/>
        <v>0</v>
      </c>
    </row>
    <row r="143" spans="1:17" ht="24">
      <c r="A143" s="120" t="s">
        <v>243</v>
      </c>
      <c r="B143" s="120"/>
      <c r="C143" s="116" t="s">
        <v>244</v>
      </c>
      <c r="D143" s="146">
        <f t="shared" si="54"/>
        <v>0</v>
      </c>
      <c r="E143" s="138">
        <f t="shared" si="53"/>
        <v>0</v>
      </c>
      <c r="F143" s="146"/>
      <c r="G143" s="146"/>
      <c r="H143" s="140"/>
      <c r="I143" s="141"/>
      <c r="J143" s="141"/>
      <c r="K143" s="143"/>
      <c r="L143" s="143"/>
      <c r="M143" s="133"/>
      <c r="N143" s="133"/>
      <c r="O143" s="140" t="e">
        <f aca="true" t="shared" si="57" ref="O143:O206">J143*100/I143</f>
        <v>#DIV/0!</v>
      </c>
      <c r="P143" s="143" t="e">
        <f t="shared" si="55"/>
        <v>#DIV/0!</v>
      </c>
      <c r="Q143" s="141" t="e">
        <f t="shared" si="56"/>
        <v>#DIV/0!</v>
      </c>
    </row>
    <row r="144" spans="1:17" ht="24">
      <c r="A144" s="119" t="s">
        <v>245</v>
      </c>
      <c r="B144" s="119"/>
      <c r="C144" s="116" t="s">
        <v>246</v>
      </c>
      <c r="D144" s="146">
        <f t="shared" si="54"/>
        <v>71</v>
      </c>
      <c r="E144" s="138">
        <f t="shared" si="53"/>
        <v>5</v>
      </c>
      <c r="F144" s="146">
        <v>5</v>
      </c>
      <c r="G144" s="146">
        <v>22</v>
      </c>
      <c r="H144" s="140">
        <v>28</v>
      </c>
      <c r="I144" s="141">
        <v>16</v>
      </c>
      <c r="J144" s="141"/>
      <c r="K144" s="143" t="e">
        <f>J144/#REF!*100</f>
        <v>#REF!</v>
      </c>
      <c r="L144" s="143">
        <f>J144/H144*100</f>
        <v>0</v>
      </c>
      <c r="M144" s="133"/>
      <c r="N144" s="133"/>
      <c r="O144" s="140">
        <f t="shared" si="57"/>
        <v>0</v>
      </c>
      <c r="P144" s="143">
        <f t="shared" si="55"/>
        <v>0</v>
      </c>
      <c r="Q144" s="141">
        <f t="shared" si="56"/>
        <v>0</v>
      </c>
    </row>
    <row r="145" spans="1:17" ht="12.75">
      <c r="A145" s="115" t="s">
        <v>249</v>
      </c>
      <c r="B145" s="115"/>
      <c r="C145" s="116" t="s">
        <v>250</v>
      </c>
      <c r="D145" s="146">
        <f t="shared" si="54"/>
        <v>0</v>
      </c>
      <c r="E145" s="138">
        <f t="shared" si="53"/>
        <v>0</v>
      </c>
      <c r="F145" s="146"/>
      <c r="G145" s="146"/>
      <c r="H145" s="140"/>
      <c r="I145" s="141"/>
      <c r="J145" s="141"/>
      <c r="K145" s="143" t="e">
        <f>J145/#REF!*100</f>
        <v>#REF!</v>
      </c>
      <c r="L145" s="143"/>
      <c r="M145" s="133"/>
      <c r="N145" s="133"/>
      <c r="O145" s="140" t="e">
        <f t="shared" si="57"/>
        <v>#DIV/0!</v>
      </c>
      <c r="P145" s="143"/>
      <c r="Q145" s="141"/>
    </row>
    <row r="146" spans="1:17" ht="12.75">
      <c r="A146" s="119" t="s">
        <v>251</v>
      </c>
      <c r="B146" s="164"/>
      <c r="C146" s="123" t="s">
        <v>252</v>
      </c>
      <c r="D146" s="146">
        <f t="shared" si="54"/>
        <v>0</v>
      </c>
      <c r="E146" s="138">
        <f t="shared" si="53"/>
        <v>0</v>
      </c>
      <c r="F146" s="146"/>
      <c r="G146" s="146"/>
      <c r="H146" s="140"/>
      <c r="I146" s="141"/>
      <c r="J146" s="141">
        <v>9.1</v>
      </c>
      <c r="K146" s="143"/>
      <c r="L146" s="143"/>
      <c r="M146" s="133"/>
      <c r="N146" s="133"/>
      <c r="O146" s="140" t="e">
        <f t="shared" si="57"/>
        <v>#DIV/0!</v>
      </c>
      <c r="P146" s="135"/>
      <c r="Q146" s="136"/>
    </row>
    <row r="147" spans="1:17" ht="12.75">
      <c r="A147" s="113" t="s">
        <v>253</v>
      </c>
      <c r="B147" s="113"/>
      <c r="C147" s="124" t="s">
        <v>254</v>
      </c>
      <c r="D147" s="144">
        <f>D148+D149</f>
        <v>28148.6</v>
      </c>
      <c r="E147" s="144">
        <f aca="true" t="shared" si="58" ref="E147:J147">E148+E149</f>
        <v>5672.4</v>
      </c>
      <c r="F147" s="144">
        <f t="shared" si="58"/>
        <v>5672.4</v>
      </c>
      <c r="G147" s="144">
        <f t="shared" si="58"/>
        <v>7405</v>
      </c>
      <c r="H147" s="144">
        <f t="shared" si="58"/>
        <v>7745.3</v>
      </c>
      <c r="I147" s="144">
        <f t="shared" si="58"/>
        <v>7325.9</v>
      </c>
      <c r="J147" s="144">
        <f t="shared" si="58"/>
        <v>1678.2</v>
      </c>
      <c r="K147" s="135" t="e">
        <f>J147/#REF!*100</f>
        <v>#REF!</v>
      </c>
      <c r="L147" s="135">
        <f>J147/H147*100</f>
        <v>21.667333737879744</v>
      </c>
      <c r="M147" s="133"/>
      <c r="N147" s="133"/>
      <c r="O147" s="145">
        <f t="shared" si="57"/>
        <v>22.907765598766023</v>
      </c>
      <c r="P147" s="135">
        <f t="shared" si="55"/>
        <v>29.585360693886187</v>
      </c>
      <c r="Q147" s="136">
        <f t="shared" si="56"/>
        <v>5.961930611113875</v>
      </c>
    </row>
    <row r="148" spans="1:17" ht="24">
      <c r="A148" s="125" t="s">
        <v>255</v>
      </c>
      <c r="B148" s="117"/>
      <c r="C148" s="126" t="s">
        <v>256</v>
      </c>
      <c r="D148" s="146">
        <f t="shared" si="54"/>
        <v>28148.6</v>
      </c>
      <c r="E148" s="138">
        <f t="shared" si="53"/>
        <v>5672.4</v>
      </c>
      <c r="F148" s="146">
        <v>5672.4</v>
      </c>
      <c r="G148" s="146">
        <v>7405</v>
      </c>
      <c r="H148" s="140">
        <v>7745.3</v>
      </c>
      <c r="I148" s="141">
        <v>7325.9</v>
      </c>
      <c r="J148" s="141">
        <v>1678.2</v>
      </c>
      <c r="K148" s="143" t="e">
        <f>J148/#REF!*100</f>
        <v>#REF!</v>
      </c>
      <c r="L148" s="143">
        <f>J148/H148*100</f>
        <v>21.667333737879744</v>
      </c>
      <c r="M148" s="133"/>
      <c r="N148" s="133"/>
      <c r="O148" s="140">
        <f t="shared" si="57"/>
        <v>22.907765598766023</v>
      </c>
      <c r="P148" s="143">
        <f t="shared" si="55"/>
        <v>29.585360693886187</v>
      </c>
      <c r="Q148" s="141">
        <f t="shared" si="56"/>
        <v>5.961930611113875</v>
      </c>
    </row>
    <row r="149" spans="1:17" ht="12.75">
      <c r="A149" s="125" t="s">
        <v>257</v>
      </c>
      <c r="B149" s="125"/>
      <c r="C149" s="127" t="s">
        <v>258</v>
      </c>
      <c r="D149" s="146">
        <f>F149+G149+H149+I149</f>
        <v>0</v>
      </c>
      <c r="E149" s="138">
        <f t="shared" si="53"/>
        <v>0</v>
      </c>
      <c r="F149" s="146"/>
      <c r="G149" s="146"/>
      <c r="H149" s="140"/>
      <c r="I149" s="141"/>
      <c r="J149" s="141"/>
      <c r="K149" s="143"/>
      <c r="L149" s="143"/>
      <c r="M149" s="133"/>
      <c r="N149" s="133"/>
      <c r="O149" s="140"/>
      <c r="P149" s="143"/>
      <c r="Q149" s="141"/>
    </row>
    <row r="150" spans="1:17" ht="12.75">
      <c r="A150" s="115"/>
      <c r="B150" s="131"/>
      <c r="C150" s="132" t="s">
        <v>263</v>
      </c>
      <c r="D150" s="136">
        <f aca="true" t="shared" si="59" ref="D150:J150">D147+D137</f>
        <v>43307.6</v>
      </c>
      <c r="E150" s="136">
        <f t="shared" si="59"/>
        <v>8656.599999999999</v>
      </c>
      <c r="F150" s="136">
        <f t="shared" si="59"/>
        <v>8656.599999999999</v>
      </c>
      <c r="G150" s="136">
        <f t="shared" si="59"/>
        <v>11436.6</v>
      </c>
      <c r="H150" s="136">
        <f t="shared" si="59"/>
        <v>11749.9</v>
      </c>
      <c r="I150" s="136">
        <f t="shared" si="59"/>
        <v>11464.5</v>
      </c>
      <c r="J150" s="136">
        <f t="shared" si="59"/>
        <v>2413.2</v>
      </c>
      <c r="K150" s="135" t="e">
        <f>J150/#REF!*100</f>
        <v>#REF!</v>
      </c>
      <c r="L150" s="135">
        <f>J150/H150*100</f>
        <v>20.538047132316017</v>
      </c>
      <c r="M150" s="133"/>
      <c r="N150" s="147" t="e">
        <f>I150+#REF!+#REF!</f>
        <v>#REF!</v>
      </c>
      <c r="O150" s="145">
        <f t="shared" si="57"/>
        <v>21.049326180819047</v>
      </c>
      <c r="P150" s="135">
        <f t="shared" si="55"/>
        <v>27.876995587182037</v>
      </c>
      <c r="Q150" s="136">
        <f t="shared" si="56"/>
        <v>5.572232125539166</v>
      </c>
    </row>
    <row r="151" spans="1:17" ht="12.75">
      <c r="A151" s="203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5"/>
      <c r="M151" s="133"/>
      <c r="N151" s="133"/>
      <c r="O151" s="134"/>
      <c r="P151" s="135"/>
      <c r="Q151" s="136"/>
    </row>
    <row r="152" spans="1:17" ht="12.75">
      <c r="A152" s="209" t="s">
        <v>274</v>
      </c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135"/>
      <c r="Q152" s="136"/>
    </row>
    <row r="153" spans="1:17" ht="12.75">
      <c r="A153" s="113" t="s">
        <v>225</v>
      </c>
      <c r="B153" s="113"/>
      <c r="C153" s="114" t="s">
        <v>226</v>
      </c>
      <c r="D153" s="135">
        <f aca="true" t="shared" si="60" ref="D153:J153">D154+D155+D156+D157+D159+D160+D161+D158</f>
        <v>4179.5</v>
      </c>
      <c r="E153" s="135">
        <f t="shared" si="60"/>
        <v>791</v>
      </c>
      <c r="F153" s="135">
        <f t="shared" si="60"/>
        <v>791</v>
      </c>
      <c r="G153" s="135">
        <f t="shared" si="60"/>
        <v>1113</v>
      </c>
      <c r="H153" s="135">
        <f t="shared" si="60"/>
        <v>1016.5</v>
      </c>
      <c r="I153" s="135">
        <f t="shared" si="60"/>
        <v>1259</v>
      </c>
      <c r="J153" s="135">
        <f t="shared" si="60"/>
        <v>92.89999999999999</v>
      </c>
      <c r="K153" s="135" t="e">
        <f>J153/#REF!*100</f>
        <v>#REF!</v>
      </c>
      <c r="L153" s="135">
        <f aca="true" t="shared" si="61" ref="L153:L159">J153/H153*100</f>
        <v>9.139203148057058</v>
      </c>
      <c r="M153" s="133"/>
      <c r="N153" s="133"/>
      <c r="O153" s="135">
        <f t="shared" si="57"/>
        <v>7.378872120730739</v>
      </c>
      <c r="P153" s="135">
        <f t="shared" si="55"/>
        <v>11.744627054361567</v>
      </c>
      <c r="Q153" s="136">
        <f t="shared" si="56"/>
        <v>2.222753917932767</v>
      </c>
    </row>
    <row r="154" spans="1:17" ht="12.75">
      <c r="A154" s="115" t="s">
        <v>227</v>
      </c>
      <c r="B154" s="115"/>
      <c r="C154" s="116" t="s">
        <v>228</v>
      </c>
      <c r="D154" s="146">
        <f>F154+G154+H154+I154</f>
        <v>3255.5</v>
      </c>
      <c r="E154" s="138">
        <f aca="true" t="shared" si="62" ref="E154:E164">F154</f>
        <v>600</v>
      </c>
      <c r="F154" s="138">
        <v>600</v>
      </c>
      <c r="G154" s="138">
        <v>900</v>
      </c>
      <c r="H154" s="140">
        <v>750</v>
      </c>
      <c r="I154" s="141">
        <v>1005.5</v>
      </c>
      <c r="J154" s="141">
        <v>77.8</v>
      </c>
      <c r="K154" s="143" t="e">
        <f>J154/#REF!*100</f>
        <v>#REF!</v>
      </c>
      <c r="L154" s="143">
        <f t="shared" si="61"/>
        <v>10.373333333333333</v>
      </c>
      <c r="M154" s="133"/>
      <c r="N154" s="133"/>
      <c r="O154" s="140">
        <f t="shared" si="57"/>
        <v>7.737444057682745</v>
      </c>
      <c r="P154" s="143">
        <f t="shared" si="55"/>
        <v>12.966666666666667</v>
      </c>
      <c r="Q154" s="141">
        <f t="shared" si="56"/>
        <v>2.389801873752112</v>
      </c>
    </row>
    <row r="155" spans="1:17" ht="12.75">
      <c r="A155" s="117" t="s">
        <v>233</v>
      </c>
      <c r="B155" s="117"/>
      <c r="C155" s="116" t="s">
        <v>234</v>
      </c>
      <c r="D155" s="146">
        <f aca="true" t="shared" si="63" ref="D155:D163">F155+G155+H155+I155</f>
        <v>321</v>
      </c>
      <c r="E155" s="138">
        <f t="shared" si="62"/>
        <v>46</v>
      </c>
      <c r="F155" s="138">
        <v>46</v>
      </c>
      <c r="G155" s="138">
        <v>63</v>
      </c>
      <c r="H155" s="140">
        <v>124</v>
      </c>
      <c r="I155" s="141">
        <v>88</v>
      </c>
      <c r="J155" s="141">
        <v>1.1</v>
      </c>
      <c r="K155" s="143" t="e">
        <f>J155/#REF!*100</f>
        <v>#REF!</v>
      </c>
      <c r="L155" s="143">
        <f t="shared" si="61"/>
        <v>0.8870967741935484</v>
      </c>
      <c r="M155" s="133"/>
      <c r="N155" s="133"/>
      <c r="O155" s="140">
        <f t="shared" si="57"/>
        <v>1.2500000000000002</v>
      </c>
      <c r="P155" s="143">
        <f t="shared" si="55"/>
        <v>2.3913043478260874</v>
      </c>
      <c r="Q155" s="141">
        <f t="shared" si="56"/>
        <v>0.34267912772585674</v>
      </c>
    </row>
    <row r="156" spans="1:17" ht="12.75">
      <c r="A156" s="117" t="s">
        <v>235</v>
      </c>
      <c r="B156" s="117"/>
      <c r="C156" s="116" t="s">
        <v>236</v>
      </c>
      <c r="D156" s="146">
        <f t="shared" si="63"/>
        <v>78</v>
      </c>
      <c r="E156" s="138">
        <f t="shared" si="62"/>
        <v>15</v>
      </c>
      <c r="F156" s="138">
        <v>15</v>
      </c>
      <c r="G156" s="138">
        <v>20</v>
      </c>
      <c r="H156" s="140">
        <v>20</v>
      </c>
      <c r="I156" s="141">
        <v>23</v>
      </c>
      <c r="J156" s="141">
        <v>4.8</v>
      </c>
      <c r="K156" s="143" t="e">
        <f>J156/#REF!*100</f>
        <v>#REF!</v>
      </c>
      <c r="L156" s="143">
        <f t="shared" si="61"/>
        <v>24</v>
      </c>
      <c r="M156" s="133"/>
      <c r="N156" s="133"/>
      <c r="O156" s="140">
        <f t="shared" si="57"/>
        <v>20.869565217391305</v>
      </c>
      <c r="P156" s="143">
        <f t="shared" si="55"/>
        <v>32</v>
      </c>
      <c r="Q156" s="141">
        <f t="shared" si="56"/>
        <v>6.153846153846154</v>
      </c>
    </row>
    <row r="157" spans="1:17" ht="24">
      <c r="A157" s="118" t="s">
        <v>239</v>
      </c>
      <c r="B157" s="118"/>
      <c r="C157" s="116" t="s">
        <v>240</v>
      </c>
      <c r="D157" s="146">
        <f t="shared" si="63"/>
        <v>436.5</v>
      </c>
      <c r="E157" s="138">
        <f t="shared" si="62"/>
        <v>110</v>
      </c>
      <c r="F157" s="138">
        <v>110</v>
      </c>
      <c r="G157" s="138">
        <v>110</v>
      </c>
      <c r="H157" s="140">
        <v>102.5</v>
      </c>
      <c r="I157" s="141">
        <v>114</v>
      </c>
      <c r="J157" s="141">
        <v>8.9</v>
      </c>
      <c r="K157" s="143" t="e">
        <f>J157/#REF!*100</f>
        <v>#REF!</v>
      </c>
      <c r="L157" s="143">
        <f t="shared" si="61"/>
        <v>8.682926829268293</v>
      </c>
      <c r="M157" s="133"/>
      <c r="N157" s="133"/>
      <c r="O157" s="140">
        <f t="shared" si="57"/>
        <v>7.807017543859649</v>
      </c>
      <c r="P157" s="143">
        <f t="shared" si="55"/>
        <v>8.090909090909092</v>
      </c>
      <c r="Q157" s="141">
        <f t="shared" si="56"/>
        <v>2.0389461626575027</v>
      </c>
    </row>
    <row r="158" spans="1:17" ht="24">
      <c r="A158" s="120" t="s">
        <v>243</v>
      </c>
      <c r="B158" s="120"/>
      <c r="C158" s="116" t="s">
        <v>244</v>
      </c>
      <c r="D158" s="146">
        <f t="shared" si="63"/>
        <v>70</v>
      </c>
      <c r="E158" s="138">
        <f t="shared" si="62"/>
        <v>15</v>
      </c>
      <c r="F158" s="138">
        <v>15</v>
      </c>
      <c r="G158" s="138">
        <v>15</v>
      </c>
      <c r="H158" s="140">
        <v>15</v>
      </c>
      <c r="I158" s="141">
        <v>25</v>
      </c>
      <c r="J158" s="141"/>
      <c r="K158" s="143" t="e">
        <f>J158/#REF!*100</f>
        <v>#REF!</v>
      </c>
      <c r="L158" s="143">
        <f t="shared" si="61"/>
        <v>0</v>
      </c>
      <c r="M158" s="133"/>
      <c r="N158" s="133"/>
      <c r="O158" s="140">
        <f t="shared" si="57"/>
        <v>0</v>
      </c>
      <c r="P158" s="143">
        <f t="shared" si="55"/>
        <v>0</v>
      </c>
      <c r="Q158" s="141">
        <f t="shared" si="56"/>
        <v>0</v>
      </c>
    </row>
    <row r="159" spans="1:17" ht="24">
      <c r="A159" s="119" t="s">
        <v>245</v>
      </c>
      <c r="B159" s="119"/>
      <c r="C159" s="116" t="s">
        <v>246</v>
      </c>
      <c r="D159" s="146">
        <f t="shared" si="63"/>
        <v>18.5</v>
      </c>
      <c r="E159" s="138">
        <f t="shared" si="62"/>
        <v>5</v>
      </c>
      <c r="F159" s="138">
        <v>5</v>
      </c>
      <c r="G159" s="138">
        <v>5</v>
      </c>
      <c r="H159" s="140">
        <v>5</v>
      </c>
      <c r="I159" s="141">
        <v>3.5</v>
      </c>
      <c r="J159" s="141"/>
      <c r="K159" s="143" t="e">
        <f>J159/#REF!*100</f>
        <v>#REF!</v>
      </c>
      <c r="L159" s="143">
        <f t="shared" si="61"/>
        <v>0</v>
      </c>
      <c r="M159" s="133"/>
      <c r="N159" s="133"/>
      <c r="O159" s="140">
        <f t="shared" si="57"/>
        <v>0</v>
      </c>
      <c r="P159" s="143">
        <f t="shared" si="55"/>
        <v>0</v>
      </c>
      <c r="Q159" s="141">
        <f t="shared" si="56"/>
        <v>0</v>
      </c>
    </row>
    <row r="160" spans="1:17" ht="12.75">
      <c r="A160" s="115" t="s">
        <v>249</v>
      </c>
      <c r="B160" s="115"/>
      <c r="C160" s="116" t="s">
        <v>250</v>
      </c>
      <c r="D160" s="146">
        <f t="shared" si="63"/>
        <v>0</v>
      </c>
      <c r="E160" s="138">
        <f t="shared" si="62"/>
        <v>0</v>
      </c>
      <c r="F160" s="138"/>
      <c r="G160" s="138"/>
      <c r="H160" s="140"/>
      <c r="I160" s="141"/>
      <c r="J160" s="141"/>
      <c r="K160" s="143"/>
      <c r="L160" s="143"/>
      <c r="M160" s="133"/>
      <c r="N160" s="133"/>
      <c r="O160" s="140" t="e">
        <f t="shared" si="57"/>
        <v>#DIV/0!</v>
      </c>
      <c r="P160" s="135" t="e">
        <f t="shared" si="55"/>
        <v>#DIV/0!</v>
      </c>
      <c r="Q160" s="136" t="e">
        <f t="shared" si="56"/>
        <v>#DIV/0!</v>
      </c>
    </row>
    <row r="161" spans="1:17" ht="12.75">
      <c r="A161" s="150" t="s">
        <v>251</v>
      </c>
      <c r="B161" s="122"/>
      <c r="C161" s="123" t="s">
        <v>252</v>
      </c>
      <c r="D161" s="146">
        <f t="shared" si="63"/>
        <v>0</v>
      </c>
      <c r="E161" s="138">
        <f t="shared" si="62"/>
        <v>0</v>
      </c>
      <c r="F161" s="138"/>
      <c r="G161" s="138"/>
      <c r="H161" s="140"/>
      <c r="I161" s="141"/>
      <c r="J161" s="141">
        <v>0.3</v>
      </c>
      <c r="K161" s="143"/>
      <c r="L161" s="143"/>
      <c r="M161" s="133"/>
      <c r="N161" s="133"/>
      <c r="O161" s="140" t="e">
        <f t="shared" si="57"/>
        <v>#DIV/0!</v>
      </c>
      <c r="P161" s="135"/>
      <c r="Q161" s="136"/>
    </row>
    <row r="162" spans="1:17" ht="12.75">
      <c r="A162" s="113" t="s">
        <v>253</v>
      </c>
      <c r="B162" s="113"/>
      <c r="C162" s="124" t="s">
        <v>254</v>
      </c>
      <c r="D162" s="144">
        <f aca="true" t="shared" si="64" ref="D162:J162">D163+D164</f>
        <v>23643.1</v>
      </c>
      <c r="E162" s="163">
        <f t="shared" si="64"/>
        <v>4985.4</v>
      </c>
      <c r="F162" s="163">
        <f t="shared" si="64"/>
        <v>4985.4</v>
      </c>
      <c r="G162" s="163">
        <f t="shared" si="64"/>
        <v>6588.8</v>
      </c>
      <c r="H162" s="144">
        <f t="shared" si="64"/>
        <v>7362.8</v>
      </c>
      <c r="I162" s="144">
        <f t="shared" si="64"/>
        <v>4706.1</v>
      </c>
      <c r="J162" s="144">
        <f t="shared" si="64"/>
        <v>1740.7</v>
      </c>
      <c r="K162" s="135" t="e">
        <f>J162/#REF!*100</f>
        <v>#REF!</v>
      </c>
      <c r="L162" s="135">
        <f>J162/H162*100</f>
        <v>23.641821046341065</v>
      </c>
      <c r="M162" s="133"/>
      <c r="N162" s="133"/>
      <c r="O162" s="145">
        <f t="shared" si="57"/>
        <v>36.98816429740124</v>
      </c>
      <c r="P162" s="135">
        <f t="shared" si="55"/>
        <v>34.9159545873952</v>
      </c>
      <c r="Q162" s="136">
        <f t="shared" si="56"/>
        <v>7.36240171551108</v>
      </c>
    </row>
    <row r="163" spans="1:17" ht="24">
      <c r="A163" s="125" t="s">
        <v>255</v>
      </c>
      <c r="B163" s="117"/>
      <c r="C163" s="126" t="s">
        <v>256</v>
      </c>
      <c r="D163" s="146">
        <f t="shared" si="63"/>
        <v>23643.1</v>
      </c>
      <c r="E163" s="138">
        <f t="shared" si="62"/>
        <v>4985.4</v>
      </c>
      <c r="F163" s="138">
        <v>4985.4</v>
      </c>
      <c r="G163" s="138">
        <v>6588.8</v>
      </c>
      <c r="H163" s="140">
        <v>7362.8</v>
      </c>
      <c r="I163" s="141">
        <v>4706.1</v>
      </c>
      <c r="J163" s="141">
        <v>1740.7</v>
      </c>
      <c r="K163" s="143" t="e">
        <f>J163/#REF!*100</f>
        <v>#REF!</v>
      </c>
      <c r="L163" s="143">
        <f>J163/H163*100</f>
        <v>23.641821046341065</v>
      </c>
      <c r="M163" s="133"/>
      <c r="N163" s="133"/>
      <c r="O163" s="140">
        <f t="shared" si="57"/>
        <v>36.98816429740124</v>
      </c>
      <c r="P163" s="143">
        <f t="shared" si="55"/>
        <v>34.9159545873952</v>
      </c>
      <c r="Q163" s="141">
        <f t="shared" si="56"/>
        <v>7.36240171551108</v>
      </c>
    </row>
    <row r="164" spans="1:17" ht="12.75">
      <c r="A164" s="125" t="s">
        <v>257</v>
      </c>
      <c r="B164" s="125"/>
      <c r="C164" s="127" t="s">
        <v>258</v>
      </c>
      <c r="D164" s="146">
        <f>F164+G164+H164+I164</f>
        <v>0</v>
      </c>
      <c r="E164" s="138">
        <f t="shared" si="62"/>
        <v>0</v>
      </c>
      <c r="F164" s="165"/>
      <c r="G164" s="165"/>
      <c r="H164" s="140"/>
      <c r="I164" s="141"/>
      <c r="J164" s="141"/>
      <c r="K164" s="143" t="e">
        <f>J164/#REF!*100</f>
        <v>#REF!</v>
      </c>
      <c r="L164" s="143"/>
      <c r="M164" s="133"/>
      <c r="N164" s="133"/>
      <c r="O164" s="140" t="e">
        <f t="shared" si="57"/>
        <v>#DIV/0!</v>
      </c>
      <c r="P164" s="143"/>
      <c r="Q164" s="141"/>
    </row>
    <row r="165" spans="1:17" ht="12.75">
      <c r="A165" s="115"/>
      <c r="B165" s="131"/>
      <c r="C165" s="132" t="s">
        <v>263</v>
      </c>
      <c r="D165" s="136">
        <f aca="true" t="shared" si="65" ref="D165:J165">D162+D153</f>
        <v>27822.6</v>
      </c>
      <c r="E165" s="136">
        <f t="shared" si="65"/>
        <v>5776.4</v>
      </c>
      <c r="F165" s="136">
        <f t="shared" si="65"/>
        <v>5776.4</v>
      </c>
      <c r="G165" s="136">
        <f t="shared" si="65"/>
        <v>7701.8</v>
      </c>
      <c r="H165" s="136">
        <f t="shared" si="65"/>
        <v>8379.3</v>
      </c>
      <c r="I165" s="136">
        <f t="shared" si="65"/>
        <v>5965.1</v>
      </c>
      <c r="J165" s="136">
        <f t="shared" si="65"/>
        <v>1833.6000000000001</v>
      </c>
      <c r="K165" s="135" t="e">
        <f>J165/#REF!*100</f>
        <v>#REF!</v>
      </c>
      <c r="L165" s="135">
        <f>J165/H165*100</f>
        <v>21.88249615122982</v>
      </c>
      <c r="M165" s="133"/>
      <c r="N165" s="147" t="e">
        <f>I165+#REF!+#REF!</f>
        <v>#REF!</v>
      </c>
      <c r="O165" s="145">
        <f t="shared" si="57"/>
        <v>30.738797337848485</v>
      </c>
      <c r="P165" s="135">
        <f t="shared" si="55"/>
        <v>31.742954089052006</v>
      </c>
      <c r="Q165" s="136">
        <f t="shared" si="56"/>
        <v>6.590325850208105</v>
      </c>
    </row>
    <row r="166" spans="1:17" ht="12.75">
      <c r="A166" s="203"/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5"/>
      <c r="M166" s="133"/>
      <c r="N166" s="133"/>
      <c r="O166" s="134"/>
      <c r="P166" s="135"/>
      <c r="Q166" s="136"/>
    </row>
    <row r="167" spans="1:17" ht="12.75">
      <c r="A167" s="209" t="s">
        <v>275</v>
      </c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135"/>
      <c r="Q167" s="136"/>
    </row>
    <row r="168" spans="1:17" ht="12.75">
      <c r="A168" s="113" t="s">
        <v>225</v>
      </c>
      <c r="B168" s="113"/>
      <c r="C168" s="114" t="s">
        <v>226</v>
      </c>
      <c r="D168" s="135">
        <f aca="true" t="shared" si="66" ref="D168:J168">D169+D170+D171+D172+D173+D175+D177+D176+D174</f>
        <v>16123.3</v>
      </c>
      <c r="E168" s="135">
        <f t="shared" si="66"/>
        <v>3700</v>
      </c>
      <c r="F168" s="135">
        <f t="shared" si="66"/>
        <v>3700</v>
      </c>
      <c r="G168" s="135">
        <f t="shared" si="66"/>
        <v>3920</v>
      </c>
      <c r="H168" s="135">
        <f t="shared" si="66"/>
        <v>3315</v>
      </c>
      <c r="I168" s="135">
        <f t="shared" si="66"/>
        <v>5188.3</v>
      </c>
      <c r="J168" s="135">
        <f t="shared" si="66"/>
        <v>955.8000000000001</v>
      </c>
      <c r="K168" s="135" t="e">
        <f>J168/#REF!*100</f>
        <v>#REF!</v>
      </c>
      <c r="L168" s="135">
        <f>J168/H168*100</f>
        <v>28.832579185520363</v>
      </c>
      <c r="M168" s="133"/>
      <c r="N168" s="133"/>
      <c r="O168" s="135">
        <f t="shared" si="57"/>
        <v>18.422219224023284</v>
      </c>
      <c r="P168" s="135">
        <f t="shared" si="55"/>
        <v>25.832432432432434</v>
      </c>
      <c r="Q168" s="136">
        <f t="shared" si="56"/>
        <v>5.9280668349531425</v>
      </c>
    </row>
    <row r="169" spans="1:17" ht="12.75">
      <c r="A169" s="115" t="s">
        <v>227</v>
      </c>
      <c r="B169" s="115"/>
      <c r="C169" s="116" t="s">
        <v>228</v>
      </c>
      <c r="D169" s="146">
        <f>F169+G169+H169+I169</f>
        <v>13755</v>
      </c>
      <c r="E169" s="138">
        <f aca="true" t="shared" si="67" ref="E169:E175">F169</f>
        <v>3262</v>
      </c>
      <c r="F169" s="146">
        <v>3262</v>
      </c>
      <c r="G169" s="146">
        <v>3512</v>
      </c>
      <c r="H169" s="140">
        <v>2707</v>
      </c>
      <c r="I169" s="141">
        <v>4274</v>
      </c>
      <c r="J169" s="141">
        <v>932.6</v>
      </c>
      <c r="K169" s="143" t="e">
        <f>J169/#REF!*100</f>
        <v>#REF!</v>
      </c>
      <c r="L169" s="143">
        <f>J169/H169*100</f>
        <v>34.45142223864056</v>
      </c>
      <c r="M169" s="133"/>
      <c r="N169" s="133"/>
      <c r="O169" s="140">
        <f t="shared" si="57"/>
        <v>21.820308844174075</v>
      </c>
      <c r="P169" s="143">
        <f t="shared" si="55"/>
        <v>28.58982219497241</v>
      </c>
      <c r="Q169" s="141">
        <f t="shared" si="56"/>
        <v>6.780079970919665</v>
      </c>
    </row>
    <row r="170" spans="1:17" ht="12.75">
      <c r="A170" s="117" t="s">
        <v>231</v>
      </c>
      <c r="B170" s="117"/>
      <c r="C170" s="116" t="s">
        <v>232</v>
      </c>
      <c r="D170" s="146">
        <f aca="true" t="shared" si="68" ref="D170:D179">F170+G170+H170+I170</f>
        <v>0</v>
      </c>
      <c r="E170" s="138">
        <f t="shared" si="67"/>
        <v>0</v>
      </c>
      <c r="F170" s="146"/>
      <c r="G170" s="146"/>
      <c r="H170" s="140"/>
      <c r="I170" s="141"/>
      <c r="J170" s="141"/>
      <c r="K170" s="143"/>
      <c r="L170" s="143"/>
      <c r="M170" s="133"/>
      <c r="N170" s="133"/>
      <c r="O170" s="140" t="e">
        <f t="shared" si="57"/>
        <v>#DIV/0!</v>
      </c>
      <c r="P170" s="143"/>
      <c r="Q170" s="141"/>
    </row>
    <row r="171" spans="1:17" ht="12.75">
      <c r="A171" s="117" t="s">
        <v>233</v>
      </c>
      <c r="B171" s="117"/>
      <c r="C171" s="116" t="s">
        <v>234</v>
      </c>
      <c r="D171" s="146">
        <f t="shared" si="68"/>
        <v>1155</v>
      </c>
      <c r="E171" s="138">
        <f t="shared" si="67"/>
        <v>130</v>
      </c>
      <c r="F171" s="146">
        <v>130</v>
      </c>
      <c r="G171" s="146">
        <v>100</v>
      </c>
      <c r="H171" s="140">
        <v>300</v>
      </c>
      <c r="I171" s="141">
        <v>625</v>
      </c>
      <c r="J171" s="141">
        <v>21.7</v>
      </c>
      <c r="K171" s="143" t="e">
        <f>J171/#REF!*100</f>
        <v>#REF!</v>
      </c>
      <c r="L171" s="143">
        <f>J171/H171*100</f>
        <v>7.233333333333333</v>
      </c>
      <c r="M171" s="133"/>
      <c r="N171" s="133"/>
      <c r="O171" s="140">
        <f t="shared" si="57"/>
        <v>3.472</v>
      </c>
      <c r="P171" s="143">
        <f t="shared" si="55"/>
        <v>16.692307692307693</v>
      </c>
      <c r="Q171" s="141">
        <f t="shared" si="56"/>
        <v>1.878787878787879</v>
      </c>
    </row>
    <row r="172" spans="1:17" ht="12.75">
      <c r="A172" s="117" t="s">
        <v>235</v>
      </c>
      <c r="B172" s="117"/>
      <c r="C172" s="116" t="s">
        <v>236</v>
      </c>
      <c r="D172" s="146">
        <f t="shared" si="68"/>
        <v>198.5</v>
      </c>
      <c r="E172" s="138">
        <f t="shared" si="67"/>
        <v>49</v>
      </c>
      <c r="F172" s="146">
        <v>49</v>
      </c>
      <c r="G172" s="146">
        <v>49</v>
      </c>
      <c r="H172" s="140">
        <v>49</v>
      </c>
      <c r="I172" s="141">
        <v>51.5</v>
      </c>
      <c r="J172" s="141">
        <v>1.5</v>
      </c>
      <c r="K172" s="143" t="e">
        <f>J172/#REF!*100</f>
        <v>#REF!</v>
      </c>
      <c r="L172" s="143">
        <f>J172/H172*100</f>
        <v>3.061224489795918</v>
      </c>
      <c r="M172" s="133"/>
      <c r="N172" s="133"/>
      <c r="O172" s="140">
        <f t="shared" si="57"/>
        <v>2.912621359223301</v>
      </c>
      <c r="P172" s="143">
        <f t="shared" si="55"/>
        <v>3.061224489795918</v>
      </c>
      <c r="Q172" s="141">
        <f t="shared" si="56"/>
        <v>0.7556675062972292</v>
      </c>
    </row>
    <row r="173" spans="1:17" ht="24">
      <c r="A173" s="118" t="s">
        <v>239</v>
      </c>
      <c r="B173" s="118"/>
      <c r="C173" s="116" t="s">
        <v>240</v>
      </c>
      <c r="D173" s="146">
        <f t="shared" si="68"/>
        <v>884.8</v>
      </c>
      <c r="E173" s="138">
        <f t="shared" si="67"/>
        <v>226</v>
      </c>
      <c r="F173" s="146">
        <v>226</v>
      </c>
      <c r="G173" s="146">
        <v>226</v>
      </c>
      <c r="H173" s="140">
        <v>226</v>
      </c>
      <c r="I173" s="141">
        <v>206.8</v>
      </c>
      <c r="J173" s="141"/>
      <c r="K173" s="143" t="e">
        <f>J173/#REF!*100</f>
        <v>#REF!</v>
      </c>
      <c r="L173" s="143">
        <f>J173/H173*100</f>
        <v>0</v>
      </c>
      <c r="M173" s="133"/>
      <c r="N173" s="133"/>
      <c r="O173" s="140">
        <f t="shared" si="57"/>
        <v>0</v>
      </c>
      <c r="P173" s="143">
        <f t="shared" si="55"/>
        <v>0</v>
      </c>
      <c r="Q173" s="141">
        <f t="shared" si="56"/>
        <v>0</v>
      </c>
    </row>
    <row r="174" spans="1:17" ht="24">
      <c r="A174" s="120" t="s">
        <v>243</v>
      </c>
      <c r="B174" s="120"/>
      <c r="C174" s="116" t="s">
        <v>244</v>
      </c>
      <c r="D174" s="146">
        <f t="shared" si="68"/>
        <v>110</v>
      </c>
      <c r="E174" s="138">
        <f t="shared" si="67"/>
        <v>28</v>
      </c>
      <c r="F174" s="146">
        <v>28</v>
      </c>
      <c r="G174" s="146">
        <v>28</v>
      </c>
      <c r="H174" s="140">
        <v>28</v>
      </c>
      <c r="I174" s="141">
        <v>26</v>
      </c>
      <c r="J174" s="141"/>
      <c r="K174" s="143" t="e">
        <f>J174/#REF!*100</f>
        <v>#REF!</v>
      </c>
      <c r="L174" s="143">
        <f>J174/H174*100</f>
        <v>0</v>
      </c>
      <c r="M174" s="133"/>
      <c r="N174" s="133"/>
      <c r="O174" s="140">
        <f t="shared" si="57"/>
        <v>0</v>
      </c>
      <c r="P174" s="143">
        <f t="shared" si="55"/>
        <v>0</v>
      </c>
      <c r="Q174" s="141">
        <f t="shared" si="56"/>
        <v>0</v>
      </c>
    </row>
    <row r="175" spans="1:17" ht="24">
      <c r="A175" s="120" t="s">
        <v>245</v>
      </c>
      <c r="B175" s="120"/>
      <c r="C175" s="116" t="s">
        <v>246</v>
      </c>
      <c r="D175" s="146">
        <f t="shared" si="68"/>
        <v>20</v>
      </c>
      <c r="E175" s="138">
        <f t="shared" si="67"/>
        <v>5</v>
      </c>
      <c r="F175" s="146">
        <v>5</v>
      </c>
      <c r="G175" s="146">
        <v>5</v>
      </c>
      <c r="H175" s="140">
        <v>5</v>
      </c>
      <c r="I175" s="141">
        <v>5</v>
      </c>
      <c r="J175" s="141"/>
      <c r="K175" s="143" t="e">
        <f>J175/#REF!*100</f>
        <v>#REF!</v>
      </c>
      <c r="L175" s="143">
        <f>J175/H175*100</f>
        <v>0</v>
      </c>
      <c r="M175" s="133"/>
      <c r="N175" s="133"/>
      <c r="O175" s="140">
        <f t="shared" si="57"/>
        <v>0</v>
      </c>
      <c r="P175" s="143">
        <f t="shared" si="55"/>
        <v>0</v>
      </c>
      <c r="Q175" s="141">
        <f t="shared" si="56"/>
        <v>0</v>
      </c>
    </row>
    <row r="176" spans="1:17" ht="12.75">
      <c r="A176" s="115" t="s">
        <v>249</v>
      </c>
      <c r="B176" s="115"/>
      <c r="C176" s="116" t="s">
        <v>250</v>
      </c>
      <c r="D176" s="146">
        <f t="shared" si="68"/>
        <v>0</v>
      </c>
      <c r="E176" s="138">
        <f>F176+G176</f>
        <v>0</v>
      </c>
      <c r="F176" s="146"/>
      <c r="G176" s="146"/>
      <c r="H176" s="140"/>
      <c r="I176" s="141"/>
      <c r="J176" s="141"/>
      <c r="K176" s="143" t="e">
        <f>J176/#REF!*100</f>
        <v>#REF!</v>
      </c>
      <c r="L176" s="143"/>
      <c r="M176" s="133"/>
      <c r="N176" s="133"/>
      <c r="O176" s="140" t="e">
        <f t="shared" si="57"/>
        <v>#DIV/0!</v>
      </c>
      <c r="P176" s="143"/>
      <c r="Q176" s="141"/>
    </row>
    <row r="177" spans="1:17" ht="12.75">
      <c r="A177" s="150" t="s">
        <v>251</v>
      </c>
      <c r="B177" s="122"/>
      <c r="C177" s="123" t="s">
        <v>252</v>
      </c>
      <c r="D177" s="146">
        <f t="shared" si="68"/>
        <v>0</v>
      </c>
      <c r="E177" s="138">
        <f>F177+G177</f>
        <v>0</v>
      </c>
      <c r="F177" s="162"/>
      <c r="G177" s="162"/>
      <c r="H177" s="140"/>
      <c r="I177" s="141"/>
      <c r="J177" s="141">
        <v>0</v>
      </c>
      <c r="K177" s="143" t="e">
        <f>J177/#REF!*100</f>
        <v>#REF!</v>
      </c>
      <c r="L177" s="143"/>
      <c r="M177" s="133"/>
      <c r="N177" s="133"/>
      <c r="O177" s="140" t="e">
        <f t="shared" si="57"/>
        <v>#DIV/0!</v>
      </c>
      <c r="P177" s="135"/>
      <c r="Q177" s="136"/>
    </row>
    <row r="178" spans="1:17" ht="12.75">
      <c r="A178" s="113" t="s">
        <v>253</v>
      </c>
      <c r="B178" s="113"/>
      <c r="C178" s="124" t="s">
        <v>254</v>
      </c>
      <c r="D178" s="145">
        <f aca="true" t="shared" si="69" ref="D178:J178">D179</f>
        <v>37809</v>
      </c>
      <c r="E178" s="145">
        <f t="shared" si="69"/>
        <v>10361.4</v>
      </c>
      <c r="F178" s="145">
        <f t="shared" si="69"/>
        <v>10361.4</v>
      </c>
      <c r="G178" s="145">
        <f t="shared" si="69"/>
        <v>9152.4</v>
      </c>
      <c r="H178" s="145">
        <f t="shared" si="69"/>
        <v>9152.4</v>
      </c>
      <c r="I178" s="145">
        <f t="shared" si="69"/>
        <v>9142.8</v>
      </c>
      <c r="J178" s="145">
        <f t="shared" si="69"/>
        <v>2066.8</v>
      </c>
      <c r="K178" s="135" t="e">
        <f>J178/#REF!*100</f>
        <v>#REF!</v>
      </c>
      <c r="L178" s="135">
        <f>J178/H178*100</f>
        <v>22.582054980114506</v>
      </c>
      <c r="M178" s="133"/>
      <c r="N178" s="133"/>
      <c r="O178" s="145">
        <f t="shared" si="57"/>
        <v>22.605766286039294</v>
      </c>
      <c r="P178" s="135">
        <f t="shared" si="55"/>
        <v>19.94711139421314</v>
      </c>
      <c r="Q178" s="136">
        <f t="shared" si="56"/>
        <v>5.4664233383585925</v>
      </c>
    </row>
    <row r="179" spans="1:17" ht="24">
      <c r="A179" s="125" t="s">
        <v>255</v>
      </c>
      <c r="B179" s="117"/>
      <c r="C179" s="126" t="s">
        <v>256</v>
      </c>
      <c r="D179" s="146">
        <f t="shared" si="68"/>
        <v>37809</v>
      </c>
      <c r="E179" s="138">
        <f>F179</f>
        <v>10361.4</v>
      </c>
      <c r="F179" s="146">
        <v>10361.4</v>
      </c>
      <c r="G179" s="146">
        <v>9152.4</v>
      </c>
      <c r="H179" s="140">
        <v>9152.4</v>
      </c>
      <c r="I179" s="141">
        <v>9142.8</v>
      </c>
      <c r="J179" s="141">
        <v>2066.8</v>
      </c>
      <c r="K179" s="143" t="e">
        <f>J179/#REF!*100</f>
        <v>#REF!</v>
      </c>
      <c r="L179" s="143">
        <f>J179/H179*100</f>
        <v>22.582054980114506</v>
      </c>
      <c r="M179" s="133"/>
      <c r="N179" s="133"/>
      <c r="O179" s="140">
        <f t="shared" si="57"/>
        <v>22.605766286039294</v>
      </c>
      <c r="P179" s="143">
        <f t="shared" si="55"/>
        <v>19.94711139421314</v>
      </c>
      <c r="Q179" s="141">
        <f t="shared" si="56"/>
        <v>5.4664233383585925</v>
      </c>
    </row>
    <row r="180" spans="1:17" ht="12.75">
      <c r="A180" s="115"/>
      <c r="B180" s="131"/>
      <c r="C180" s="132" t="s">
        <v>263</v>
      </c>
      <c r="D180" s="136">
        <f aca="true" t="shared" si="70" ref="D180:J180">D178+D168</f>
        <v>53932.3</v>
      </c>
      <c r="E180" s="136">
        <f t="shared" si="70"/>
        <v>14061.4</v>
      </c>
      <c r="F180" s="136">
        <f t="shared" si="70"/>
        <v>14061.4</v>
      </c>
      <c r="G180" s="136">
        <f t="shared" si="70"/>
        <v>13072.4</v>
      </c>
      <c r="H180" s="136">
        <f t="shared" si="70"/>
        <v>12467.4</v>
      </c>
      <c r="I180" s="136">
        <f t="shared" si="70"/>
        <v>14331.099999999999</v>
      </c>
      <c r="J180" s="136">
        <f t="shared" si="70"/>
        <v>3022.6000000000004</v>
      </c>
      <c r="K180" s="135" t="e">
        <f>J180/#REF!*100</f>
        <v>#REF!</v>
      </c>
      <c r="L180" s="135">
        <f>J180/H180*100</f>
        <v>24.244028426135365</v>
      </c>
      <c r="M180" s="133"/>
      <c r="N180" s="147" t="e">
        <f>I180+#REF!+#REF!</f>
        <v>#REF!</v>
      </c>
      <c r="O180" s="145">
        <f t="shared" si="57"/>
        <v>21.091193278952773</v>
      </c>
      <c r="P180" s="135">
        <f t="shared" si="55"/>
        <v>21.49572588789168</v>
      </c>
      <c r="Q180" s="136">
        <f t="shared" si="56"/>
        <v>5.604433706702663</v>
      </c>
    </row>
    <row r="181" spans="1:17" ht="12.75">
      <c r="A181" s="203"/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5"/>
      <c r="M181" s="133"/>
      <c r="N181" s="133"/>
      <c r="O181" s="134"/>
      <c r="P181" s="135"/>
      <c r="Q181" s="136"/>
    </row>
    <row r="182" spans="1:17" ht="12.75">
      <c r="A182" s="209" t="s">
        <v>276</v>
      </c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135"/>
      <c r="Q182" s="136"/>
    </row>
    <row r="183" spans="1:17" ht="12.75">
      <c r="A183" s="113" t="s">
        <v>225</v>
      </c>
      <c r="B183" s="113"/>
      <c r="C183" s="114" t="s">
        <v>226</v>
      </c>
      <c r="D183" s="135">
        <f aca="true" t="shared" si="71" ref="D183:J183">D184+D186+D188+D189+D187+D190+D191+D185</f>
        <v>1471</v>
      </c>
      <c r="E183" s="135">
        <f t="shared" si="71"/>
        <v>187</v>
      </c>
      <c r="F183" s="135">
        <f t="shared" si="71"/>
        <v>187</v>
      </c>
      <c r="G183" s="135">
        <f t="shared" si="71"/>
        <v>362</v>
      </c>
      <c r="H183" s="135">
        <f t="shared" si="71"/>
        <v>390</v>
      </c>
      <c r="I183" s="135">
        <f t="shared" si="71"/>
        <v>532</v>
      </c>
      <c r="J183" s="135">
        <f t="shared" si="71"/>
        <v>116.8</v>
      </c>
      <c r="K183" s="135" t="e">
        <f>J183/#REF!*100</f>
        <v>#REF!</v>
      </c>
      <c r="L183" s="135">
        <f aca="true" t="shared" si="72" ref="L183:L189">J183/H183*100</f>
        <v>29.948717948717945</v>
      </c>
      <c r="M183" s="133"/>
      <c r="N183" s="133"/>
      <c r="O183" s="135">
        <f t="shared" si="57"/>
        <v>21.954887218045112</v>
      </c>
      <c r="P183" s="135">
        <f t="shared" si="55"/>
        <v>62.45989304812834</v>
      </c>
      <c r="Q183" s="136">
        <f t="shared" si="56"/>
        <v>7.940176750509857</v>
      </c>
    </row>
    <row r="184" spans="1:17" ht="12.75">
      <c r="A184" s="115" t="s">
        <v>227</v>
      </c>
      <c r="B184" s="115"/>
      <c r="C184" s="116" t="s">
        <v>228</v>
      </c>
      <c r="D184" s="146">
        <f>F184+G184+H184+I184</f>
        <v>1155</v>
      </c>
      <c r="E184" s="138">
        <f aca="true" t="shared" si="73" ref="E184:E190">F184</f>
        <v>120</v>
      </c>
      <c r="F184" s="146">
        <v>120</v>
      </c>
      <c r="G184" s="146">
        <v>300</v>
      </c>
      <c r="H184" s="140">
        <v>280</v>
      </c>
      <c r="I184" s="140">
        <v>455</v>
      </c>
      <c r="J184" s="141">
        <v>20</v>
      </c>
      <c r="K184" s="143" t="e">
        <f>J184/#REF!*100</f>
        <v>#REF!</v>
      </c>
      <c r="L184" s="143">
        <f t="shared" si="72"/>
        <v>7.142857142857142</v>
      </c>
      <c r="M184" s="133"/>
      <c r="N184" s="133"/>
      <c r="O184" s="140">
        <f t="shared" si="57"/>
        <v>4.395604395604396</v>
      </c>
      <c r="P184" s="143">
        <f t="shared" si="55"/>
        <v>16.666666666666668</v>
      </c>
      <c r="Q184" s="141">
        <f t="shared" si="56"/>
        <v>1.7316017316017316</v>
      </c>
    </row>
    <row r="185" spans="1:17" ht="36">
      <c r="A185" s="117" t="s">
        <v>231</v>
      </c>
      <c r="B185" s="166" t="s">
        <v>277</v>
      </c>
      <c r="C185" s="116" t="s">
        <v>232</v>
      </c>
      <c r="D185" s="146">
        <f aca="true" t="shared" si="74" ref="D185:D193">F185+G185+H185+I185</f>
        <v>16</v>
      </c>
      <c r="E185" s="138">
        <f t="shared" si="73"/>
        <v>16</v>
      </c>
      <c r="F185" s="146">
        <v>16</v>
      </c>
      <c r="G185" s="146"/>
      <c r="H185" s="140"/>
      <c r="I185" s="140"/>
      <c r="J185" s="141"/>
      <c r="K185" s="143" t="e">
        <f>J185/#REF!*100</f>
        <v>#REF!</v>
      </c>
      <c r="L185" s="143"/>
      <c r="M185" s="133"/>
      <c r="N185" s="133"/>
      <c r="O185" s="140" t="e">
        <f t="shared" si="57"/>
        <v>#DIV/0!</v>
      </c>
      <c r="P185" s="143">
        <f t="shared" si="55"/>
        <v>0</v>
      </c>
      <c r="Q185" s="141">
        <f t="shared" si="56"/>
        <v>0</v>
      </c>
    </row>
    <row r="186" spans="1:17" ht="12.75">
      <c r="A186" s="117" t="s">
        <v>233</v>
      </c>
      <c r="B186" s="117"/>
      <c r="C186" s="116" t="s">
        <v>234</v>
      </c>
      <c r="D186" s="146">
        <f t="shared" si="74"/>
        <v>87</v>
      </c>
      <c r="E186" s="138">
        <f t="shared" si="73"/>
        <v>3</v>
      </c>
      <c r="F186" s="146">
        <v>3</v>
      </c>
      <c r="G186" s="146">
        <v>5</v>
      </c>
      <c r="H186" s="140">
        <v>54</v>
      </c>
      <c r="I186" s="140">
        <v>25</v>
      </c>
      <c r="J186" s="141">
        <v>2.2</v>
      </c>
      <c r="K186" s="143" t="e">
        <f>J186/#REF!*100</f>
        <v>#REF!</v>
      </c>
      <c r="L186" s="143">
        <f t="shared" si="72"/>
        <v>4.074074074074074</v>
      </c>
      <c r="M186" s="133"/>
      <c r="N186" s="133"/>
      <c r="O186" s="140">
        <f t="shared" si="57"/>
        <v>8.8</v>
      </c>
      <c r="P186" s="143">
        <f t="shared" si="55"/>
        <v>73.33333333333334</v>
      </c>
      <c r="Q186" s="141">
        <f t="shared" si="56"/>
        <v>2.5287356321839085</v>
      </c>
    </row>
    <row r="187" spans="1:17" ht="12.75">
      <c r="A187" s="117" t="s">
        <v>235</v>
      </c>
      <c r="B187" s="117"/>
      <c r="C187" s="116" t="s">
        <v>236</v>
      </c>
      <c r="D187" s="146">
        <f t="shared" si="74"/>
        <v>35</v>
      </c>
      <c r="E187" s="138">
        <f t="shared" si="73"/>
        <v>4</v>
      </c>
      <c r="F187" s="146">
        <v>4</v>
      </c>
      <c r="G187" s="146">
        <v>12</v>
      </c>
      <c r="H187" s="140">
        <v>12</v>
      </c>
      <c r="I187" s="140">
        <v>7</v>
      </c>
      <c r="J187" s="141">
        <v>1.6</v>
      </c>
      <c r="K187" s="143" t="e">
        <f>J187/#REF!*100</f>
        <v>#REF!</v>
      </c>
      <c r="L187" s="143">
        <f t="shared" si="72"/>
        <v>13.333333333333334</v>
      </c>
      <c r="M187" s="133"/>
      <c r="N187" s="133"/>
      <c r="O187" s="140">
        <f t="shared" si="57"/>
        <v>22.857142857142858</v>
      </c>
      <c r="P187" s="143">
        <f t="shared" si="55"/>
        <v>40</v>
      </c>
      <c r="Q187" s="141">
        <f t="shared" si="56"/>
        <v>4.571428571428571</v>
      </c>
    </row>
    <row r="188" spans="1:17" ht="24">
      <c r="A188" s="118" t="s">
        <v>239</v>
      </c>
      <c r="B188" s="118"/>
      <c r="C188" s="116" t="s">
        <v>240</v>
      </c>
      <c r="D188" s="146">
        <f t="shared" si="74"/>
        <v>177</v>
      </c>
      <c r="E188" s="138">
        <f t="shared" si="73"/>
        <v>44</v>
      </c>
      <c r="F188" s="146">
        <v>44</v>
      </c>
      <c r="G188" s="146">
        <v>44</v>
      </c>
      <c r="H188" s="140">
        <v>44</v>
      </c>
      <c r="I188" s="140">
        <v>45</v>
      </c>
      <c r="J188" s="141">
        <v>93</v>
      </c>
      <c r="K188" s="143" t="e">
        <f>J188/#REF!*100</f>
        <v>#REF!</v>
      </c>
      <c r="L188" s="143">
        <f t="shared" si="72"/>
        <v>211.36363636363637</v>
      </c>
      <c r="M188" s="133"/>
      <c r="N188" s="133"/>
      <c r="O188" s="140">
        <f t="shared" si="57"/>
        <v>206.66666666666666</v>
      </c>
      <c r="P188" s="143">
        <f t="shared" si="55"/>
        <v>211.36363636363637</v>
      </c>
      <c r="Q188" s="141">
        <f t="shared" si="56"/>
        <v>52.54237288135593</v>
      </c>
    </row>
    <row r="189" spans="1:17" ht="24">
      <c r="A189" s="119" t="s">
        <v>245</v>
      </c>
      <c r="B189" s="119"/>
      <c r="C189" s="116" t="s">
        <v>246</v>
      </c>
      <c r="D189" s="146">
        <f t="shared" si="74"/>
        <v>1</v>
      </c>
      <c r="E189" s="138">
        <f t="shared" si="73"/>
        <v>0</v>
      </c>
      <c r="F189" s="146"/>
      <c r="G189" s="146">
        <v>1</v>
      </c>
      <c r="H189" s="140"/>
      <c r="I189" s="140"/>
      <c r="J189" s="141"/>
      <c r="K189" s="143" t="e">
        <f>J189/#REF!*100</f>
        <v>#REF!</v>
      </c>
      <c r="L189" s="143" t="e">
        <f t="shared" si="72"/>
        <v>#DIV/0!</v>
      </c>
      <c r="M189" s="133"/>
      <c r="N189" s="133"/>
      <c r="O189" s="140" t="e">
        <f t="shared" si="57"/>
        <v>#DIV/0!</v>
      </c>
      <c r="P189" s="143"/>
      <c r="Q189" s="141">
        <f t="shared" si="56"/>
        <v>0</v>
      </c>
    </row>
    <row r="190" spans="1:17" ht="12.75">
      <c r="A190" s="119" t="s">
        <v>249</v>
      </c>
      <c r="B190" s="164"/>
      <c r="C190" s="116" t="s">
        <v>250</v>
      </c>
      <c r="D190" s="146">
        <f t="shared" si="74"/>
        <v>0</v>
      </c>
      <c r="E190" s="138">
        <f t="shared" si="73"/>
        <v>0</v>
      </c>
      <c r="F190" s="146"/>
      <c r="G190" s="146"/>
      <c r="H190" s="140"/>
      <c r="I190" s="140"/>
      <c r="J190" s="141"/>
      <c r="K190" s="143" t="e">
        <f>J190/#REF!*100</f>
        <v>#REF!</v>
      </c>
      <c r="L190" s="143"/>
      <c r="M190" s="133"/>
      <c r="N190" s="133"/>
      <c r="O190" s="140" t="e">
        <f t="shared" si="57"/>
        <v>#DIV/0!</v>
      </c>
      <c r="P190" s="143"/>
      <c r="Q190" s="141"/>
    </row>
    <row r="191" spans="1:17" ht="12.75">
      <c r="A191" s="150" t="s">
        <v>251</v>
      </c>
      <c r="B191" s="122"/>
      <c r="C191" s="123" t="s">
        <v>252</v>
      </c>
      <c r="D191" s="146">
        <f t="shared" si="74"/>
        <v>0</v>
      </c>
      <c r="E191" s="138">
        <f>F191+G191</f>
        <v>0</v>
      </c>
      <c r="F191" s="146"/>
      <c r="G191" s="146"/>
      <c r="H191" s="140"/>
      <c r="I191" s="140"/>
      <c r="J191" s="141"/>
      <c r="K191" s="143" t="e">
        <f>J191/#REF!*100</f>
        <v>#REF!</v>
      </c>
      <c r="L191" s="143"/>
      <c r="M191" s="133"/>
      <c r="N191" s="133"/>
      <c r="O191" s="140"/>
      <c r="P191" s="143"/>
      <c r="Q191" s="141"/>
    </row>
    <row r="192" spans="1:17" ht="12.75">
      <c r="A192" s="113" t="s">
        <v>253</v>
      </c>
      <c r="B192" s="113"/>
      <c r="C192" s="124" t="s">
        <v>254</v>
      </c>
      <c r="D192" s="144">
        <f aca="true" t="shared" si="75" ref="D192:J192">D193</f>
        <v>22290.800000000003</v>
      </c>
      <c r="E192" s="144">
        <f t="shared" si="75"/>
        <v>5827.2</v>
      </c>
      <c r="F192" s="144">
        <f t="shared" si="75"/>
        <v>5827.2</v>
      </c>
      <c r="G192" s="144">
        <f t="shared" si="75"/>
        <v>5844.5</v>
      </c>
      <c r="H192" s="144">
        <f t="shared" si="75"/>
        <v>5544.5</v>
      </c>
      <c r="I192" s="144">
        <f t="shared" si="75"/>
        <v>5074.6</v>
      </c>
      <c r="J192" s="144">
        <f t="shared" si="75"/>
        <v>1277.6</v>
      </c>
      <c r="K192" s="135" t="e">
        <f>J192/#REF!*100</f>
        <v>#REF!</v>
      </c>
      <c r="L192" s="135">
        <f>J192/H192*100</f>
        <v>23.0426548832176</v>
      </c>
      <c r="M192" s="133"/>
      <c r="N192" s="133"/>
      <c r="O192" s="145">
        <f t="shared" si="57"/>
        <v>25.176368580774835</v>
      </c>
      <c r="P192" s="135">
        <f t="shared" si="55"/>
        <v>21.92476661175178</v>
      </c>
      <c r="Q192" s="136">
        <f t="shared" si="56"/>
        <v>5.7315125522637125</v>
      </c>
    </row>
    <row r="193" spans="1:17" ht="24">
      <c r="A193" s="125" t="s">
        <v>255</v>
      </c>
      <c r="B193" s="117"/>
      <c r="C193" s="126" t="s">
        <v>256</v>
      </c>
      <c r="D193" s="146">
        <f t="shared" si="74"/>
        <v>22290.800000000003</v>
      </c>
      <c r="E193" s="138">
        <f>F193</f>
        <v>5827.2</v>
      </c>
      <c r="F193" s="146">
        <v>5827.2</v>
      </c>
      <c r="G193" s="146">
        <v>5844.5</v>
      </c>
      <c r="H193" s="140">
        <v>5544.5</v>
      </c>
      <c r="I193" s="140">
        <v>5074.6</v>
      </c>
      <c r="J193" s="141">
        <v>1277.6</v>
      </c>
      <c r="K193" s="143" t="e">
        <f>J193/#REF!*100</f>
        <v>#REF!</v>
      </c>
      <c r="L193" s="143">
        <f>J193/H193*100</f>
        <v>23.0426548832176</v>
      </c>
      <c r="M193" s="133"/>
      <c r="N193" s="133"/>
      <c r="O193" s="140">
        <f t="shared" si="57"/>
        <v>25.176368580774835</v>
      </c>
      <c r="P193" s="143">
        <f t="shared" si="55"/>
        <v>21.92476661175178</v>
      </c>
      <c r="Q193" s="141">
        <f t="shared" si="56"/>
        <v>5.7315125522637125</v>
      </c>
    </row>
    <row r="194" spans="1:17" ht="12.75">
      <c r="A194" s="115"/>
      <c r="B194" s="131"/>
      <c r="C194" s="132" t="s">
        <v>263</v>
      </c>
      <c r="D194" s="136">
        <f aca="true" t="shared" si="76" ref="D194:J194">D192+D183</f>
        <v>23761.800000000003</v>
      </c>
      <c r="E194" s="136">
        <f t="shared" si="76"/>
        <v>6014.2</v>
      </c>
      <c r="F194" s="145">
        <f t="shared" si="76"/>
        <v>6014.2</v>
      </c>
      <c r="G194" s="145">
        <f t="shared" si="76"/>
        <v>6206.5</v>
      </c>
      <c r="H194" s="145">
        <f t="shared" si="76"/>
        <v>5934.5</v>
      </c>
      <c r="I194" s="145">
        <f t="shared" si="76"/>
        <v>5606.6</v>
      </c>
      <c r="J194" s="136">
        <f t="shared" si="76"/>
        <v>1394.3999999999999</v>
      </c>
      <c r="K194" s="135" t="e">
        <f>J194/#REF!*100</f>
        <v>#REF!</v>
      </c>
      <c r="L194" s="135">
        <f>J194/H194*100</f>
        <v>23.496503496503493</v>
      </c>
      <c r="M194" s="133"/>
      <c r="N194" s="147" t="e">
        <f>I194+#REF!+#REF!</f>
        <v>#REF!</v>
      </c>
      <c r="O194" s="145">
        <f t="shared" si="57"/>
        <v>24.870688117575714</v>
      </c>
      <c r="P194" s="135">
        <f t="shared" si="55"/>
        <v>23.185128529147683</v>
      </c>
      <c r="Q194" s="136">
        <f t="shared" si="56"/>
        <v>5.868242304875893</v>
      </c>
    </row>
    <row r="195" spans="1:17" ht="12.75">
      <c r="A195" s="203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5"/>
      <c r="M195" s="133"/>
      <c r="N195" s="133"/>
      <c r="O195" s="134"/>
      <c r="P195" s="135"/>
      <c r="Q195" s="136"/>
    </row>
    <row r="196" spans="1:17" ht="12.75">
      <c r="A196" s="206" t="s">
        <v>278</v>
      </c>
      <c r="B196" s="207"/>
      <c r="C196" s="207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207"/>
      <c r="Q196" s="208"/>
    </row>
    <row r="197" spans="1:17" ht="12.75">
      <c r="A197" s="113" t="s">
        <v>225</v>
      </c>
      <c r="B197" s="167"/>
      <c r="C197" s="114" t="s">
        <v>226</v>
      </c>
      <c r="D197" s="135">
        <f aca="true" t="shared" si="77" ref="D197:J197">D198+D200+D201+D202+D204+D205+D207+D209+D206+D203+D210+D208+D199</f>
        <v>781777.1000000001</v>
      </c>
      <c r="E197" s="135">
        <f t="shared" si="77"/>
        <v>168961.50000000003</v>
      </c>
      <c r="F197" s="135">
        <f t="shared" si="77"/>
        <v>168961.50000000003</v>
      </c>
      <c r="G197" s="135">
        <f t="shared" si="77"/>
        <v>205303.30000000002</v>
      </c>
      <c r="H197" s="135">
        <f t="shared" si="77"/>
        <v>185046</v>
      </c>
      <c r="I197" s="135">
        <f t="shared" si="77"/>
        <v>222466.3</v>
      </c>
      <c r="J197" s="135">
        <f t="shared" si="77"/>
        <v>55490.69999999999</v>
      </c>
      <c r="K197" s="135" t="e">
        <f>J197/#REF!*100</f>
        <v>#REF!</v>
      </c>
      <c r="L197" s="135">
        <f aca="true" t="shared" si="78" ref="L197:L208">J197/H197*100</f>
        <v>29.9875166174897</v>
      </c>
      <c r="M197" s="133"/>
      <c r="N197" s="133"/>
      <c r="O197" s="135">
        <f t="shared" si="57"/>
        <v>24.943418396404308</v>
      </c>
      <c r="P197" s="135">
        <f t="shared" si="55"/>
        <v>32.8422155343081</v>
      </c>
      <c r="Q197" s="136">
        <f t="shared" si="56"/>
        <v>7.098020650643257</v>
      </c>
    </row>
    <row r="198" spans="1:17" ht="36">
      <c r="A198" s="115" t="s">
        <v>227</v>
      </c>
      <c r="B198" s="168" t="s">
        <v>279</v>
      </c>
      <c r="C198" s="116" t="s">
        <v>228</v>
      </c>
      <c r="D198" s="146">
        <f>F198+G198+H198+I198</f>
        <v>574720.1000000001</v>
      </c>
      <c r="E198" s="138">
        <f aca="true" t="shared" si="79" ref="E198:E214">F198</f>
        <v>131621.1</v>
      </c>
      <c r="F198" s="141">
        <f>F9+F31+F45+F61+F77+F94+F108+F123+F138+F154+F169+F184</f>
        <v>131621.1</v>
      </c>
      <c r="G198" s="141">
        <f>G9+G31+G45+G61+G77+G94+G108+G123+G138+G154+G169+G184</f>
        <v>151298.1</v>
      </c>
      <c r="H198" s="141">
        <f>H9+H31+H45+H61+H77+H94+H108+H123+H138+H154+H169+H184</f>
        <v>132400.6</v>
      </c>
      <c r="I198" s="141">
        <f>I9+I31+I45+I61+I77+I94+I108+I123+I138+I154+I169+I184</f>
        <v>159400.30000000002</v>
      </c>
      <c r="J198" s="141">
        <f>J9+J31+J45+J61+J77+J94+J108+J123+J138+J154+J169+J184+0.1</f>
        <v>42311.799999999996</v>
      </c>
      <c r="K198" s="143" t="e">
        <f>J198/#REF!*100</f>
        <v>#REF!</v>
      </c>
      <c r="L198" s="143">
        <f t="shared" si="78"/>
        <v>31.95740804799978</v>
      </c>
      <c r="M198" s="133"/>
      <c r="N198" s="133"/>
      <c r="O198" s="140">
        <f t="shared" si="57"/>
        <v>26.544366604077908</v>
      </c>
      <c r="P198" s="143">
        <f t="shared" si="55"/>
        <v>32.14666949296123</v>
      </c>
      <c r="Q198" s="141">
        <f t="shared" si="56"/>
        <v>7.362157683366215</v>
      </c>
    </row>
    <row r="199" spans="1:17" ht="12.75">
      <c r="A199" s="117" t="s">
        <v>229</v>
      </c>
      <c r="B199" s="117"/>
      <c r="C199" s="116" t="s">
        <v>230</v>
      </c>
      <c r="D199" s="146">
        <f aca="true" t="shared" si="80" ref="D199:D214">F199+G199+H199+I199</f>
        <v>33926</v>
      </c>
      <c r="E199" s="138">
        <f t="shared" si="79"/>
        <v>8481.5</v>
      </c>
      <c r="F199" s="141">
        <f aca="true" t="shared" si="81" ref="F199:O199">F10</f>
        <v>8481.5</v>
      </c>
      <c r="G199" s="141">
        <f t="shared" si="81"/>
        <v>8481.5</v>
      </c>
      <c r="H199" s="141">
        <f t="shared" si="81"/>
        <v>8481.5</v>
      </c>
      <c r="I199" s="141">
        <f t="shared" si="81"/>
        <v>8481.5</v>
      </c>
      <c r="J199" s="141">
        <f>J10</f>
        <v>3142.4</v>
      </c>
      <c r="K199" s="141">
        <f t="shared" si="81"/>
        <v>0</v>
      </c>
      <c r="L199" s="141">
        <f t="shared" si="81"/>
        <v>0</v>
      </c>
      <c r="M199" s="141">
        <f t="shared" si="81"/>
        <v>0</v>
      </c>
      <c r="N199" s="141">
        <f t="shared" si="81"/>
        <v>0</v>
      </c>
      <c r="O199" s="141">
        <f t="shared" si="81"/>
        <v>0</v>
      </c>
      <c r="P199" s="143">
        <f t="shared" si="55"/>
        <v>37.0500501090609</v>
      </c>
      <c r="Q199" s="141">
        <f t="shared" si="56"/>
        <v>9.262512527265224</v>
      </c>
    </row>
    <row r="200" spans="1:17" ht="36">
      <c r="A200" s="117" t="s">
        <v>231</v>
      </c>
      <c r="B200" s="166" t="s">
        <v>277</v>
      </c>
      <c r="C200" s="116" t="s">
        <v>232</v>
      </c>
      <c r="D200" s="146">
        <f t="shared" si="80"/>
        <v>31307.6</v>
      </c>
      <c r="E200" s="138">
        <f t="shared" si="79"/>
        <v>7656.5</v>
      </c>
      <c r="F200" s="141">
        <f>F11+F46+F62+F185+F139+F109+F170+F78</f>
        <v>7656.5</v>
      </c>
      <c r="G200" s="141">
        <f>G11+G46+G62+G185+G139+G109+G170+G78</f>
        <v>7887.099999999999</v>
      </c>
      <c r="H200" s="141">
        <f>H11+H46+H62+H185+H139+H109+H170+H78</f>
        <v>7917.099999999999</v>
      </c>
      <c r="I200" s="141">
        <f>I11+I46+I62+I185+I139+I109+I170+I78</f>
        <v>7846.9</v>
      </c>
      <c r="J200" s="141">
        <f>J11+J46+J62+J185+J139+J109+J170+J78</f>
        <v>3994.6</v>
      </c>
      <c r="K200" s="143" t="e">
        <f>J200/#REF!*100</f>
        <v>#REF!</v>
      </c>
      <c r="L200" s="143">
        <f t="shared" si="78"/>
        <v>50.45534349698754</v>
      </c>
      <c r="M200" s="133"/>
      <c r="N200" s="133"/>
      <c r="O200" s="140">
        <f t="shared" si="57"/>
        <v>50.90672749748308</v>
      </c>
      <c r="P200" s="143">
        <f t="shared" si="55"/>
        <v>52.17266374975511</v>
      </c>
      <c r="Q200" s="141">
        <f t="shared" si="56"/>
        <v>12.759202238434119</v>
      </c>
    </row>
    <row r="201" spans="1:17" ht="36">
      <c r="A201" s="117" t="s">
        <v>233</v>
      </c>
      <c r="B201" s="166" t="s">
        <v>280</v>
      </c>
      <c r="C201" s="116" t="s">
        <v>234</v>
      </c>
      <c r="D201" s="146">
        <f t="shared" si="80"/>
        <v>15760</v>
      </c>
      <c r="E201" s="138">
        <f t="shared" si="79"/>
        <v>4589.5</v>
      </c>
      <c r="F201" s="141">
        <f>F12+F32+F47+F63+F79+F95+F110+F124+F140+F155+F171+F186</f>
        <v>4589.5</v>
      </c>
      <c r="G201" s="141">
        <f>G12+G32+G47+G63+G79+G95+G110+G124+G140+G155+G171+G186</f>
        <v>2218.3</v>
      </c>
      <c r="H201" s="141">
        <f>H12+H32+H47+H63+H79+H95+H110+H124+H140+H155+H171+H186</f>
        <v>4809.400000000001</v>
      </c>
      <c r="I201" s="141">
        <f>I12+I32+I47+I63+I79+I95+I110+I124+I140+I155+I171+I186</f>
        <v>4142.8</v>
      </c>
      <c r="J201" s="141">
        <f>J12+J32+J47+J63+J79+J95+J110+J124+J140+J155+J171+J186+0.1</f>
        <v>1110.1</v>
      </c>
      <c r="K201" s="143" t="e">
        <f>J201/#REF!*100</f>
        <v>#REF!</v>
      </c>
      <c r="L201" s="143">
        <f t="shared" si="78"/>
        <v>23.08188131575664</v>
      </c>
      <c r="M201" s="133"/>
      <c r="N201" s="133"/>
      <c r="O201" s="140">
        <f t="shared" si="57"/>
        <v>26.795886839818476</v>
      </c>
      <c r="P201" s="143">
        <f t="shared" si="55"/>
        <v>24.18782002396775</v>
      </c>
      <c r="Q201" s="141">
        <f t="shared" si="56"/>
        <v>7.043781725888324</v>
      </c>
    </row>
    <row r="202" spans="1:17" ht="36">
      <c r="A202" s="117" t="s">
        <v>235</v>
      </c>
      <c r="B202" s="166" t="s">
        <v>281</v>
      </c>
      <c r="C202" s="116" t="s">
        <v>236</v>
      </c>
      <c r="D202" s="146">
        <f t="shared" si="80"/>
        <v>2394.2000000000003</v>
      </c>
      <c r="E202" s="138">
        <f t="shared" si="79"/>
        <v>563.5</v>
      </c>
      <c r="F202" s="141">
        <f>F13+F33+F64+F80+F96+F111+F125+F141+F156+F172+F187</f>
        <v>563.5</v>
      </c>
      <c r="G202" s="141">
        <f>G13+G33+G64+G80+G96+G111+G125+G141+G156+G172+G187</f>
        <v>613.4</v>
      </c>
      <c r="H202" s="141">
        <f>H13+H33+H64+H80+H96+H111+H125+H141+H156+H172+H187</f>
        <v>592.4000000000001</v>
      </c>
      <c r="I202" s="141">
        <f>I13+I33+I64+I80+I96+I111+I125+I141+I156+I172+I187</f>
        <v>624.9</v>
      </c>
      <c r="J202" s="141">
        <f>J13+J33+J48+J64+J80+J96+J111+J125+J141+J156+J172+J187</f>
        <v>227.20000000000002</v>
      </c>
      <c r="K202" s="143" t="e">
        <f>J202/#REF!*100</f>
        <v>#REF!</v>
      </c>
      <c r="L202" s="143">
        <f t="shared" si="78"/>
        <v>38.352464550979064</v>
      </c>
      <c r="M202" s="133"/>
      <c r="N202" s="133"/>
      <c r="O202" s="140">
        <f t="shared" si="57"/>
        <v>36.35781725076012</v>
      </c>
      <c r="P202" s="143">
        <f t="shared" si="55"/>
        <v>40.31943212067436</v>
      </c>
      <c r="Q202" s="141">
        <f t="shared" si="56"/>
        <v>9.489599866343664</v>
      </c>
    </row>
    <row r="203" spans="1:17" ht="24">
      <c r="A203" s="117" t="s">
        <v>237</v>
      </c>
      <c r="B203" s="166" t="s">
        <v>282</v>
      </c>
      <c r="C203" s="116" t="s">
        <v>238</v>
      </c>
      <c r="D203" s="146">
        <f t="shared" si="80"/>
        <v>0</v>
      </c>
      <c r="E203" s="138">
        <f t="shared" si="79"/>
        <v>0</v>
      </c>
      <c r="F203" s="169">
        <f>F14</f>
        <v>0</v>
      </c>
      <c r="G203" s="169">
        <f>G14</f>
        <v>0</v>
      </c>
      <c r="H203" s="169">
        <f>H14</f>
        <v>0</v>
      </c>
      <c r="I203" s="169">
        <f>I14</f>
        <v>0</v>
      </c>
      <c r="J203" s="169">
        <f>J14</f>
        <v>0</v>
      </c>
      <c r="K203" s="143" t="e">
        <f>J203/#REF!*100</f>
        <v>#REF!</v>
      </c>
      <c r="L203" s="143"/>
      <c r="M203" s="133"/>
      <c r="N203" s="133"/>
      <c r="O203" s="140" t="e">
        <f t="shared" si="57"/>
        <v>#DIV/0!</v>
      </c>
      <c r="P203" s="143"/>
      <c r="Q203" s="141"/>
    </row>
    <row r="204" spans="1:17" ht="36">
      <c r="A204" s="118" t="s">
        <v>239</v>
      </c>
      <c r="B204" s="170" t="s">
        <v>283</v>
      </c>
      <c r="C204" s="116" t="s">
        <v>240</v>
      </c>
      <c r="D204" s="146">
        <f t="shared" si="80"/>
        <v>89497.8</v>
      </c>
      <c r="E204" s="138">
        <f t="shared" si="79"/>
        <v>8065.8</v>
      </c>
      <c r="F204" s="141">
        <f>F15+F34+F49+F65+F81+F97+F112+F126+F142+F157+F173+F188</f>
        <v>8065.8</v>
      </c>
      <c r="G204" s="141">
        <f>G15+G34+G49+G65+G81+G97+G112+G126+G142+G157+G173+G188</f>
        <v>23544.7</v>
      </c>
      <c r="H204" s="141">
        <f>H15+H34+H49+H65+H81+H97+H112+H126+H142+H157+H173+H188</f>
        <v>23787.8</v>
      </c>
      <c r="I204" s="141">
        <f>I15+I34+I49+I65+I81+I97+I112+I126+I142+I157+I173+I188</f>
        <v>34099.5</v>
      </c>
      <c r="J204" s="141">
        <f>J15+J34+J49+J65+J81+J97+J112+J126+J142+J157+J173+J188</f>
        <v>1045.3</v>
      </c>
      <c r="K204" s="143" t="e">
        <f>J204/#REF!*100</f>
        <v>#REF!</v>
      </c>
      <c r="L204" s="143">
        <f t="shared" si="78"/>
        <v>4.394269331337912</v>
      </c>
      <c r="M204" s="133"/>
      <c r="N204" s="133"/>
      <c r="O204" s="140">
        <f t="shared" si="57"/>
        <v>3.0654408422410886</v>
      </c>
      <c r="P204" s="143">
        <f aca="true" t="shared" si="82" ref="P204:P215">J204*100/E204</f>
        <v>12.959656822633836</v>
      </c>
      <c r="Q204" s="141">
        <f aca="true" t="shared" si="83" ref="Q204:Q215">J204*100/D204</f>
        <v>1.167961670566204</v>
      </c>
    </row>
    <row r="205" spans="1:17" ht="12.75">
      <c r="A205" s="119" t="s">
        <v>241</v>
      </c>
      <c r="B205" s="171" t="s">
        <v>284</v>
      </c>
      <c r="C205" s="116" t="s">
        <v>242</v>
      </c>
      <c r="D205" s="146">
        <f t="shared" si="80"/>
        <v>9202.4</v>
      </c>
      <c r="E205" s="138">
        <f t="shared" si="79"/>
        <v>2300.6</v>
      </c>
      <c r="F205" s="141">
        <f>F16</f>
        <v>2300.6</v>
      </c>
      <c r="G205" s="141">
        <f>G16</f>
        <v>2300.6</v>
      </c>
      <c r="H205" s="141">
        <f>H16</f>
        <v>2300.6</v>
      </c>
      <c r="I205" s="141">
        <f>I16</f>
        <v>2300.6</v>
      </c>
      <c r="J205" s="141">
        <f>J16</f>
        <v>2361</v>
      </c>
      <c r="K205" s="143" t="e">
        <f>J205/#REF!*100</f>
        <v>#REF!</v>
      </c>
      <c r="L205" s="143">
        <f t="shared" si="78"/>
        <v>102.62540206902548</v>
      </c>
      <c r="M205" s="133"/>
      <c r="N205" s="133"/>
      <c r="O205" s="140">
        <f t="shared" si="57"/>
        <v>102.62540206902547</v>
      </c>
      <c r="P205" s="143">
        <f t="shared" si="82"/>
        <v>102.62540206902547</v>
      </c>
      <c r="Q205" s="141">
        <f t="shared" si="83"/>
        <v>25.656350517256367</v>
      </c>
    </row>
    <row r="206" spans="1:17" ht="24">
      <c r="A206" s="120" t="s">
        <v>243</v>
      </c>
      <c r="B206" s="172" t="s">
        <v>285</v>
      </c>
      <c r="C206" s="116" t="s">
        <v>244</v>
      </c>
      <c r="D206" s="146">
        <f t="shared" si="80"/>
        <v>7607</v>
      </c>
      <c r="E206" s="138">
        <f t="shared" si="79"/>
        <v>1755.6</v>
      </c>
      <c r="F206" s="173">
        <f>F17+F82+F98+F127+F143+F158+F174+F113+F66+F35</f>
        <v>1755.6</v>
      </c>
      <c r="G206" s="173">
        <f>G17+G82+G98+G127+G143+G158+G174+G113+G66+G35</f>
        <v>1718.1</v>
      </c>
      <c r="H206" s="173">
        <f>H17+H82+H98+H127+H143+H158+H174+H113+H66+H35</f>
        <v>1652.5</v>
      </c>
      <c r="I206" s="173">
        <f>I17+I82+I98+I127+I143+I158+I174+I113+I66+I35</f>
        <v>2480.8</v>
      </c>
      <c r="J206" s="173">
        <f>J17+J82+J98+J127+J143+J158+J174+J113+J66+J35</f>
        <v>40.9</v>
      </c>
      <c r="K206" s="143" t="e">
        <f>J206/#REF!*100</f>
        <v>#REF!</v>
      </c>
      <c r="L206" s="143">
        <f t="shared" si="78"/>
        <v>2.4750378214826023</v>
      </c>
      <c r="M206" s="133"/>
      <c r="N206" s="133"/>
      <c r="O206" s="140">
        <f t="shared" si="57"/>
        <v>1.6486617220251532</v>
      </c>
      <c r="P206" s="143">
        <f t="shared" si="82"/>
        <v>2.3296878560036456</v>
      </c>
      <c r="Q206" s="141">
        <f t="shared" si="83"/>
        <v>0.5376626791113448</v>
      </c>
    </row>
    <row r="207" spans="1:17" ht="24">
      <c r="A207" s="120" t="s">
        <v>245</v>
      </c>
      <c r="B207" s="172" t="s">
        <v>286</v>
      </c>
      <c r="C207" s="116" t="s">
        <v>246</v>
      </c>
      <c r="D207" s="146">
        <f t="shared" si="80"/>
        <v>16220</v>
      </c>
      <c r="E207" s="138">
        <f t="shared" si="79"/>
        <v>3653.2</v>
      </c>
      <c r="F207" s="141">
        <f>F18+F36+F50+F67+F83+F99+F114+F144+F159+F175+F189+F128</f>
        <v>3653.2</v>
      </c>
      <c r="G207" s="141">
        <f>G18+G36+G50+G67+G83+G99+G114+G144+G159+G175+G189+G128</f>
        <v>6957.6</v>
      </c>
      <c r="H207" s="141">
        <f>H18+H36+H50+H67+H83+H99+H114+H144+H159+H175+H189+H128</f>
        <v>2820.2</v>
      </c>
      <c r="I207" s="141">
        <f>I18+I36+I50+I67+I83+I99+I114+I144+I159+I175+I189+I128</f>
        <v>2789</v>
      </c>
      <c r="J207" s="141">
        <f>J18+J36+J50+J67+J83+J99+J114+J144+J159+J175+J189+J128-0.1</f>
        <v>1288.7</v>
      </c>
      <c r="K207" s="143" t="e">
        <f>J207/#REF!*100</f>
        <v>#REF!</v>
      </c>
      <c r="L207" s="143">
        <f t="shared" si="78"/>
        <v>45.695340755974755</v>
      </c>
      <c r="M207" s="133"/>
      <c r="N207" s="133"/>
      <c r="O207" s="140">
        <f aca="true" t="shared" si="84" ref="O207:O215">J207*100/I207</f>
        <v>46.20652563642883</v>
      </c>
      <c r="P207" s="143">
        <f t="shared" si="82"/>
        <v>35.27592247892259</v>
      </c>
      <c r="Q207" s="141">
        <f t="shared" si="83"/>
        <v>7.945129469790382</v>
      </c>
    </row>
    <row r="208" spans="1:17" ht="12.75">
      <c r="A208" s="120" t="s">
        <v>247</v>
      </c>
      <c r="B208" s="120"/>
      <c r="C208" s="116" t="s">
        <v>248</v>
      </c>
      <c r="D208" s="146">
        <f t="shared" si="80"/>
        <v>7</v>
      </c>
      <c r="E208" s="138">
        <f t="shared" si="79"/>
        <v>2</v>
      </c>
      <c r="F208" s="141">
        <f>F19</f>
        <v>2</v>
      </c>
      <c r="G208" s="141">
        <f>G19</f>
        <v>1</v>
      </c>
      <c r="H208" s="141">
        <f>H19</f>
        <v>1</v>
      </c>
      <c r="I208" s="141">
        <f>I19</f>
        <v>3</v>
      </c>
      <c r="J208" s="141">
        <f>J19</f>
        <v>0</v>
      </c>
      <c r="K208" s="143" t="e">
        <f>J208/#REF!*100</f>
        <v>#REF!</v>
      </c>
      <c r="L208" s="143">
        <f t="shared" si="78"/>
        <v>0</v>
      </c>
      <c r="M208" s="133"/>
      <c r="N208" s="133"/>
      <c r="O208" s="140">
        <f t="shared" si="84"/>
        <v>0</v>
      </c>
      <c r="P208" s="143">
        <f t="shared" si="82"/>
        <v>0</v>
      </c>
      <c r="Q208" s="141">
        <f t="shared" si="83"/>
        <v>0</v>
      </c>
    </row>
    <row r="209" spans="1:17" ht="36">
      <c r="A209" s="115" t="s">
        <v>249</v>
      </c>
      <c r="B209" s="168" t="s">
        <v>287</v>
      </c>
      <c r="C209" s="116" t="s">
        <v>250</v>
      </c>
      <c r="D209" s="146">
        <f t="shared" si="80"/>
        <v>1135</v>
      </c>
      <c r="E209" s="138">
        <f t="shared" si="79"/>
        <v>272.2</v>
      </c>
      <c r="F209" s="141">
        <f aca="true" t="shared" si="85" ref="F209:O209">F20+F176+F190+F68+F129+F51+F145+F84</f>
        <v>272.2</v>
      </c>
      <c r="G209" s="141">
        <f t="shared" si="85"/>
        <v>282.9</v>
      </c>
      <c r="H209" s="141">
        <f t="shared" si="85"/>
        <v>282.9</v>
      </c>
      <c r="I209" s="141">
        <f t="shared" si="85"/>
        <v>297</v>
      </c>
      <c r="J209" s="141">
        <f>J20+J176+J190+J68+J129+J51+J145+J84</f>
        <v>135.2</v>
      </c>
      <c r="K209" s="141" t="e">
        <f t="shared" si="85"/>
        <v>#REF!</v>
      </c>
      <c r="L209" s="141">
        <f t="shared" si="85"/>
        <v>47.790738776952985</v>
      </c>
      <c r="M209" s="141">
        <f t="shared" si="85"/>
        <v>0</v>
      </c>
      <c r="N209" s="141">
        <f t="shared" si="85"/>
        <v>0</v>
      </c>
      <c r="O209" s="141" t="e">
        <f t="shared" si="85"/>
        <v>#DIV/0!</v>
      </c>
      <c r="P209" s="143">
        <f t="shared" si="82"/>
        <v>49.66936076414401</v>
      </c>
      <c r="Q209" s="141">
        <f t="shared" si="83"/>
        <v>11.911894273127752</v>
      </c>
    </row>
    <row r="210" spans="1:17" ht="24">
      <c r="A210" s="121" t="s">
        <v>251</v>
      </c>
      <c r="B210" s="174" t="s">
        <v>282</v>
      </c>
      <c r="C210" s="123" t="s">
        <v>252</v>
      </c>
      <c r="D210" s="146">
        <f t="shared" si="80"/>
        <v>0</v>
      </c>
      <c r="E210" s="138">
        <f t="shared" si="79"/>
        <v>0</v>
      </c>
      <c r="F210" s="141">
        <f>F21+F37+F52+F69+F85+F100+F116+F130+F146+F161+F177+F191</f>
        <v>0</v>
      </c>
      <c r="G210" s="141">
        <f>G21+G37+G52+G69+G85+G100+G116+G130+G146+G161+G177+G191</f>
        <v>0</v>
      </c>
      <c r="H210" s="141">
        <f>H21+H37+H52+H69+H85+H100+H116+H130+H146+H161+H177+H191</f>
        <v>0</v>
      </c>
      <c r="I210" s="141">
        <f>I21+I37+I52+I69+I85+I100+I116+I130+I146+I161+I177+I191</f>
        <v>0</v>
      </c>
      <c r="J210" s="141">
        <f>J21+J37+J52+J69+J85+J100+J116+J130+J146+J161+J177+J191</f>
        <v>-166.5</v>
      </c>
      <c r="K210" s="143"/>
      <c r="L210" s="143"/>
      <c r="M210" s="133"/>
      <c r="N210" s="133"/>
      <c r="O210" s="140" t="e">
        <f t="shared" si="84"/>
        <v>#DIV/0!</v>
      </c>
      <c r="P210" s="143"/>
      <c r="Q210" s="141"/>
    </row>
    <row r="211" spans="1:17" ht="12.75">
      <c r="A211" s="113" t="s">
        <v>253</v>
      </c>
      <c r="B211" s="167"/>
      <c r="C211" s="124" t="s">
        <v>254</v>
      </c>
      <c r="D211" s="144">
        <f aca="true" t="shared" si="86" ref="D211:J211">D212+D213+D214</f>
        <v>2673887.9</v>
      </c>
      <c r="E211" s="144">
        <f t="shared" si="86"/>
        <v>529239.4</v>
      </c>
      <c r="F211" s="144">
        <f t="shared" si="86"/>
        <v>529239.4</v>
      </c>
      <c r="G211" s="144">
        <f t="shared" si="86"/>
        <v>754223.6</v>
      </c>
      <c r="H211" s="144">
        <f t="shared" si="86"/>
        <v>601746.9</v>
      </c>
      <c r="I211" s="144">
        <f t="shared" si="86"/>
        <v>788678</v>
      </c>
      <c r="J211" s="144">
        <f t="shared" si="86"/>
        <v>89047.20000000001</v>
      </c>
      <c r="K211" s="135" t="e">
        <f>J211/#REF!*100</f>
        <v>#REF!</v>
      </c>
      <c r="L211" s="135">
        <f>J211/H211*100</f>
        <v>14.798115287340908</v>
      </c>
      <c r="M211" s="133"/>
      <c r="N211" s="133"/>
      <c r="O211" s="145">
        <f t="shared" si="84"/>
        <v>11.290691511618178</v>
      </c>
      <c r="P211" s="135">
        <f t="shared" si="82"/>
        <v>16.825504677089427</v>
      </c>
      <c r="Q211" s="136">
        <f t="shared" si="83"/>
        <v>3.3302518030019144</v>
      </c>
    </row>
    <row r="212" spans="1:17" ht="36">
      <c r="A212" s="125" t="s">
        <v>255</v>
      </c>
      <c r="B212" s="166" t="s">
        <v>288</v>
      </c>
      <c r="C212" s="126" t="s">
        <v>256</v>
      </c>
      <c r="D212" s="146">
        <f t="shared" si="80"/>
        <v>2653887.9</v>
      </c>
      <c r="E212" s="138">
        <f t="shared" si="79"/>
        <v>528439.4</v>
      </c>
      <c r="F212" s="140">
        <f>F23-3227.5</f>
        <v>528439.4</v>
      </c>
      <c r="G212" s="140">
        <f>G23-4841.3</f>
        <v>747623.6</v>
      </c>
      <c r="H212" s="140">
        <f>H23-4357.2</f>
        <v>595146.9</v>
      </c>
      <c r="I212" s="140">
        <f>I23-3711.7</f>
        <v>782678</v>
      </c>
      <c r="J212" s="140">
        <f>J23</f>
        <v>111900.6</v>
      </c>
      <c r="K212" s="143" t="e">
        <f>J212/#REF!*100</f>
        <v>#REF!</v>
      </c>
      <c r="L212" s="143">
        <f>J212/H212*100</f>
        <v>18.802181444614767</v>
      </c>
      <c r="M212" s="133"/>
      <c r="N212" s="133"/>
      <c r="O212" s="140">
        <f t="shared" si="84"/>
        <v>14.297143908478327</v>
      </c>
      <c r="P212" s="143">
        <f t="shared" si="82"/>
        <v>21.17567312354075</v>
      </c>
      <c r="Q212" s="141">
        <f t="shared" si="83"/>
        <v>4.216478020793569</v>
      </c>
    </row>
    <row r="213" spans="1:17" ht="36">
      <c r="A213" s="125" t="s">
        <v>257</v>
      </c>
      <c r="B213" s="125" t="s">
        <v>289</v>
      </c>
      <c r="C213" s="127" t="s">
        <v>258</v>
      </c>
      <c r="D213" s="146">
        <f t="shared" si="80"/>
        <v>20000</v>
      </c>
      <c r="E213" s="138">
        <f t="shared" si="79"/>
        <v>800</v>
      </c>
      <c r="F213" s="141">
        <f>F24+F89+F103+F164+F133+F55+F40+F149</f>
        <v>800</v>
      </c>
      <c r="G213" s="141">
        <f>G24+G89+G103+G164+G133+G55+G40+G149</f>
        <v>6600</v>
      </c>
      <c r="H213" s="141">
        <f>H24+H89+H103+H164+H133+H55+H40+H149</f>
        <v>6600</v>
      </c>
      <c r="I213" s="141">
        <f>I24+I89+I103+I164+I133+I55+I40+I149</f>
        <v>6000</v>
      </c>
      <c r="J213" s="141">
        <f>J24+J89+J103+J164+J133+J55+J40+J149</f>
        <v>1539</v>
      </c>
      <c r="K213" s="143" t="e">
        <f>J213/#REF!*100</f>
        <v>#REF!</v>
      </c>
      <c r="L213" s="143">
        <f>J213/H213*100</f>
        <v>23.31818181818182</v>
      </c>
      <c r="M213" s="133"/>
      <c r="N213" s="133"/>
      <c r="O213" s="140">
        <f t="shared" si="84"/>
        <v>25.65</v>
      </c>
      <c r="P213" s="143">
        <f t="shared" si="82"/>
        <v>192.375</v>
      </c>
      <c r="Q213" s="141">
        <f t="shared" si="83"/>
        <v>7.695</v>
      </c>
    </row>
    <row r="214" spans="1:17" ht="36">
      <c r="A214" s="125" t="s">
        <v>261</v>
      </c>
      <c r="B214" s="128"/>
      <c r="C214" s="130" t="s">
        <v>262</v>
      </c>
      <c r="D214" s="146">
        <f t="shared" si="80"/>
        <v>0</v>
      </c>
      <c r="E214" s="138">
        <f t="shared" si="79"/>
        <v>0</v>
      </c>
      <c r="F214" s="141">
        <f>F26</f>
        <v>0</v>
      </c>
      <c r="G214" s="141">
        <f>G26</f>
        <v>0</v>
      </c>
      <c r="H214" s="141">
        <f>H26</f>
        <v>0</v>
      </c>
      <c r="I214" s="141">
        <f>I26</f>
        <v>0</v>
      </c>
      <c r="J214" s="141">
        <f>J26</f>
        <v>-24392.4</v>
      </c>
      <c r="K214" s="143" t="e">
        <f>J214/#REF!*100</f>
        <v>#REF!</v>
      </c>
      <c r="L214" s="143"/>
      <c r="M214" s="133"/>
      <c r="N214" s="133"/>
      <c r="O214" s="140" t="e">
        <f t="shared" si="84"/>
        <v>#DIV/0!</v>
      </c>
      <c r="P214" s="143"/>
      <c r="Q214" s="141"/>
    </row>
    <row r="215" spans="1:17" ht="12.75">
      <c r="A215" s="115"/>
      <c r="B215" s="131"/>
      <c r="C215" s="132" t="s">
        <v>263</v>
      </c>
      <c r="D215" s="136">
        <f aca="true" t="shared" si="87" ref="D215:J215">D211+D197</f>
        <v>3455665</v>
      </c>
      <c r="E215" s="136">
        <f t="shared" si="87"/>
        <v>698200.9</v>
      </c>
      <c r="F215" s="136">
        <f t="shared" si="87"/>
        <v>698200.9</v>
      </c>
      <c r="G215" s="136">
        <f t="shared" si="87"/>
        <v>959526.9</v>
      </c>
      <c r="H215" s="136">
        <f t="shared" si="87"/>
        <v>786792.9</v>
      </c>
      <c r="I215" s="136">
        <f t="shared" si="87"/>
        <v>1011144.3</v>
      </c>
      <c r="J215" s="136">
        <f t="shared" si="87"/>
        <v>144537.9</v>
      </c>
      <c r="K215" s="135" t="e">
        <f>J215/#REF!*100</f>
        <v>#REF!</v>
      </c>
      <c r="L215" s="135">
        <f>J215/H215*100</f>
        <v>18.370514019635916</v>
      </c>
      <c r="M215" s="133"/>
      <c r="N215" s="147" t="e">
        <f>I215+#REF!+#REF!</f>
        <v>#REF!</v>
      </c>
      <c r="O215" s="145">
        <f t="shared" si="84"/>
        <v>14.294487938071747</v>
      </c>
      <c r="P215" s="135">
        <f t="shared" si="82"/>
        <v>20.70147718228378</v>
      </c>
      <c r="Q215" s="136">
        <f t="shared" si="83"/>
        <v>4.182636337723709</v>
      </c>
    </row>
  </sheetData>
  <sheetProtection/>
  <mergeCells count="41">
    <mergeCell ref="A195:L195"/>
    <mergeCell ref="A196:Q196"/>
    <mergeCell ref="A135:L135"/>
    <mergeCell ref="A136:O136"/>
    <mergeCell ref="A151:L151"/>
    <mergeCell ref="A152:O152"/>
    <mergeCell ref="A166:L166"/>
    <mergeCell ref="A167:O167"/>
    <mergeCell ref="A29:O29"/>
    <mergeCell ref="C42:L42"/>
    <mergeCell ref="A43:O43"/>
    <mergeCell ref="A58:L58"/>
    <mergeCell ref="A59:O59"/>
    <mergeCell ref="A74:L74"/>
    <mergeCell ref="J4:J6"/>
    <mergeCell ref="K4:K6"/>
    <mergeCell ref="A1:Q1"/>
    <mergeCell ref="A2:L2"/>
    <mergeCell ref="A7:O7"/>
    <mergeCell ref="A28:L28"/>
    <mergeCell ref="P4:P6"/>
    <mergeCell ref="Q4:Q6"/>
    <mergeCell ref="D4:D6"/>
    <mergeCell ref="E4:E6"/>
    <mergeCell ref="F4:F6"/>
    <mergeCell ref="G4:G6"/>
    <mergeCell ref="H4:H6"/>
    <mergeCell ref="I4:I6"/>
    <mergeCell ref="L4:L6"/>
    <mergeCell ref="M4:M6"/>
    <mergeCell ref="N4:N6"/>
    <mergeCell ref="O4:O6"/>
    <mergeCell ref="A75:O75"/>
    <mergeCell ref="A91:L91"/>
    <mergeCell ref="A92:O92"/>
    <mergeCell ref="A105:L105"/>
    <mergeCell ref="A106:O106"/>
    <mergeCell ref="A120:L120"/>
    <mergeCell ref="A121:O121"/>
    <mergeCell ref="A181:L181"/>
    <mergeCell ref="A182:O18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zoomScalePageLayoutView="0" workbookViewId="0" topLeftCell="A103">
      <selection activeCell="B126" sqref="B126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32" t="s">
        <v>295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33" t="s">
        <v>98</v>
      </c>
      <c r="B3" s="235" t="s">
        <v>97</v>
      </c>
      <c r="C3" s="237" t="s">
        <v>113</v>
      </c>
      <c r="D3" s="237"/>
      <c r="E3" s="237"/>
      <c r="F3" s="238" t="s">
        <v>112</v>
      </c>
      <c r="G3" s="238"/>
      <c r="H3" s="238"/>
      <c r="I3" s="227" t="s">
        <v>111</v>
      </c>
      <c r="J3" s="227"/>
      <c r="K3" s="228"/>
    </row>
    <row r="4" spans="1:11" ht="16.5" customHeight="1">
      <c r="A4" s="234"/>
      <c r="B4" s="236"/>
      <c r="C4" s="223" t="s">
        <v>78</v>
      </c>
      <c r="D4" s="223" t="s">
        <v>296</v>
      </c>
      <c r="E4" s="223" t="s">
        <v>77</v>
      </c>
      <c r="F4" s="223" t="s">
        <v>78</v>
      </c>
      <c r="G4" s="218" t="s">
        <v>296</v>
      </c>
      <c r="H4" s="218" t="s">
        <v>77</v>
      </c>
      <c r="I4" s="230" t="s">
        <v>78</v>
      </c>
      <c r="J4" s="226" t="s">
        <v>297</v>
      </c>
      <c r="K4" s="239" t="s">
        <v>77</v>
      </c>
    </row>
    <row r="5" spans="1:11" ht="31.5" customHeight="1">
      <c r="A5" s="234"/>
      <c r="B5" s="236"/>
      <c r="C5" s="219"/>
      <c r="D5" s="223"/>
      <c r="E5" s="229"/>
      <c r="F5" s="219"/>
      <c r="G5" s="218"/>
      <c r="H5" s="219"/>
      <c r="I5" s="231"/>
      <c r="J5" s="226"/>
      <c r="K5" s="240"/>
    </row>
    <row r="6" spans="1:11" ht="12.75" customHeight="1">
      <c r="A6" s="234"/>
      <c r="B6" s="224" t="s">
        <v>0</v>
      </c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 customHeight="1">
      <c r="A7" s="234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 customHeight="1">
      <c r="A8" s="234"/>
      <c r="B8" s="224"/>
      <c r="C8" s="224"/>
      <c r="D8" s="224"/>
      <c r="E8" s="224"/>
      <c r="F8" s="224"/>
      <c r="G8" s="224"/>
      <c r="H8" s="224"/>
      <c r="I8" s="224"/>
      <c r="J8" s="224"/>
      <c r="K8" s="225"/>
    </row>
    <row r="9" spans="1:11" ht="15">
      <c r="A9" s="81" t="s">
        <v>1</v>
      </c>
      <c r="B9" s="82" t="s">
        <v>2</v>
      </c>
      <c r="C9" s="83">
        <f>SUM(C10:C17)</f>
        <v>257797.5</v>
      </c>
      <c r="D9" s="83">
        <f>SUM(D10:D17)</f>
        <v>21243.3</v>
      </c>
      <c r="E9" s="83">
        <f>D9/C9*100</f>
        <v>8.240304890466355</v>
      </c>
      <c r="F9" s="83">
        <f>F10+F11+F12+F13+F14+F16+F17+F15</f>
        <v>181348.69999999998</v>
      </c>
      <c r="G9" s="83">
        <f>SUM(G10:G17)</f>
        <v>10427.4</v>
      </c>
      <c r="H9" s="84">
        <f>G9/F9*100</f>
        <v>5.749917148565168</v>
      </c>
      <c r="I9" s="83">
        <f>SUM(I10:I17)</f>
        <v>439076.2</v>
      </c>
      <c r="J9" s="83">
        <f>SUM(J10:J17)</f>
        <v>31670.699999999997</v>
      </c>
      <c r="K9" s="85">
        <f>J9/I9*100</f>
        <v>7.213030448928909</v>
      </c>
    </row>
    <row r="10" spans="1:11" ht="15">
      <c r="A10" s="86" t="s">
        <v>3</v>
      </c>
      <c r="B10" s="87" t="s">
        <v>4</v>
      </c>
      <c r="C10" s="79">
        <v>13786.2</v>
      </c>
      <c r="D10" s="79">
        <v>1096.7</v>
      </c>
      <c r="E10" s="79">
        <f>D10/C10*100</f>
        <v>7.955056505781144</v>
      </c>
      <c r="F10" s="88">
        <v>37958.5</v>
      </c>
      <c r="G10" s="88">
        <v>2757.4</v>
      </c>
      <c r="H10" s="88">
        <f>G10/F10*100</f>
        <v>7.264249114164153</v>
      </c>
      <c r="I10" s="89">
        <f aca="true" t="shared" si="0" ref="I10:J75">C10+F10</f>
        <v>51744.7</v>
      </c>
      <c r="J10" s="80">
        <f t="shared" si="0"/>
        <v>3854.1000000000004</v>
      </c>
      <c r="K10" s="90">
        <f aca="true" t="shared" si="1" ref="K10:K77">J10/I10*100</f>
        <v>7.448299052849857</v>
      </c>
    </row>
    <row r="11" spans="1:11" ht="30">
      <c r="A11" s="86" t="s">
        <v>5</v>
      </c>
      <c r="B11" s="87" t="s">
        <v>89</v>
      </c>
      <c r="C11" s="79">
        <v>26147.8</v>
      </c>
      <c r="D11" s="79">
        <v>1933.7</v>
      </c>
      <c r="E11" s="79">
        <f aca="true" t="shared" si="2" ref="E11:E19">D11/C11*100</f>
        <v>7.395268435585403</v>
      </c>
      <c r="F11" s="88">
        <v>0</v>
      </c>
      <c r="G11" s="88">
        <v>0</v>
      </c>
      <c r="H11" s="88">
        <v>0</v>
      </c>
      <c r="I11" s="89">
        <f t="shared" si="0"/>
        <v>26147.8</v>
      </c>
      <c r="J11" s="80">
        <f t="shared" si="0"/>
        <v>1933.7</v>
      </c>
      <c r="K11" s="90">
        <f t="shared" si="1"/>
        <v>7.395268435585403</v>
      </c>
    </row>
    <row r="12" spans="1:11" ht="30">
      <c r="A12" s="86" t="s">
        <v>6</v>
      </c>
      <c r="B12" s="87" t="s">
        <v>7</v>
      </c>
      <c r="C12" s="79">
        <v>119571</v>
      </c>
      <c r="D12" s="79">
        <v>12601.4</v>
      </c>
      <c r="E12" s="79">
        <f t="shared" si="2"/>
        <v>10.538843030500706</v>
      </c>
      <c r="F12" s="88">
        <v>119225.9</v>
      </c>
      <c r="G12" s="88">
        <v>7379.7</v>
      </c>
      <c r="H12" s="88">
        <f aca="true" t="shared" si="3" ref="H12:H19">G12/F12*100</f>
        <v>6.18967858493834</v>
      </c>
      <c r="I12" s="89">
        <f t="shared" si="0"/>
        <v>238796.9</v>
      </c>
      <c r="J12" s="80">
        <f t="shared" si="0"/>
        <v>19981.1</v>
      </c>
      <c r="K12" s="90">
        <f t="shared" si="1"/>
        <v>8.367403429441504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30009</v>
      </c>
      <c r="D14" s="79">
        <v>2871.5</v>
      </c>
      <c r="E14" s="79">
        <f t="shared" si="2"/>
        <v>9.568796027858308</v>
      </c>
      <c r="F14" s="88">
        <v>0</v>
      </c>
      <c r="G14" s="88">
        <v>0</v>
      </c>
      <c r="H14" s="88">
        <v>0</v>
      </c>
      <c r="I14" s="89">
        <f>C14+F14</f>
        <v>30009</v>
      </c>
      <c r="J14" s="80">
        <f>D14+G14</f>
        <v>2871.5</v>
      </c>
      <c r="K14" s="90">
        <f t="shared" si="1"/>
        <v>9.568796027858308</v>
      </c>
    </row>
    <row r="15" spans="1:11" ht="15">
      <c r="A15" s="91" t="s">
        <v>12</v>
      </c>
      <c r="B15" s="87" t="s">
        <v>169</v>
      </c>
      <c r="C15" s="79">
        <v>6000</v>
      </c>
      <c r="D15" s="79">
        <v>0</v>
      </c>
      <c r="E15" s="79">
        <f t="shared" si="2"/>
        <v>0</v>
      </c>
      <c r="F15" s="88">
        <v>0</v>
      </c>
      <c r="G15" s="88">
        <v>0</v>
      </c>
      <c r="H15" s="88">
        <v>0</v>
      </c>
      <c r="I15" s="89">
        <f>C15+F15</f>
        <v>6000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950</v>
      </c>
      <c r="G16" s="88">
        <v>0</v>
      </c>
      <c r="H16" s="88">
        <f t="shared" si="3"/>
        <v>0</v>
      </c>
      <c r="I16" s="89">
        <f t="shared" si="0"/>
        <v>4986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58247.5</v>
      </c>
      <c r="D17" s="79">
        <v>2740</v>
      </c>
      <c r="E17" s="79">
        <f t="shared" si="2"/>
        <v>4.704064552126701</v>
      </c>
      <c r="F17" s="88">
        <v>23214.3</v>
      </c>
      <c r="G17" s="88">
        <v>290.3</v>
      </c>
      <c r="H17" s="88">
        <f t="shared" si="3"/>
        <v>1.2505223073708878</v>
      </c>
      <c r="I17" s="89">
        <f>C17+F17-70</f>
        <v>81391.8</v>
      </c>
      <c r="J17" s="80">
        <f>D17+G17</f>
        <v>3030.3</v>
      </c>
      <c r="K17" s="90">
        <f t="shared" si="1"/>
        <v>3.723102327261469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4840</v>
      </c>
      <c r="D18" s="83">
        <f t="shared" si="4"/>
        <v>0</v>
      </c>
      <c r="E18" s="83">
        <f t="shared" si="4"/>
        <v>0</v>
      </c>
      <c r="F18" s="83">
        <f t="shared" si="4"/>
        <v>4840</v>
      </c>
      <c r="G18" s="83">
        <f t="shared" si="4"/>
        <v>0</v>
      </c>
      <c r="H18" s="92">
        <f t="shared" si="4"/>
        <v>0</v>
      </c>
      <c r="I18" s="83">
        <f t="shared" si="4"/>
        <v>4840</v>
      </c>
      <c r="J18" s="83">
        <f t="shared" si="4"/>
        <v>0</v>
      </c>
      <c r="K18" s="93">
        <f t="shared" si="1"/>
        <v>0</v>
      </c>
    </row>
    <row r="19" spans="1:11" ht="15">
      <c r="A19" s="86" t="s">
        <v>18</v>
      </c>
      <c r="B19" s="87" t="s">
        <v>19</v>
      </c>
      <c r="C19" s="79">
        <v>4840</v>
      </c>
      <c r="D19" s="79">
        <v>0</v>
      </c>
      <c r="E19" s="79">
        <f t="shared" si="2"/>
        <v>0</v>
      </c>
      <c r="F19" s="88">
        <v>4840</v>
      </c>
      <c r="G19" s="88">
        <v>0</v>
      </c>
      <c r="H19" s="88">
        <f t="shared" si="3"/>
        <v>0</v>
      </c>
      <c r="I19" s="89">
        <f>C19+F19-4840</f>
        <v>4840</v>
      </c>
      <c r="J19" s="80">
        <f>D19+G19</f>
        <v>0</v>
      </c>
      <c r="K19" s="90">
        <f t="shared" si="1"/>
        <v>0</v>
      </c>
    </row>
    <row r="20" spans="1:11" ht="12.75" customHeight="1">
      <c r="A20" s="243" t="s">
        <v>20</v>
      </c>
      <c r="B20" s="244" t="s">
        <v>198</v>
      </c>
      <c r="C20" s="217">
        <f>C23+C24+C22</f>
        <v>11962.400000000001</v>
      </c>
      <c r="D20" s="217">
        <f>D23+D24+D22</f>
        <v>0</v>
      </c>
      <c r="E20" s="217">
        <f>D20/C20*100</f>
        <v>0</v>
      </c>
      <c r="F20" s="217">
        <f>F23+F24+F22</f>
        <v>10633</v>
      </c>
      <c r="G20" s="217">
        <f>G23+G24+G22</f>
        <v>394</v>
      </c>
      <c r="H20" s="217">
        <f>G20/F20*100</f>
        <v>3.705445311765259</v>
      </c>
      <c r="I20" s="217">
        <f>I23+I24+I22</f>
        <v>21336.4</v>
      </c>
      <c r="J20" s="217">
        <f>SUM(J22:J24)</f>
        <v>394</v>
      </c>
      <c r="K20" s="217">
        <f>J20/I20*100</f>
        <v>1.846609549877205</v>
      </c>
    </row>
    <row r="21" spans="1:11" ht="12.75" customHeight="1">
      <c r="A21" s="243"/>
      <c r="B21" s="244"/>
      <c r="C21" s="217"/>
      <c r="D21" s="217"/>
      <c r="E21" s="217"/>
      <c r="F21" s="217"/>
      <c r="G21" s="217"/>
      <c r="H21" s="217"/>
      <c r="I21" s="217"/>
      <c r="J21" s="217"/>
      <c r="K21" s="217"/>
    </row>
    <row r="22" spans="1:11" ht="15">
      <c r="A22" s="91" t="s">
        <v>116</v>
      </c>
      <c r="B22" s="87" t="s">
        <v>174</v>
      </c>
      <c r="C22" s="79">
        <v>5341.6</v>
      </c>
      <c r="D22" s="79">
        <v>0</v>
      </c>
      <c r="E22" s="79">
        <f aca="true" t="shared" si="5" ref="E22:E89">D22/C22*100</f>
        <v>0</v>
      </c>
      <c r="F22" s="88">
        <v>759</v>
      </c>
      <c r="G22" s="88">
        <v>0</v>
      </c>
      <c r="H22" s="88">
        <f>G22/F22*100</f>
        <v>0</v>
      </c>
      <c r="I22" s="89">
        <f>C22+F22-759</f>
        <v>5341.6</v>
      </c>
      <c r="J22" s="80">
        <f>D22+G22</f>
        <v>0</v>
      </c>
      <c r="K22" s="90">
        <f>J22/I22*100</f>
        <v>0</v>
      </c>
    </row>
    <row r="23" spans="1:11" ht="15">
      <c r="A23" s="86" t="s">
        <v>21</v>
      </c>
      <c r="B23" s="87" t="s">
        <v>117</v>
      </c>
      <c r="C23" s="79">
        <v>6433</v>
      </c>
      <c r="D23" s="79">
        <v>0</v>
      </c>
      <c r="E23" s="79">
        <f t="shared" si="5"/>
        <v>0</v>
      </c>
      <c r="F23" s="88">
        <v>9874</v>
      </c>
      <c r="G23" s="88">
        <v>394</v>
      </c>
      <c r="H23" s="88">
        <f>G23/F23*100</f>
        <v>3.990277496455337</v>
      </c>
      <c r="I23" s="89">
        <f>C23+F23-500</f>
        <v>15807</v>
      </c>
      <c r="J23" s="80">
        <f>D23+G23</f>
        <v>394</v>
      </c>
      <c r="K23" s="90">
        <f>J23/I23*100</f>
        <v>2.492566584424622</v>
      </c>
    </row>
    <row r="24" spans="1:11" ht="30">
      <c r="A24" s="91" t="s">
        <v>107</v>
      </c>
      <c r="B24" s="87" t="s">
        <v>108</v>
      </c>
      <c r="C24" s="79">
        <v>187.8</v>
      </c>
      <c r="D24" s="79">
        <v>0</v>
      </c>
      <c r="E24" s="79">
        <f t="shared" si="5"/>
        <v>0</v>
      </c>
      <c r="F24" s="88">
        <v>0</v>
      </c>
      <c r="G24" s="88">
        <v>0</v>
      </c>
      <c r="H24" s="88">
        <v>0</v>
      </c>
      <c r="I24" s="89">
        <f>C24+F24</f>
        <v>187.8</v>
      </c>
      <c r="J24" s="80">
        <f>D24+G24</f>
        <v>0</v>
      </c>
      <c r="K24" s="90">
        <f>J24/I24*100</f>
        <v>0</v>
      </c>
    </row>
    <row r="25" spans="1:11" ht="15">
      <c r="A25" s="81" t="s">
        <v>22</v>
      </c>
      <c r="B25" s="82" t="s">
        <v>23</v>
      </c>
      <c r="C25" s="83">
        <f>SUM(C26:C42)</f>
        <v>98078.29999999999</v>
      </c>
      <c r="D25" s="83">
        <f>SUM(D26:D42)</f>
        <v>2675.6</v>
      </c>
      <c r="E25" s="83">
        <f>D25/C25*100</f>
        <v>2.7280244457744476</v>
      </c>
      <c r="F25" s="83">
        <f>SUM(F26:F42)</f>
        <v>56746.2</v>
      </c>
      <c r="G25" s="83">
        <f>SUM(G26:G42)</f>
        <v>170.7</v>
      </c>
      <c r="H25" s="84">
        <f>G25/F25*100</f>
        <v>0.30081309409264406</v>
      </c>
      <c r="I25" s="83">
        <f>SUM(I26:I42)</f>
        <v>140155.6</v>
      </c>
      <c r="J25" s="83">
        <f>SUM(J26:J42)</f>
        <v>2519.8999999999996</v>
      </c>
      <c r="K25" s="85">
        <f t="shared" si="1"/>
        <v>1.7979303003233544</v>
      </c>
    </row>
    <row r="26" spans="1:11" ht="45">
      <c r="A26" s="91" t="s">
        <v>24</v>
      </c>
      <c r="B26" s="94" t="s">
        <v>175</v>
      </c>
      <c r="C26" s="79">
        <v>10633.8</v>
      </c>
      <c r="D26" s="79">
        <v>326.4</v>
      </c>
      <c r="E26" s="79">
        <f t="shared" si="5"/>
        <v>3.0694577667437795</v>
      </c>
      <c r="F26" s="79">
        <v>1400.1</v>
      </c>
      <c r="G26" s="88">
        <v>2.1</v>
      </c>
      <c r="H26" s="88">
        <f>G26/F26*100</f>
        <v>0.1499892864795372</v>
      </c>
      <c r="I26" s="89">
        <f>C26+F26-1187.1</f>
        <v>10846.8</v>
      </c>
      <c r="J26" s="89">
        <f>D26+G26-326.4</f>
        <v>2.1000000000000227</v>
      </c>
      <c r="K26" s="90">
        <f t="shared" si="1"/>
        <v>0.019360548733267164</v>
      </c>
    </row>
    <row r="27" spans="1:11" ht="15">
      <c r="A27" s="86" t="s">
        <v>25</v>
      </c>
      <c r="B27" s="87" t="s">
        <v>26</v>
      </c>
      <c r="C27" s="79">
        <v>25394.4</v>
      </c>
      <c r="D27" s="79">
        <v>2219.4</v>
      </c>
      <c r="E27" s="79">
        <f t="shared" si="5"/>
        <v>8.7397221434647</v>
      </c>
      <c r="F27" s="88">
        <v>0</v>
      </c>
      <c r="G27" s="88">
        <v>0</v>
      </c>
      <c r="H27" s="88">
        <v>0</v>
      </c>
      <c r="I27" s="89">
        <f t="shared" si="0"/>
        <v>25394.4</v>
      </c>
      <c r="J27" s="80">
        <f t="shared" si="0"/>
        <v>2219.4</v>
      </c>
      <c r="K27" s="90">
        <f t="shared" si="1"/>
        <v>8.7397221434647</v>
      </c>
    </row>
    <row r="28" spans="1:11" ht="15">
      <c r="A28" s="86" t="s">
        <v>27</v>
      </c>
      <c r="B28" s="87" t="s">
        <v>176</v>
      </c>
      <c r="C28" s="79">
        <v>7650</v>
      </c>
      <c r="D28" s="79">
        <v>0</v>
      </c>
      <c r="E28" s="79">
        <f t="shared" si="5"/>
        <v>0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0</v>
      </c>
      <c r="K28" s="90">
        <f t="shared" si="1"/>
        <v>0</v>
      </c>
    </row>
    <row r="29" spans="1:11" ht="15">
      <c r="A29" s="86" t="s">
        <v>27</v>
      </c>
      <c r="B29" s="87" t="s">
        <v>177</v>
      </c>
      <c r="C29" s="79">
        <v>15896</v>
      </c>
      <c r="D29" s="79">
        <v>0</v>
      </c>
      <c r="E29" s="79">
        <f t="shared" si="5"/>
        <v>0</v>
      </c>
      <c r="F29" s="88">
        <v>12592</v>
      </c>
      <c r="G29" s="88">
        <v>0</v>
      </c>
      <c r="H29" s="88">
        <f>G29/F29*100</f>
        <v>0</v>
      </c>
      <c r="I29" s="89">
        <f t="shared" si="0"/>
        <v>28488</v>
      </c>
      <c r="J29" s="80">
        <f t="shared" si="0"/>
        <v>0</v>
      </c>
      <c r="K29" s="90">
        <f t="shared" si="1"/>
        <v>0</v>
      </c>
    </row>
    <row r="30" spans="1:11" ht="15">
      <c r="A30" s="86" t="s">
        <v>27</v>
      </c>
      <c r="B30" s="87" t="s">
        <v>178</v>
      </c>
      <c r="C30" s="79">
        <v>7931</v>
      </c>
      <c r="D30" s="79">
        <v>0</v>
      </c>
      <c r="E30" s="79">
        <f t="shared" si="5"/>
        <v>0</v>
      </c>
      <c r="F30" s="88">
        <v>0</v>
      </c>
      <c r="G30" s="88">
        <v>0</v>
      </c>
      <c r="H30" s="88">
        <v>0</v>
      </c>
      <c r="I30" s="89">
        <f t="shared" si="0"/>
        <v>7931</v>
      </c>
      <c r="J30" s="80">
        <f t="shared" si="0"/>
        <v>0</v>
      </c>
      <c r="K30" s="90">
        <f t="shared" si="1"/>
        <v>0</v>
      </c>
    </row>
    <row r="31" spans="1:11" ht="45">
      <c r="A31" s="86" t="s">
        <v>74</v>
      </c>
      <c r="B31" s="97" t="s">
        <v>179</v>
      </c>
      <c r="C31" s="79">
        <v>2588</v>
      </c>
      <c r="D31" s="79">
        <v>0</v>
      </c>
      <c r="E31" s="79">
        <f t="shared" si="5"/>
        <v>0</v>
      </c>
      <c r="F31" s="88">
        <v>0</v>
      </c>
      <c r="G31" s="88">
        <v>0</v>
      </c>
      <c r="H31" s="88">
        <v>0</v>
      </c>
      <c r="I31" s="89">
        <f t="shared" si="0"/>
        <v>2588</v>
      </c>
      <c r="J31" s="80">
        <f t="shared" si="0"/>
        <v>0</v>
      </c>
      <c r="K31" s="90">
        <f t="shared" si="1"/>
        <v>0</v>
      </c>
    </row>
    <row r="32" spans="1:11" ht="60">
      <c r="A32" s="91" t="s">
        <v>74</v>
      </c>
      <c r="B32" s="97" t="s">
        <v>199</v>
      </c>
      <c r="C32" s="79">
        <v>11660.9</v>
      </c>
      <c r="D32" s="79">
        <v>0</v>
      </c>
      <c r="E32" s="79">
        <f t="shared" si="5"/>
        <v>0</v>
      </c>
      <c r="F32" s="88">
        <v>11660.9</v>
      </c>
      <c r="G32" s="88">
        <v>0</v>
      </c>
      <c r="H32" s="88">
        <f aca="true" t="shared" si="6" ref="H32:H37">G32/F32*100</f>
        <v>0</v>
      </c>
      <c r="I32" s="89">
        <f>C32+F32-10981.8</f>
        <v>12340</v>
      </c>
      <c r="J32" s="80">
        <f>D32+G32</f>
        <v>0</v>
      </c>
      <c r="K32" s="90">
        <f>J32/I32*100</f>
        <v>0</v>
      </c>
    </row>
    <row r="33" spans="1:11" ht="60">
      <c r="A33" s="91" t="s">
        <v>74</v>
      </c>
      <c r="B33" s="97" t="s">
        <v>200</v>
      </c>
      <c r="C33" s="79">
        <v>0</v>
      </c>
      <c r="D33" s="79">
        <v>0</v>
      </c>
      <c r="E33" s="79">
        <v>0</v>
      </c>
      <c r="F33" s="88">
        <v>0</v>
      </c>
      <c r="G33" s="88">
        <v>0</v>
      </c>
      <c r="H33" s="88" t="e">
        <f t="shared" si="6"/>
        <v>#DIV/0!</v>
      </c>
      <c r="I33" s="89">
        <f>C33+F33</f>
        <v>0</v>
      </c>
      <c r="J33" s="80">
        <f>D33+G33</f>
        <v>0</v>
      </c>
      <c r="K33" s="90" t="e">
        <f>J33/I33*100</f>
        <v>#DIV/0!</v>
      </c>
    </row>
    <row r="34" spans="1:11" ht="105">
      <c r="A34" s="91" t="s">
        <v>74</v>
      </c>
      <c r="B34" s="87" t="s">
        <v>201</v>
      </c>
      <c r="C34" s="79">
        <v>2500</v>
      </c>
      <c r="D34" s="79">
        <v>0</v>
      </c>
      <c r="E34" s="79">
        <f t="shared" si="5"/>
        <v>0</v>
      </c>
      <c r="F34" s="88">
        <v>2500</v>
      </c>
      <c r="G34" s="88">
        <v>0</v>
      </c>
      <c r="H34" s="88">
        <f t="shared" si="6"/>
        <v>0</v>
      </c>
      <c r="I34" s="89">
        <f>C34+F34-2500</f>
        <v>2500</v>
      </c>
      <c r="J34" s="80">
        <f>D34+G34</f>
        <v>0</v>
      </c>
      <c r="K34" s="90">
        <f>J34/I34*100</f>
        <v>0</v>
      </c>
    </row>
    <row r="35" spans="1:11" ht="30">
      <c r="A35" s="91" t="s">
        <v>74</v>
      </c>
      <c r="B35" s="87" t="s">
        <v>180</v>
      </c>
      <c r="C35" s="79"/>
      <c r="D35" s="79"/>
      <c r="E35" s="79"/>
      <c r="F35" s="88">
        <v>25712.2</v>
      </c>
      <c r="G35" s="88">
        <v>70</v>
      </c>
      <c r="H35" s="88">
        <f t="shared" si="6"/>
        <v>0.27224430426023444</v>
      </c>
      <c r="I35" s="89">
        <f>C35+F35</f>
        <v>25712.2</v>
      </c>
      <c r="J35" s="80">
        <f>D35+G35</f>
        <v>70</v>
      </c>
      <c r="K35" s="90">
        <f>J35/I35*100</f>
        <v>0.27224430426023444</v>
      </c>
    </row>
    <row r="36" spans="1:11" ht="15">
      <c r="A36" s="86" t="s">
        <v>67</v>
      </c>
      <c r="B36" s="87" t="s">
        <v>68</v>
      </c>
      <c r="C36" s="79">
        <v>3910.8</v>
      </c>
      <c r="D36" s="79">
        <v>122.6</v>
      </c>
      <c r="E36" s="79">
        <f t="shared" si="5"/>
        <v>3.1349084586273905</v>
      </c>
      <c r="F36" s="88">
        <v>2431</v>
      </c>
      <c r="G36" s="88">
        <v>98.6</v>
      </c>
      <c r="H36" s="88">
        <f t="shared" si="6"/>
        <v>4.055944055944056</v>
      </c>
      <c r="I36" s="89">
        <f t="shared" si="0"/>
        <v>6341.8</v>
      </c>
      <c r="J36" s="80">
        <f t="shared" si="0"/>
        <v>221.2</v>
      </c>
      <c r="K36" s="90">
        <f t="shared" si="1"/>
        <v>3.4879687155066383</v>
      </c>
    </row>
    <row r="37" spans="1:11" ht="30">
      <c r="A37" s="86" t="s">
        <v>28</v>
      </c>
      <c r="B37" s="87" t="s">
        <v>202</v>
      </c>
      <c r="C37" s="79">
        <v>0</v>
      </c>
      <c r="D37" s="79">
        <v>0</v>
      </c>
      <c r="E37" s="95">
        <v>0</v>
      </c>
      <c r="F37" s="88">
        <v>450</v>
      </c>
      <c r="G37" s="88">
        <v>0</v>
      </c>
      <c r="H37" s="88">
        <f t="shared" si="6"/>
        <v>0</v>
      </c>
      <c r="I37" s="89">
        <f t="shared" si="0"/>
        <v>450</v>
      </c>
      <c r="J37" s="80">
        <f t="shared" si="0"/>
        <v>0</v>
      </c>
      <c r="K37" s="90">
        <f t="shared" si="1"/>
        <v>0</v>
      </c>
    </row>
    <row r="38" spans="1:11" ht="60">
      <c r="A38" s="86" t="s">
        <v>28</v>
      </c>
      <c r="B38" s="97" t="s">
        <v>203</v>
      </c>
      <c r="C38" s="95">
        <v>3000</v>
      </c>
      <c r="D38" s="79">
        <v>0</v>
      </c>
      <c r="E38" s="95">
        <f t="shared" si="5"/>
        <v>0</v>
      </c>
      <c r="F38" s="88">
        <v>0</v>
      </c>
      <c r="G38" s="88">
        <v>0</v>
      </c>
      <c r="H38" s="88">
        <v>0</v>
      </c>
      <c r="I38" s="89">
        <f t="shared" si="0"/>
        <v>3000</v>
      </c>
      <c r="J38" s="80">
        <f t="shared" si="0"/>
        <v>0</v>
      </c>
      <c r="K38" s="90">
        <f t="shared" si="1"/>
        <v>0</v>
      </c>
    </row>
    <row r="39" spans="1:11" ht="60">
      <c r="A39" s="86" t="s">
        <v>28</v>
      </c>
      <c r="B39" s="97" t="s">
        <v>181</v>
      </c>
      <c r="C39" s="95">
        <v>4500</v>
      </c>
      <c r="D39" s="88">
        <v>0</v>
      </c>
      <c r="E39" s="95">
        <f t="shared" si="5"/>
        <v>0</v>
      </c>
      <c r="F39" s="88">
        <v>0</v>
      </c>
      <c r="G39" s="88">
        <v>0</v>
      </c>
      <c r="H39" s="88">
        <v>0</v>
      </c>
      <c r="I39" s="89">
        <f t="shared" si="0"/>
        <v>4500</v>
      </c>
      <c r="J39" s="80">
        <f t="shared" si="0"/>
        <v>0</v>
      </c>
      <c r="K39" s="90">
        <f t="shared" si="1"/>
        <v>0</v>
      </c>
    </row>
    <row r="40" spans="1:11" ht="75">
      <c r="A40" s="91" t="s">
        <v>28</v>
      </c>
      <c r="B40" s="97" t="s">
        <v>298</v>
      </c>
      <c r="C40" s="95">
        <v>0</v>
      </c>
      <c r="D40" s="88">
        <v>0</v>
      </c>
      <c r="E40" s="95"/>
      <c r="F40" s="88"/>
      <c r="G40" s="88"/>
      <c r="H40" s="88"/>
      <c r="I40" s="89">
        <f t="shared" si="0"/>
        <v>0</v>
      </c>
      <c r="J40" s="80">
        <f t="shared" si="0"/>
        <v>0</v>
      </c>
      <c r="K40" s="90" t="e">
        <f t="shared" si="1"/>
        <v>#DIV/0!</v>
      </c>
    </row>
    <row r="41" spans="1:11" ht="30">
      <c r="A41" s="91" t="s">
        <v>28</v>
      </c>
      <c r="B41" s="97" t="s">
        <v>182</v>
      </c>
      <c r="C41" s="95">
        <v>1413.4</v>
      </c>
      <c r="D41" s="88">
        <v>7.2</v>
      </c>
      <c r="E41" s="95">
        <f t="shared" si="5"/>
        <v>0.5094099334937031</v>
      </c>
      <c r="F41" s="88">
        <v>0</v>
      </c>
      <c r="G41" s="88">
        <v>0</v>
      </c>
      <c r="H41" s="88">
        <v>0</v>
      </c>
      <c r="I41" s="89">
        <f t="shared" si="0"/>
        <v>1413.4</v>
      </c>
      <c r="J41" s="80">
        <f t="shared" si="0"/>
        <v>7.2</v>
      </c>
      <c r="K41" s="90">
        <f t="shared" si="1"/>
        <v>0.5094099334937031</v>
      </c>
    </row>
    <row r="42" spans="1:11" ht="90">
      <c r="A42" s="91" t="s">
        <v>28</v>
      </c>
      <c r="B42" s="97" t="s">
        <v>204</v>
      </c>
      <c r="C42" s="95">
        <v>1000</v>
      </c>
      <c r="D42" s="88">
        <v>0</v>
      </c>
      <c r="E42" s="95">
        <f t="shared" si="5"/>
        <v>0</v>
      </c>
      <c r="F42" s="88">
        <v>0</v>
      </c>
      <c r="G42" s="88">
        <v>0</v>
      </c>
      <c r="H42" s="88"/>
      <c r="I42" s="89">
        <f t="shared" si="0"/>
        <v>1000</v>
      </c>
      <c r="J42" s="80">
        <f t="shared" si="0"/>
        <v>0</v>
      </c>
      <c r="K42" s="90">
        <f t="shared" si="1"/>
        <v>0</v>
      </c>
    </row>
    <row r="43" spans="1:11" ht="14.25">
      <c r="A43" s="81" t="s">
        <v>29</v>
      </c>
      <c r="B43" s="82" t="s">
        <v>30</v>
      </c>
      <c r="C43" s="111">
        <f>SUM(C44:C65)</f>
        <v>142831.2</v>
      </c>
      <c r="D43" s="111">
        <f>SUM(D44:D65)</f>
        <v>2308.2</v>
      </c>
      <c r="E43" s="83">
        <f t="shared" si="5"/>
        <v>1.6160334716784563</v>
      </c>
      <c r="F43" s="98">
        <f>SUM(F44:F65)</f>
        <v>90202</v>
      </c>
      <c r="G43" s="98">
        <f>SUM(G44:G65)</f>
        <v>1882</v>
      </c>
      <c r="H43" s="98">
        <f>G43/F43*100</f>
        <v>2.086428238841711</v>
      </c>
      <c r="I43" s="111">
        <f>SUM(I44:I65)</f>
        <v>211998.2</v>
      </c>
      <c r="J43" s="111">
        <f>SUM(J44:J65)</f>
        <v>4190.2</v>
      </c>
      <c r="K43" s="85">
        <f t="shared" si="1"/>
        <v>1.9765262157886245</v>
      </c>
    </row>
    <row r="44" spans="1:11" ht="15">
      <c r="A44" s="99" t="s">
        <v>31</v>
      </c>
      <c r="B44" s="100" t="s">
        <v>183</v>
      </c>
      <c r="C44" s="79">
        <v>0</v>
      </c>
      <c r="D44" s="79">
        <v>0</v>
      </c>
      <c r="E44" s="95" t="e">
        <f t="shared" si="5"/>
        <v>#DIV/0!</v>
      </c>
      <c r="F44" s="88">
        <v>28282</v>
      </c>
      <c r="G44" s="88">
        <v>0</v>
      </c>
      <c r="H44" s="88">
        <f>G44/F44*100</f>
        <v>0</v>
      </c>
      <c r="I44" s="89">
        <f t="shared" si="0"/>
        <v>28282</v>
      </c>
      <c r="J44" s="80">
        <f t="shared" si="0"/>
        <v>0</v>
      </c>
      <c r="K44" s="90">
        <f t="shared" si="1"/>
        <v>0</v>
      </c>
    </row>
    <row r="45" spans="1:11" ht="90">
      <c r="A45" s="86" t="s">
        <v>31</v>
      </c>
      <c r="B45" s="87" t="s">
        <v>299</v>
      </c>
      <c r="C45" s="79">
        <v>67014.7</v>
      </c>
      <c r="D45" s="79">
        <v>0</v>
      </c>
      <c r="E45" s="95">
        <f t="shared" si="5"/>
        <v>0</v>
      </c>
      <c r="F45" s="88">
        <v>0</v>
      </c>
      <c r="G45" s="88">
        <v>0</v>
      </c>
      <c r="H45" s="88">
        <v>0</v>
      </c>
      <c r="I45" s="89">
        <f t="shared" si="0"/>
        <v>67014.7</v>
      </c>
      <c r="J45" s="80">
        <f t="shared" si="0"/>
        <v>0</v>
      </c>
      <c r="K45" s="90">
        <f t="shared" si="1"/>
        <v>0</v>
      </c>
    </row>
    <row r="46" spans="1:11" ht="120">
      <c r="A46" s="86" t="s">
        <v>31</v>
      </c>
      <c r="B46" s="87" t="s">
        <v>206</v>
      </c>
      <c r="C46" s="79">
        <v>0</v>
      </c>
      <c r="D46" s="79">
        <v>0</v>
      </c>
      <c r="E46" s="95">
        <v>0</v>
      </c>
      <c r="F46" s="88"/>
      <c r="G46" s="88"/>
      <c r="H46" s="88"/>
      <c r="I46" s="89">
        <f t="shared" si="0"/>
        <v>0</v>
      </c>
      <c r="J46" s="80">
        <f t="shared" si="0"/>
        <v>0</v>
      </c>
      <c r="K46" s="90" t="e">
        <f t="shared" si="1"/>
        <v>#DIV/0!</v>
      </c>
    </row>
    <row r="47" spans="1:11" ht="120">
      <c r="A47" s="91" t="s">
        <v>31</v>
      </c>
      <c r="B47" s="87" t="s">
        <v>300</v>
      </c>
      <c r="C47" s="79">
        <v>3816.5</v>
      </c>
      <c r="D47" s="79"/>
      <c r="E47" s="95"/>
      <c r="F47" s="88"/>
      <c r="G47" s="88"/>
      <c r="H47" s="88"/>
      <c r="I47" s="89">
        <f t="shared" si="0"/>
        <v>3816.5</v>
      </c>
      <c r="J47" s="80"/>
      <c r="K47" s="90"/>
    </row>
    <row r="48" spans="1:11" ht="135">
      <c r="A48" s="86" t="s">
        <v>32</v>
      </c>
      <c r="B48" s="87" t="s">
        <v>194</v>
      </c>
      <c r="C48" s="79">
        <v>5040.1</v>
      </c>
      <c r="D48" s="79">
        <v>970.1</v>
      </c>
      <c r="E48" s="95">
        <f t="shared" si="5"/>
        <v>19.247633975516358</v>
      </c>
      <c r="F48" s="88"/>
      <c r="G48" s="88"/>
      <c r="H48" s="88"/>
      <c r="I48" s="89">
        <f t="shared" si="0"/>
        <v>5040.1</v>
      </c>
      <c r="J48" s="80">
        <f t="shared" si="0"/>
        <v>970.1</v>
      </c>
      <c r="K48" s="90">
        <f t="shared" si="1"/>
        <v>19.247633975516358</v>
      </c>
    </row>
    <row r="49" spans="1:11" ht="120">
      <c r="A49" s="86" t="s">
        <v>32</v>
      </c>
      <c r="B49" s="87" t="s">
        <v>195</v>
      </c>
      <c r="C49" s="79">
        <v>9970.8</v>
      </c>
      <c r="D49" s="109"/>
      <c r="E49" s="95">
        <f t="shared" si="5"/>
        <v>0</v>
      </c>
      <c r="F49" s="88"/>
      <c r="G49" s="88"/>
      <c r="H49" s="88"/>
      <c r="I49" s="89">
        <f t="shared" si="0"/>
        <v>9970.8</v>
      </c>
      <c r="J49" s="80">
        <f t="shared" si="0"/>
        <v>0</v>
      </c>
      <c r="K49" s="90">
        <f t="shared" si="1"/>
        <v>0</v>
      </c>
    </row>
    <row r="50" spans="1:11" ht="191.25">
      <c r="A50" s="86" t="s">
        <v>32</v>
      </c>
      <c r="B50" s="261" t="s">
        <v>301</v>
      </c>
      <c r="C50" s="79">
        <v>2471</v>
      </c>
      <c r="D50" s="109"/>
      <c r="E50" s="95">
        <f>D50/C50*100</f>
        <v>0</v>
      </c>
      <c r="F50" s="88"/>
      <c r="G50" s="88"/>
      <c r="H50" s="88"/>
      <c r="I50" s="89">
        <f>C50+F50</f>
        <v>2471</v>
      </c>
      <c r="J50" s="80">
        <f>D50+G50</f>
        <v>0</v>
      </c>
      <c r="K50" s="90">
        <f>J50/I50*100</f>
        <v>0</v>
      </c>
    </row>
    <row r="51" spans="1:11" ht="165.75">
      <c r="A51" s="86" t="s">
        <v>32</v>
      </c>
      <c r="B51" s="261" t="s">
        <v>302</v>
      </c>
      <c r="C51" s="79">
        <v>37811.6</v>
      </c>
      <c r="D51" s="109">
        <v>0</v>
      </c>
      <c r="E51" s="95">
        <f>D51/C51*100</f>
        <v>0</v>
      </c>
      <c r="F51" s="88"/>
      <c r="G51" s="88"/>
      <c r="H51" s="88"/>
      <c r="I51" s="89">
        <f>C51+F51</f>
        <v>37811.6</v>
      </c>
      <c r="J51" s="80">
        <f>D51+G51</f>
        <v>0</v>
      </c>
      <c r="K51" s="90">
        <f>J51/I51*100</f>
        <v>0</v>
      </c>
    </row>
    <row r="52" spans="1:11" ht="150">
      <c r="A52" s="91" t="s">
        <v>32</v>
      </c>
      <c r="B52" s="97" t="s">
        <v>303</v>
      </c>
      <c r="C52" s="95">
        <v>1785.5</v>
      </c>
      <c r="D52" s="109">
        <v>0</v>
      </c>
      <c r="E52" s="95">
        <f t="shared" si="5"/>
        <v>0</v>
      </c>
      <c r="F52" s="88"/>
      <c r="G52" s="88"/>
      <c r="H52" s="88">
        <v>0</v>
      </c>
      <c r="I52" s="89">
        <f t="shared" si="0"/>
        <v>1785.5</v>
      </c>
      <c r="J52" s="80">
        <f t="shared" si="0"/>
        <v>0</v>
      </c>
      <c r="K52" s="90">
        <f t="shared" si="1"/>
        <v>0</v>
      </c>
    </row>
    <row r="53" spans="1:11" ht="40.5" customHeight="1">
      <c r="A53" s="91" t="s">
        <v>32</v>
      </c>
      <c r="B53" s="97" t="s">
        <v>304</v>
      </c>
      <c r="C53" s="79">
        <v>1556.4</v>
      </c>
      <c r="D53" s="109">
        <v>0</v>
      </c>
      <c r="E53" s="95">
        <f t="shared" si="5"/>
        <v>0</v>
      </c>
      <c r="F53" s="88">
        <v>1638.3</v>
      </c>
      <c r="G53" s="88">
        <v>0</v>
      </c>
      <c r="H53" s="88">
        <f>G53/F53*100</f>
        <v>0</v>
      </c>
      <c r="I53" s="89">
        <f>C53+F53-1556.4</f>
        <v>1638.2999999999997</v>
      </c>
      <c r="J53" s="80">
        <f t="shared" si="0"/>
        <v>0</v>
      </c>
      <c r="K53" s="90">
        <f t="shared" si="1"/>
        <v>0</v>
      </c>
    </row>
    <row r="54" spans="1:11" ht="45">
      <c r="A54" s="91" t="s">
        <v>32</v>
      </c>
      <c r="B54" s="97" t="s">
        <v>207</v>
      </c>
      <c r="C54" s="79">
        <v>0</v>
      </c>
      <c r="D54" s="109">
        <v>0</v>
      </c>
      <c r="E54" s="95" t="e">
        <f t="shared" si="5"/>
        <v>#DIV/0!</v>
      </c>
      <c r="F54" s="88"/>
      <c r="G54" s="88"/>
      <c r="H54" s="88"/>
      <c r="I54" s="89">
        <f>C54+F54</f>
        <v>0</v>
      </c>
      <c r="J54" s="80">
        <f t="shared" si="0"/>
        <v>0</v>
      </c>
      <c r="K54" s="90" t="e">
        <f t="shared" si="1"/>
        <v>#DIV/0!</v>
      </c>
    </row>
    <row r="55" spans="1:11" ht="60">
      <c r="A55" s="91" t="s">
        <v>32</v>
      </c>
      <c r="B55" s="97" t="s">
        <v>196</v>
      </c>
      <c r="C55" s="79"/>
      <c r="D55" s="109"/>
      <c r="E55" s="95"/>
      <c r="F55" s="88">
        <v>2435</v>
      </c>
      <c r="G55" s="88">
        <v>0</v>
      </c>
      <c r="H55" s="88">
        <f aca="true" t="shared" si="7" ref="H55:H64">G55/F55*100</f>
        <v>0</v>
      </c>
      <c r="I55" s="89">
        <f t="shared" si="0"/>
        <v>2435</v>
      </c>
      <c r="J55" s="80">
        <f t="shared" si="0"/>
        <v>0</v>
      </c>
      <c r="K55" s="90">
        <f t="shared" si="1"/>
        <v>0</v>
      </c>
    </row>
    <row r="56" spans="1:11" ht="45">
      <c r="A56" s="91" t="s">
        <v>32</v>
      </c>
      <c r="B56" s="97" t="s">
        <v>208</v>
      </c>
      <c r="C56" s="79"/>
      <c r="D56" s="109"/>
      <c r="E56" s="95"/>
      <c r="F56" s="88">
        <v>0</v>
      </c>
      <c r="G56" s="88">
        <v>0</v>
      </c>
      <c r="H56" s="88">
        <v>0</v>
      </c>
      <c r="I56" s="89">
        <f t="shared" si="0"/>
        <v>0</v>
      </c>
      <c r="J56" s="80">
        <f t="shared" si="0"/>
        <v>0</v>
      </c>
      <c r="K56" s="90">
        <v>0</v>
      </c>
    </row>
    <row r="57" spans="1:11" ht="30">
      <c r="A57" s="91" t="s">
        <v>32</v>
      </c>
      <c r="B57" s="97" t="s">
        <v>197</v>
      </c>
      <c r="C57" s="79"/>
      <c r="D57" s="109"/>
      <c r="E57" s="95"/>
      <c r="F57" s="88">
        <v>12443.1</v>
      </c>
      <c r="G57" s="88">
        <v>1035</v>
      </c>
      <c r="H57" s="88">
        <f t="shared" si="7"/>
        <v>8.317862911975311</v>
      </c>
      <c r="I57" s="89">
        <f t="shared" si="0"/>
        <v>12443.1</v>
      </c>
      <c r="J57" s="80">
        <f t="shared" si="0"/>
        <v>1035</v>
      </c>
      <c r="K57" s="90">
        <f t="shared" si="1"/>
        <v>8.317862911975311</v>
      </c>
    </row>
    <row r="58" spans="1:11" ht="75">
      <c r="A58" s="91" t="s">
        <v>32</v>
      </c>
      <c r="B58" s="97" t="s">
        <v>305</v>
      </c>
      <c r="C58" s="79"/>
      <c r="D58" s="109"/>
      <c r="E58" s="95"/>
      <c r="F58" s="88">
        <v>15478.6</v>
      </c>
      <c r="G58" s="88"/>
      <c r="H58" s="88"/>
      <c r="I58" s="89">
        <f>C58+F58-15478.6</f>
        <v>0</v>
      </c>
      <c r="J58" s="80">
        <f t="shared" si="0"/>
        <v>0</v>
      </c>
      <c r="K58" s="90" t="e">
        <f t="shared" si="1"/>
        <v>#DIV/0!</v>
      </c>
    </row>
    <row r="59" spans="1:11" ht="60">
      <c r="A59" s="91" t="s">
        <v>33</v>
      </c>
      <c r="B59" s="97" t="s">
        <v>184</v>
      </c>
      <c r="C59" s="95">
        <v>8833</v>
      </c>
      <c r="D59" s="109">
        <v>1338.1</v>
      </c>
      <c r="E59" s="95">
        <f>D59/C59*100</f>
        <v>15.148873542397826</v>
      </c>
      <c r="F59" s="88">
        <v>0</v>
      </c>
      <c r="G59" s="88">
        <v>0</v>
      </c>
      <c r="H59" s="88">
        <v>0</v>
      </c>
      <c r="I59" s="89">
        <f>C59+F59</f>
        <v>8833</v>
      </c>
      <c r="J59" s="80">
        <f t="shared" si="0"/>
        <v>1338.1</v>
      </c>
      <c r="K59" s="90">
        <f t="shared" si="1"/>
        <v>15.148873542397826</v>
      </c>
    </row>
    <row r="60" spans="1:11" ht="45">
      <c r="A60" s="91" t="s">
        <v>33</v>
      </c>
      <c r="B60" s="97" t="s">
        <v>185</v>
      </c>
      <c r="C60" s="79">
        <v>2500</v>
      </c>
      <c r="D60" s="109">
        <v>0</v>
      </c>
      <c r="E60" s="95">
        <f>D60/C60*100</f>
        <v>0</v>
      </c>
      <c r="F60" s="88">
        <v>2500</v>
      </c>
      <c r="G60" s="88">
        <v>0</v>
      </c>
      <c r="H60" s="88">
        <f t="shared" si="7"/>
        <v>0</v>
      </c>
      <c r="I60" s="89">
        <f>C60+F60-2500</f>
        <v>2500</v>
      </c>
      <c r="J60" s="80">
        <f t="shared" si="0"/>
        <v>0</v>
      </c>
      <c r="K60" s="90">
        <f t="shared" si="1"/>
        <v>0</v>
      </c>
    </row>
    <row r="61" spans="1:11" ht="60">
      <c r="A61" s="91" t="s">
        <v>33</v>
      </c>
      <c r="B61" s="97" t="s">
        <v>306</v>
      </c>
      <c r="C61" s="79">
        <v>476</v>
      </c>
      <c r="D61" s="109"/>
      <c r="E61" s="95"/>
      <c r="F61" s="88"/>
      <c r="G61" s="88"/>
      <c r="H61" s="88"/>
      <c r="I61" s="89">
        <f t="shared" si="0"/>
        <v>476</v>
      </c>
      <c r="J61" s="80">
        <f t="shared" si="0"/>
        <v>0</v>
      </c>
      <c r="K61" s="90">
        <f t="shared" si="1"/>
        <v>0</v>
      </c>
    </row>
    <row r="62" spans="1:11" ht="75">
      <c r="A62" s="91" t="s">
        <v>33</v>
      </c>
      <c r="B62" s="87" t="s">
        <v>186</v>
      </c>
      <c r="C62" s="79">
        <v>1500</v>
      </c>
      <c r="D62" s="79">
        <v>0</v>
      </c>
      <c r="E62" s="79">
        <f t="shared" si="5"/>
        <v>0</v>
      </c>
      <c r="F62" s="79">
        <v>1500</v>
      </c>
      <c r="G62" s="88">
        <v>0</v>
      </c>
      <c r="H62" s="88">
        <f t="shared" si="7"/>
        <v>0</v>
      </c>
      <c r="I62" s="89">
        <f>C62+F62-1500</f>
        <v>1500</v>
      </c>
      <c r="J62" s="80">
        <f>D62+G62</f>
        <v>0</v>
      </c>
      <c r="K62" s="90">
        <f t="shared" si="1"/>
        <v>0</v>
      </c>
    </row>
    <row r="63" spans="1:11" ht="60">
      <c r="A63" s="91" t="s">
        <v>33</v>
      </c>
      <c r="B63" s="87" t="s">
        <v>307</v>
      </c>
      <c r="C63" s="79"/>
      <c r="D63" s="79"/>
      <c r="E63" s="79"/>
      <c r="F63" s="79">
        <v>2929.1</v>
      </c>
      <c r="G63" s="88"/>
      <c r="H63" s="88"/>
      <c r="I63" s="89">
        <f>C63+F63</f>
        <v>2929.1</v>
      </c>
      <c r="J63" s="80">
        <f>D63+G63</f>
        <v>0</v>
      </c>
      <c r="K63" s="90">
        <f t="shared" si="1"/>
        <v>0</v>
      </c>
    </row>
    <row r="64" spans="1:11" ht="15">
      <c r="A64" s="86" t="s">
        <v>33</v>
      </c>
      <c r="B64" s="87" t="s">
        <v>187</v>
      </c>
      <c r="C64" s="79">
        <v>0</v>
      </c>
      <c r="D64" s="79">
        <v>0</v>
      </c>
      <c r="E64" s="95">
        <v>0</v>
      </c>
      <c r="F64" s="79">
        <v>22995.9</v>
      </c>
      <c r="G64" s="88">
        <v>847</v>
      </c>
      <c r="H64" s="88">
        <f t="shared" si="7"/>
        <v>3.6832652777234203</v>
      </c>
      <c r="I64" s="89">
        <f>C64+F64</f>
        <v>22995.9</v>
      </c>
      <c r="J64" s="80">
        <f>D64+G64</f>
        <v>847</v>
      </c>
      <c r="K64" s="90">
        <f t="shared" si="1"/>
        <v>3.6832652777234203</v>
      </c>
    </row>
    <row r="65" spans="1:11" ht="30">
      <c r="A65" s="91" t="s">
        <v>138</v>
      </c>
      <c r="B65" s="87" t="s">
        <v>139</v>
      </c>
      <c r="C65" s="79">
        <v>55.6</v>
      </c>
      <c r="D65" s="79">
        <v>0</v>
      </c>
      <c r="E65" s="95">
        <f>D65/C65*100</f>
        <v>0</v>
      </c>
      <c r="F65" s="79">
        <v>0</v>
      </c>
      <c r="G65" s="88">
        <v>0</v>
      </c>
      <c r="H65" s="88">
        <v>0</v>
      </c>
      <c r="I65" s="89">
        <f>C65+F65</f>
        <v>55.6</v>
      </c>
      <c r="J65" s="80">
        <f>D65+G65</f>
        <v>0</v>
      </c>
      <c r="K65" s="90">
        <f t="shared" si="1"/>
        <v>0</v>
      </c>
    </row>
    <row r="66" spans="1:11" ht="15">
      <c r="A66" s="101" t="s">
        <v>34</v>
      </c>
      <c r="B66" s="102" t="s">
        <v>35</v>
      </c>
      <c r="C66" s="98">
        <f aca="true" t="shared" si="8" ref="C66:H66">C67</f>
        <v>0</v>
      </c>
      <c r="D66" s="98">
        <f t="shared" si="8"/>
        <v>0</v>
      </c>
      <c r="E66" s="83">
        <v>0</v>
      </c>
      <c r="F66" s="98">
        <f t="shared" si="8"/>
        <v>0</v>
      </c>
      <c r="G66" s="98">
        <f t="shared" si="8"/>
        <v>0</v>
      </c>
      <c r="H66" s="84">
        <f t="shared" si="8"/>
        <v>0</v>
      </c>
      <c r="I66" s="98">
        <f t="shared" si="0"/>
        <v>0</v>
      </c>
      <c r="J66" s="98">
        <f t="shared" si="0"/>
        <v>0</v>
      </c>
      <c r="K66" s="85">
        <v>0</v>
      </c>
    </row>
    <row r="67" spans="1:11" ht="30">
      <c r="A67" s="91" t="s">
        <v>36</v>
      </c>
      <c r="B67" s="103" t="s">
        <v>37</v>
      </c>
      <c r="C67" s="96">
        <v>0</v>
      </c>
      <c r="D67" s="88">
        <v>0</v>
      </c>
      <c r="E67" s="79">
        <v>0</v>
      </c>
      <c r="F67" s="88">
        <v>0</v>
      </c>
      <c r="G67" s="88">
        <v>0</v>
      </c>
      <c r="H67" s="88">
        <v>0</v>
      </c>
      <c r="I67" s="89">
        <f t="shared" si="0"/>
        <v>0</v>
      </c>
      <c r="J67" s="80">
        <f t="shared" si="0"/>
        <v>0</v>
      </c>
      <c r="K67" s="90">
        <v>0</v>
      </c>
    </row>
    <row r="68" spans="1:11" ht="15">
      <c r="A68" s="81" t="s">
        <v>38</v>
      </c>
      <c r="B68" s="82" t="s">
        <v>39</v>
      </c>
      <c r="C68" s="83">
        <f>SUM(C69:C75)</f>
        <v>1906535.2999999998</v>
      </c>
      <c r="D68" s="83">
        <f>SUM(D69:D75)</f>
        <v>63777</v>
      </c>
      <c r="E68" s="83">
        <f>D68/C68*100</f>
        <v>3.345178030535286</v>
      </c>
      <c r="F68" s="98">
        <f>F69+F71+F72+F74+F75</f>
        <v>0</v>
      </c>
      <c r="G68" s="98">
        <f>SUM(G69:G75)</f>
        <v>0</v>
      </c>
      <c r="H68" s="84">
        <v>0</v>
      </c>
      <c r="I68" s="83">
        <f>SUM(I69:I75)</f>
        <v>1906535.2999999998</v>
      </c>
      <c r="J68" s="83">
        <f>SUM(J69:J75)</f>
        <v>63777</v>
      </c>
      <c r="K68" s="85">
        <f t="shared" si="1"/>
        <v>3.345178030535286</v>
      </c>
    </row>
    <row r="69" spans="1:11" ht="15">
      <c r="A69" s="86" t="s">
        <v>40</v>
      </c>
      <c r="B69" s="87" t="s">
        <v>41</v>
      </c>
      <c r="C69" s="79">
        <f>624551.7-C70</f>
        <v>369951.69999999995</v>
      </c>
      <c r="D69" s="79">
        <v>19896.4</v>
      </c>
      <c r="E69" s="79">
        <f t="shared" si="5"/>
        <v>5.378107466461164</v>
      </c>
      <c r="F69" s="88">
        <v>0</v>
      </c>
      <c r="G69" s="88">
        <v>0</v>
      </c>
      <c r="H69" s="88">
        <v>0</v>
      </c>
      <c r="I69" s="89">
        <f t="shared" si="0"/>
        <v>369951.69999999995</v>
      </c>
      <c r="J69" s="80">
        <f t="shared" si="0"/>
        <v>19896.4</v>
      </c>
      <c r="K69" s="90">
        <f t="shared" si="1"/>
        <v>5.378107466461164</v>
      </c>
    </row>
    <row r="70" spans="1:11" ht="120">
      <c r="A70" s="86" t="s">
        <v>40</v>
      </c>
      <c r="B70" s="87" t="s">
        <v>189</v>
      </c>
      <c r="C70" s="79">
        <v>254600</v>
      </c>
      <c r="D70" s="79">
        <v>0</v>
      </c>
      <c r="E70" s="79"/>
      <c r="F70" s="88"/>
      <c r="G70" s="88"/>
      <c r="H70" s="88"/>
      <c r="I70" s="89">
        <f t="shared" si="0"/>
        <v>254600</v>
      </c>
      <c r="J70" s="80">
        <f t="shared" si="0"/>
        <v>0</v>
      </c>
      <c r="K70" s="90">
        <f t="shared" si="1"/>
        <v>0</v>
      </c>
    </row>
    <row r="71" spans="1:11" ht="15">
      <c r="A71" s="86" t="s">
        <v>42</v>
      </c>
      <c r="B71" s="87" t="s">
        <v>43</v>
      </c>
      <c r="C71" s="79">
        <f>1219558.9-C72-C73</f>
        <v>1173852.9</v>
      </c>
      <c r="D71" s="79">
        <f>41210.6-D72-D73</f>
        <v>40679.4</v>
      </c>
      <c r="E71" s="79">
        <f t="shared" si="5"/>
        <v>3.4654597692777354</v>
      </c>
      <c r="F71" s="88">
        <v>0</v>
      </c>
      <c r="G71" s="88">
        <v>0</v>
      </c>
      <c r="H71" s="88">
        <v>0</v>
      </c>
      <c r="I71" s="89">
        <f t="shared" si="0"/>
        <v>1173852.9</v>
      </c>
      <c r="J71" s="80">
        <f t="shared" si="0"/>
        <v>40679.4</v>
      </c>
      <c r="K71" s="90">
        <f t="shared" si="1"/>
        <v>3.4654597692777354</v>
      </c>
    </row>
    <row r="72" spans="1:11" ht="15">
      <c r="A72" s="86" t="s">
        <v>42</v>
      </c>
      <c r="B72" s="87" t="s">
        <v>188</v>
      </c>
      <c r="C72" s="79">
        <v>45706</v>
      </c>
      <c r="D72" s="79">
        <v>531.2</v>
      </c>
      <c r="E72" s="79">
        <f t="shared" si="5"/>
        <v>1.162210650680436</v>
      </c>
      <c r="F72" s="88">
        <v>0</v>
      </c>
      <c r="G72" s="88">
        <v>0</v>
      </c>
      <c r="H72" s="88">
        <v>0</v>
      </c>
      <c r="I72" s="89">
        <f t="shared" si="0"/>
        <v>45706</v>
      </c>
      <c r="J72" s="80">
        <f t="shared" si="0"/>
        <v>531.2</v>
      </c>
      <c r="K72" s="90">
        <f t="shared" si="1"/>
        <v>1.162210650680436</v>
      </c>
    </row>
    <row r="73" spans="1:11" ht="120">
      <c r="A73" s="86" t="s">
        <v>42</v>
      </c>
      <c r="B73" s="87" t="s">
        <v>189</v>
      </c>
      <c r="C73" s="79">
        <v>0</v>
      </c>
      <c r="D73" s="79">
        <v>0</v>
      </c>
      <c r="E73" s="79">
        <v>0</v>
      </c>
      <c r="F73" s="88">
        <v>0</v>
      </c>
      <c r="G73" s="88">
        <v>0</v>
      </c>
      <c r="H73" s="88">
        <v>0</v>
      </c>
      <c r="I73" s="89">
        <f t="shared" si="0"/>
        <v>0</v>
      </c>
      <c r="J73" s="80">
        <f t="shared" si="0"/>
        <v>0</v>
      </c>
      <c r="K73" s="90" t="e">
        <f t="shared" si="1"/>
        <v>#DIV/0!</v>
      </c>
    </row>
    <row r="74" spans="1:11" ht="15">
      <c r="A74" s="86" t="s">
        <v>44</v>
      </c>
      <c r="B74" s="87" t="s">
        <v>45</v>
      </c>
      <c r="C74" s="79">
        <v>20307.8</v>
      </c>
      <c r="D74" s="79">
        <v>50</v>
      </c>
      <c r="E74" s="79">
        <f t="shared" si="5"/>
        <v>0.24621081554870544</v>
      </c>
      <c r="F74" s="88">
        <v>0</v>
      </c>
      <c r="G74" s="88">
        <v>0</v>
      </c>
      <c r="H74" s="88">
        <v>0</v>
      </c>
      <c r="I74" s="89">
        <f t="shared" si="0"/>
        <v>20307.8</v>
      </c>
      <c r="J74" s="80">
        <f t="shared" si="0"/>
        <v>50</v>
      </c>
      <c r="K74" s="90">
        <f t="shared" si="1"/>
        <v>0.24621081554870544</v>
      </c>
    </row>
    <row r="75" spans="1:11" ht="15">
      <c r="A75" s="86" t="s">
        <v>46</v>
      </c>
      <c r="B75" s="87" t="s">
        <v>47</v>
      </c>
      <c r="C75" s="79">
        <v>42116.9</v>
      </c>
      <c r="D75" s="79">
        <v>2620</v>
      </c>
      <c r="E75" s="79">
        <f t="shared" si="5"/>
        <v>6.220780731725269</v>
      </c>
      <c r="F75" s="88">
        <v>0</v>
      </c>
      <c r="G75" s="88">
        <v>0</v>
      </c>
      <c r="H75" s="88">
        <v>0</v>
      </c>
      <c r="I75" s="89">
        <f t="shared" si="0"/>
        <v>42116.9</v>
      </c>
      <c r="J75" s="80">
        <f t="shared" si="0"/>
        <v>2620</v>
      </c>
      <c r="K75" s="90">
        <f t="shared" si="1"/>
        <v>6.220780731725269</v>
      </c>
    </row>
    <row r="76" spans="1:11" ht="15">
      <c r="A76" s="81" t="s">
        <v>48</v>
      </c>
      <c r="B76" s="82" t="s">
        <v>49</v>
      </c>
      <c r="C76" s="83">
        <f>SUM(C77:C81)</f>
        <v>139763.6</v>
      </c>
      <c r="D76" s="83">
        <f>SUM(D77:D81)</f>
        <v>3197.9</v>
      </c>
      <c r="E76" s="83">
        <f>D76/C76*100</f>
        <v>2.2880778686296</v>
      </c>
      <c r="F76" s="98">
        <f>SUM(F77:F81)</f>
        <v>113159</v>
      </c>
      <c r="G76" s="98">
        <f>SUM(G77:G81)</f>
        <v>1348.5</v>
      </c>
      <c r="H76" s="84">
        <f>G76/F76*100</f>
        <v>1.1916860346945448</v>
      </c>
      <c r="I76" s="98">
        <f>SUM(I77:I81)</f>
        <v>252248.1</v>
      </c>
      <c r="J76" s="98">
        <f>SUM(J77:J81)</f>
        <v>4546.400000000001</v>
      </c>
      <c r="K76" s="85">
        <f t="shared" si="1"/>
        <v>1.802352525152816</v>
      </c>
    </row>
    <row r="77" spans="1:11" ht="15">
      <c r="A77" s="86" t="s">
        <v>50</v>
      </c>
      <c r="B77" s="87" t="s">
        <v>90</v>
      </c>
      <c r="C77" s="79">
        <f>131793.1-C78-C79</f>
        <v>76724.90000000001</v>
      </c>
      <c r="D77" s="79">
        <f>3110.1-D78-D79</f>
        <v>3110.1</v>
      </c>
      <c r="E77" s="79">
        <f t="shared" si="5"/>
        <v>4.053573220688459</v>
      </c>
      <c r="F77" s="88">
        <f>112221.5-F79</f>
        <v>112045.2</v>
      </c>
      <c r="G77" s="88">
        <f>1340.2-G79</f>
        <v>1340.2</v>
      </c>
      <c r="H77" s="88">
        <f>G77/F77*100</f>
        <v>1.1961244212157238</v>
      </c>
      <c r="I77" s="89">
        <f>C77+F77</f>
        <v>188770.1</v>
      </c>
      <c r="J77" s="80">
        <f>D77+G77</f>
        <v>4450.3</v>
      </c>
      <c r="K77" s="90">
        <f t="shared" si="1"/>
        <v>2.357523781573459</v>
      </c>
    </row>
    <row r="78" spans="1:11" ht="75">
      <c r="A78" s="104" t="s">
        <v>50</v>
      </c>
      <c r="B78" s="105" t="s">
        <v>308</v>
      </c>
      <c r="C78" s="79">
        <v>53430</v>
      </c>
      <c r="D78" s="79">
        <v>0</v>
      </c>
      <c r="E78" s="79">
        <f t="shared" si="5"/>
        <v>0</v>
      </c>
      <c r="F78" s="88">
        <v>0</v>
      </c>
      <c r="G78" s="88">
        <v>0</v>
      </c>
      <c r="H78" s="88">
        <v>0</v>
      </c>
      <c r="I78" s="89">
        <f aca="true" t="shared" si="9" ref="I78:J91">C78+F78</f>
        <v>53430</v>
      </c>
      <c r="J78" s="80">
        <f t="shared" si="9"/>
        <v>0</v>
      </c>
      <c r="K78" s="90">
        <f>J78/I78*100</f>
        <v>0</v>
      </c>
    </row>
    <row r="79" spans="1:11" ht="15">
      <c r="A79" s="104" t="s">
        <v>50</v>
      </c>
      <c r="B79" s="105" t="s">
        <v>309</v>
      </c>
      <c r="C79" s="79">
        <v>1638.2</v>
      </c>
      <c r="D79" s="79">
        <v>0</v>
      </c>
      <c r="E79" s="79">
        <f t="shared" si="5"/>
        <v>0</v>
      </c>
      <c r="F79" s="88">
        <v>176.3</v>
      </c>
      <c r="G79" s="88">
        <v>0</v>
      </c>
      <c r="H79" s="88">
        <f>G79/F79*100</f>
        <v>0</v>
      </c>
      <c r="I79" s="89">
        <f>C79+F79-424.5</f>
        <v>1390</v>
      </c>
      <c r="J79" s="80">
        <f>D79+G79</f>
        <v>0</v>
      </c>
      <c r="K79" s="90">
        <f>J79/I79*100</f>
        <v>0</v>
      </c>
    </row>
    <row r="80" spans="1:11" ht="15">
      <c r="A80" s="86" t="s">
        <v>51</v>
      </c>
      <c r="B80" s="87" t="s">
        <v>52</v>
      </c>
      <c r="C80" s="79">
        <v>267</v>
      </c>
      <c r="D80" s="79">
        <v>22</v>
      </c>
      <c r="E80" s="79">
        <f t="shared" si="5"/>
        <v>8.239700374531834</v>
      </c>
      <c r="F80" s="88">
        <v>687.5</v>
      </c>
      <c r="G80" s="88">
        <v>8.3</v>
      </c>
      <c r="H80" s="88">
        <f>G80/F80*100</f>
        <v>1.2072727272727273</v>
      </c>
      <c r="I80" s="89">
        <f t="shared" si="9"/>
        <v>954.5</v>
      </c>
      <c r="J80" s="80">
        <f t="shared" si="9"/>
        <v>30.3</v>
      </c>
      <c r="K80" s="90">
        <f aca="true" t="shared" si="10" ref="K80:K106">J80/I80*100</f>
        <v>3.174436877946569</v>
      </c>
    </row>
    <row r="81" spans="1:11" ht="30">
      <c r="A81" s="86" t="s">
        <v>53</v>
      </c>
      <c r="B81" s="87" t="s">
        <v>91</v>
      </c>
      <c r="C81" s="79">
        <v>7703.5</v>
      </c>
      <c r="D81" s="79">
        <v>65.8</v>
      </c>
      <c r="E81" s="79">
        <f t="shared" si="5"/>
        <v>0.854157201272149</v>
      </c>
      <c r="F81" s="88">
        <v>250</v>
      </c>
      <c r="G81" s="88">
        <v>0</v>
      </c>
      <c r="H81" s="88">
        <f>G81/F81*100</f>
        <v>0</v>
      </c>
      <c r="I81" s="89">
        <f>C81+F81-250</f>
        <v>7703.5</v>
      </c>
      <c r="J81" s="80">
        <f>D81+G81</f>
        <v>65.8</v>
      </c>
      <c r="K81" s="90">
        <f t="shared" si="10"/>
        <v>0.854157201272149</v>
      </c>
    </row>
    <row r="82" spans="1:11" ht="15">
      <c r="A82" s="81" t="s">
        <v>54</v>
      </c>
      <c r="B82" s="82" t="s">
        <v>92</v>
      </c>
      <c r="C82" s="83">
        <f>C83</f>
        <v>88000</v>
      </c>
      <c r="D82" s="83">
        <f>D83</f>
        <v>0</v>
      </c>
      <c r="E82" s="83">
        <f>D82/C82*100</f>
        <v>0</v>
      </c>
      <c r="F82" s="98">
        <v>0</v>
      </c>
      <c r="G82" s="98">
        <v>0</v>
      </c>
      <c r="H82" s="84"/>
      <c r="I82" s="98">
        <f>C82+F82</f>
        <v>88000</v>
      </c>
      <c r="J82" s="98">
        <f t="shared" si="9"/>
        <v>0</v>
      </c>
      <c r="K82" s="85">
        <f t="shared" si="10"/>
        <v>0</v>
      </c>
    </row>
    <row r="83" spans="1:11" ht="45">
      <c r="A83" s="91" t="s">
        <v>104</v>
      </c>
      <c r="B83" s="105" t="s">
        <v>310</v>
      </c>
      <c r="C83" s="79">
        <v>88000</v>
      </c>
      <c r="D83" s="88">
        <v>0</v>
      </c>
      <c r="E83" s="79">
        <f t="shared" si="5"/>
        <v>0</v>
      </c>
      <c r="F83" s="88">
        <v>0</v>
      </c>
      <c r="G83" s="88">
        <v>0</v>
      </c>
      <c r="H83" s="88">
        <v>0</v>
      </c>
      <c r="I83" s="89">
        <f t="shared" si="9"/>
        <v>88000</v>
      </c>
      <c r="J83" s="80">
        <f t="shared" si="9"/>
        <v>0</v>
      </c>
      <c r="K83" s="90">
        <f t="shared" si="10"/>
        <v>0</v>
      </c>
    </row>
    <row r="84" spans="1:11" ht="15">
      <c r="A84" s="81">
        <v>10</v>
      </c>
      <c r="B84" s="82" t="s">
        <v>60</v>
      </c>
      <c r="C84" s="83">
        <f>SUM(C85:C93)</f>
        <v>178594.7</v>
      </c>
      <c r="D84" s="83">
        <f>SUM(D85:D93)</f>
        <v>768.3</v>
      </c>
      <c r="E84" s="83">
        <f>D84/C84*100</f>
        <v>0.43019193738671974</v>
      </c>
      <c r="F84" s="83">
        <f>SUM(F85:F91)</f>
        <v>300</v>
      </c>
      <c r="G84" s="83">
        <f>SUM(G85:G91)</f>
        <v>5</v>
      </c>
      <c r="H84" s="84">
        <f>G84/F84*100</f>
        <v>1.6666666666666667</v>
      </c>
      <c r="I84" s="83">
        <f>SUM(I85:I93)</f>
        <v>178894.7</v>
      </c>
      <c r="J84" s="83">
        <f>SUM(J85:J93)</f>
        <v>773.3</v>
      </c>
      <c r="K84" s="85">
        <f t="shared" si="10"/>
        <v>0.4322654611902979</v>
      </c>
    </row>
    <row r="85" spans="1:11" ht="15">
      <c r="A85" s="91">
        <v>1001</v>
      </c>
      <c r="B85" s="87" t="s">
        <v>61</v>
      </c>
      <c r="C85" s="79">
        <v>3446</v>
      </c>
      <c r="D85" s="95">
        <v>287.1</v>
      </c>
      <c r="E85" s="79">
        <f t="shared" si="5"/>
        <v>8.331398723157285</v>
      </c>
      <c r="F85" s="88">
        <v>300</v>
      </c>
      <c r="G85" s="88">
        <v>5</v>
      </c>
      <c r="H85" s="88">
        <f>G85/F85*100</f>
        <v>1.6666666666666667</v>
      </c>
      <c r="I85" s="89">
        <f t="shared" si="9"/>
        <v>3746</v>
      </c>
      <c r="J85" s="80">
        <f t="shared" si="9"/>
        <v>292.1</v>
      </c>
      <c r="K85" s="90">
        <f t="shared" si="10"/>
        <v>7.797650827549386</v>
      </c>
    </row>
    <row r="86" spans="1:11" ht="60">
      <c r="A86" s="91">
        <v>1003</v>
      </c>
      <c r="B86" s="87" t="s">
        <v>190</v>
      </c>
      <c r="C86" s="79">
        <v>1148</v>
      </c>
      <c r="D86" s="79">
        <v>0</v>
      </c>
      <c r="E86" s="79"/>
      <c r="F86" s="88">
        <v>0</v>
      </c>
      <c r="G86" s="88">
        <v>0</v>
      </c>
      <c r="H86" s="88">
        <v>0</v>
      </c>
      <c r="I86" s="89">
        <f t="shared" si="9"/>
        <v>1148</v>
      </c>
      <c r="J86" s="80">
        <f t="shared" si="9"/>
        <v>0</v>
      </c>
      <c r="K86" s="90">
        <v>0</v>
      </c>
    </row>
    <row r="87" spans="1:11" ht="60">
      <c r="A87" s="91">
        <v>1003</v>
      </c>
      <c r="B87" s="87" t="s">
        <v>210</v>
      </c>
      <c r="C87" s="95">
        <v>3672</v>
      </c>
      <c r="D87" s="79">
        <v>0</v>
      </c>
      <c r="E87" s="79">
        <f t="shared" si="5"/>
        <v>0</v>
      </c>
      <c r="F87" s="88">
        <v>0</v>
      </c>
      <c r="G87" s="88">
        <v>0</v>
      </c>
      <c r="H87" s="88">
        <v>0</v>
      </c>
      <c r="I87" s="89">
        <f t="shared" si="9"/>
        <v>3672</v>
      </c>
      <c r="J87" s="80">
        <f t="shared" si="9"/>
        <v>0</v>
      </c>
      <c r="K87" s="90">
        <f t="shared" si="10"/>
        <v>0</v>
      </c>
    </row>
    <row r="88" spans="1:11" ht="165">
      <c r="A88" s="91" t="s">
        <v>168</v>
      </c>
      <c r="B88" s="87" t="s">
        <v>209</v>
      </c>
      <c r="C88" s="95">
        <v>790</v>
      </c>
      <c r="D88" s="79">
        <v>0</v>
      </c>
      <c r="E88" s="79">
        <f t="shared" si="5"/>
        <v>0</v>
      </c>
      <c r="F88" s="88"/>
      <c r="G88" s="88"/>
      <c r="H88" s="88"/>
      <c r="I88" s="89">
        <f t="shared" si="9"/>
        <v>790</v>
      </c>
      <c r="J88" s="80">
        <f t="shared" si="9"/>
        <v>0</v>
      </c>
      <c r="K88" s="90">
        <f t="shared" si="10"/>
        <v>0</v>
      </c>
    </row>
    <row r="89" spans="1:11" ht="75">
      <c r="A89" s="91">
        <v>1004</v>
      </c>
      <c r="B89" s="87" t="s">
        <v>191</v>
      </c>
      <c r="C89" s="79">
        <v>20062</v>
      </c>
      <c r="D89" s="79">
        <v>0</v>
      </c>
      <c r="E89" s="79">
        <f t="shared" si="5"/>
        <v>0</v>
      </c>
      <c r="F89" s="88">
        <v>0</v>
      </c>
      <c r="G89" s="88">
        <v>0</v>
      </c>
      <c r="H89" s="88">
        <v>0</v>
      </c>
      <c r="I89" s="89">
        <f t="shared" si="9"/>
        <v>20062</v>
      </c>
      <c r="J89" s="80">
        <f t="shared" si="9"/>
        <v>0</v>
      </c>
      <c r="K89" s="90">
        <f t="shared" si="10"/>
        <v>0</v>
      </c>
    </row>
    <row r="90" spans="1:11" ht="45">
      <c r="A90" s="91">
        <v>1004</v>
      </c>
      <c r="B90" s="87" t="s">
        <v>192</v>
      </c>
      <c r="C90" s="79">
        <v>1463.1</v>
      </c>
      <c r="D90" s="79">
        <v>0</v>
      </c>
      <c r="E90" s="79">
        <f aca="true" t="shared" si="11" ref="E90:E105">D90/C90*100</f>
        <v>0</v>
      </c>
      <c r="F90" s="88">
        <v>0</v>
      </c>
      <c r="G90" s="88">
        <v>0</v>
      </c>
      <c r="H90" s="88">
        <v>0</v>
      </c>
      <c r="I90" s="89">
        <f t="shared" si="9"/>
        <v>1463.1</v>
      </c>
      <c r="J90" s="89">
        <f t="shared" si="9"/>
        <v>0</v>
      </c>
      <c r="K90" s="90">
        <f t="shared" si="10"/>
        <v>0</v>
      </c>
    </row>
    <row r="91" spans="1:11" ht="165">
      <c r="A91" s="91">
        <v>1004</v>
      </c>
      <c r="B91" s="87" t="s">
        <v>193</v>
      </c>
      <c r="C91" s="79">
        <v>101600.5</v>
      </c>
      <c r="D91" s="79">
        <v>0</v>
      </c>
      <c r="E91" s="79">
        <f t="shared" si="11"/>
        <v>0</v>
      </c>
      <c r="F91" s="88">
        <v>0</v>
      </c>
      <c r="G91" s="88">
        <v>0</v>
      </c>
      <c r="H91" s="88">
        <v>0</v>
      </c>
      <c r="I91" s="89">
        <f t="shared" si="9"/>
        <v>101600.5</v>
      </c>
      <c r="J91" s="80">
        <f t="shared" si="9"/>
        <v>0</v>
      </c>
      <c r="K91" s="90">
        <f t="shared" si="10"/>
        <v>0</v>
      </c>
    </row>
    <row r="92" spans="1:11" ht="150">
      <c r="A92" s="91" t="s">
        <v>110</v>
      </c>
      <c r="B92" s="87" t="s">
        <v>311</v>
      </c>
      <c r="C92" s="79">
        <f>31170.5+558.7</f>
        <v>31729.2</v>
      </c>
      <c r="D92" s="79">
        <v>0</v>
      </c>
      <c r="E92" s="79">
        <f>D92/C92*100</f>
        <v>0</v>
      </c>
      <c r="F92" s="88">
        <v>0</v>
      </c>
      <c r="G92" s="88">
        <v>0</v>
      </c>
      <c r="H92" s="88">
        <v>0</v>
      </c>
      <c r="I92" s="89">
        <f>C92+F92</f>
        <v>31729.2</v>
      </c>
      <c r="J92" s="80">
        <f>D92+G92</f>
        <v>0</v>
      </c>
      <c r="K92" s="90">
        <f>J92/I92*100</f>
        <v>0</v>
      </c>
    </row>
    <row r="93" spans="1:11" ht="30">
      <c r="A93" s="91">
        <v>1006</v>
      </c>
      <c r="B93" s="87" t="s">
        <v>63</v>
      </c>
      <c r="C93" s="79">
        <v>14683.9</v>
      </c>
      <c r="D93" s="79">
        <v>481.2</v>
      </c>
      <c r="E93" s="79">
        <f t="shared" si="11"/>
        <v>3.2770585471162295</v>
      </c>
      <c r="F93" s="88">
        <v>0</v>
      </c>
      <c r="G93" s="88">
        <v>0</v>
      </c>
      <c r="H93" s="88">
        <v>0</v>
      </c>
      <c r="I93" s="89">
        <f>C93+F93</f>
        <v>14683.9</v>
      </c>
      <c r="J93" s="80">
        <f>D93+G93</f>
        <v>481.2</v>
      </c>
      <c r="K93" s="90">
        <f t="shared" si="10"/>
        <v>3.2770585471162295</v>
      </c>
    </row>
    <row r="94" spans="1:11" ht="15">
      <c r="A94" s="101">
        <v>1100</v>
      </c>
      <c r="B94" s="82" t="s">
        <v>59</v>
      </c>
      <c r="C94" s="83">
        <f>SUM(C95:C97)</f>
        <v>187539.2</v>
      </c>
      <c r="D94" s="83">
        <f>SUM(D95:D97)</f>
        <v>1398.5</v>
      </c>
      <c r="E94" s="83">
        <f>D94/C94*100</f>
        <v>0.7457107634030645</v>
      </c>
      <c r="F94" s="98">
        <f>F95+F96</f>
        <v>26673.1</v>
      </c>
      <c r="G94" s="98">
        <f>G95+G96</f>
        <v>225.5</v>
      </c>
      <c r="H94" s="84">
        <f>G94/F94*100</f>
        <v>0.8454210421735756</v>
      </c>
      <c r="I94" s="98">
        <f>SUM(I95:I97)</f>
        <v>213987.30000000002</v>
      </c>
      <c r="J94" s="98">
        <f>SUM(J95:J97)</f>
        <v>1624</v>
      </c>
      <c r="K94" s="85">
        <f t="shared" si="10"/>
        <v>0.7589235435934749</v>
      </c>
    </row>
    <row r="95" spans="1:11" ht="15">
      <c r="A95" s="91">
        <v>1101</v>
      </c>
      <c r="B95" s="87" t="s">
        <v>83</v>
      </c>
      <c r="C95" s="79">
        <v>14569</v>
      </c>
      <c r="D95" s="79">
        <v>853.6</v>
      </c>
      <c r="E95" s="79">
        <f t="shared" si="11"/>
        <v>5.859015718305993</v>
      </c>
      <c r="F95" s="88">
        <v>26668.1</v>
      </c>
      <c r="G95" s="88">
        <v>225.5</v>
      </c>
      <c r="H95" s="88">
        <f>G95/F95*100</f>
        <v>0.8455795500991823</v>
      </c>
      <c r="I95" s="89">
        <f>C95+F95-225</f>
        <v>41012.1</v>
      </c>
      <c r="J95" s="89">
        <f>D95+G95</f>
        <v>1079.1</v>
      </c>
      <c r="K95" s="90">
        <f t="shared" si="10"/>
        <v>2.631174702100112</v>
      </c>
    </row>
    <row r="96" spans="1:11" ht="15">
      <c r="A96" s="91">
        <v>1102</v>
      </c>
      <c r="B96" s="87" t="s">
        <v>84</v>
      </c>
      <c r="C96" s="79">
        <v>172950</v>
      </c>
      <c r="D96" s="79">
        <v>544.9</v>
      </c>
      <c r="E96" s="79">
        <f t="shared" si="11"/>
        <v>0.3150621566926857</v>
      </c>
      <c r="F96" s="88">
        <v>5</v>
      </c>
      <c r="G96" s="88">
        <v>0</v>
      </c>
      <c r="H96" s="88">
        <f>G96/F96*100</f>
        <v>0</v>
      </c>
      <c r="I96" s="89">
        <f>C96+F96</f>
        <v>172955</v>
      </c>
      <c r="J96" s="89">
        <f>D96+G96</f>
        <v>544.9</v>
      </c>
      <c r="K96" s="90">
        <f t="shared" si="10"/>
        <v>0.3150530484808187</v>
      </c>
    </row>
    <row r="97" spans="1:11" ht="30">
      <c r="A97" s="91" t="s">
        <v>312</v>
      </c>
      <c r="B97" s="87" t="s">
        <v>313</v>
      </c>
      <c r="C97" s="79">
        <v>20.2</v>
      </c>
      <c r="D97" s="79"/>
      <c r="E97" s="79">
        <f t="shared" si="11"/>
        <v>0</v>
      </c>
      <c r="F97" s="88"/>
      <c r="G97" s="88"/>
      <c r="H97" s="88"/>
      <c r="I97" s="89">
        <f>C97+F97</f>
        <v>20.2</v>
      </c>
      <c r="J97" s="89">
        <f>D97+G97</f>
        <v>0</v>
      </c>
      <c r="K97" s="90">
        <f t="shared" si="10"/>
        <v>0</v>
      </c>
    </row>
    <row r="98" spans="1:11" ht="15">
      <c r="A98" s="101">
        <v>1200</v>
      </c>
      <c r="B98" s="82" t="s">
        <v>85</v>
      </c>
      <c r="C98" s="83">
        <f>C99</f>
        <v>3737.3</v>
      </c>
      <c r="D98" s="83">
        <f>D99</f>
        <v>1664.7</v>
      </c>
      <c r="E98" s="110">
        <f>D98/C98*100</f>
        <v>44.54285179140021</v>
      </c>
      <c r="F98" s="83">
        <f>F99</f>
        <v>0</v>
      </c>
      <c r="G98" s="83">
        <f>G99</f>
        <v>0</v>
      </c>
      <c r="H98" s="262"/>
      <c r="I98" s="83">
        <f aca="true" t="shared" si="12" ref="I98:J101">C98+F98</f>
        <v>3737.3</v>
      </c>
      <c r="J98" s="83">
        <f t="shared" si="12"/>
        <v>1664.7</v>
      </c>
      <c r="K98" s="93">
        <f t="shared" si="10"/>
        <v>44.54285179140021</v>
      </c>
    </row>
    <row r="99" spans="1:11" ht="15">
      <c r="A99" s="91" t="s">
        <v>114</v>
      </c>
      <c r="B99" s="87" t="s">
        <v>115</v>
      </c>
      <c r="C99" s="79">
        <v>3737.3</v>
      </c>
      <c r="D99" s="79">
        <v>1664.7</v>
      </c>
      <c r="E99" s="79">
        <f>D99/C99*100</f>
        <v>44.54285179140021</v>
      </c>
      <c r="F99" s="88">
        <v>0</v>
      </c>
      <c r="G99" s="88">
        <v>0</v>
      </c>
      <c r="H99" s="88">
        <v>0</v>
      </c>
      <c r="I99" s="89">
        <f t="shared" si="12"/>
        <v>3737.3</v>
      </c>
      <c r="J99" s="89">
        <f t="shared" si="12"/>
        <v>1664.7</v>
      </c>
      <c r="K99" s="90">
        <f>J99/I99*100</f>
        <v>44.54285179140021</v>
      </c>
    </row>
    <row r="100" spans="1:11" ht="28.5">
      <c r="A100" s="101">
        <v>1300</v>
      </c>
      <c r="B100" s="82" t="s">
        <v>86</v>
      </c>
      <c r="C100" s="83">
        <f aca="true" t="shared" si="13" ref="C100:H100">C101</f>
        <v>370</v>
      </c>
      <c r="D100" s="83">
        <f t="shared" si="13"/>
        <v>0</v>
      </c>
      <c r="E100" s="83">
        <f t="shared" si="13"/>
        <v>0</v>
      </c>
      <c r="F100" s="83">
        <f t="shared" si="13"/>
        <v>0</v>
      </c>
      <c r="G100" s="83">
        <f t="shared" si="13"/>
        <v>0</v>
      </c>
      <c r="H100" s="92">
        <f t="shared" si="13"/>
        <v>0</v>
      </c>
      <c r="I100" s="83">
        <f t="shared" si="12"/>
        <v>370</v>
      </c>
      <c r="J100" s="83">
        <f t="shared" si="12"/>
        <v>0</v>
      </c>
      <c r="K100" s="93">
        <f t="shared" si="10"/>
        <v>0</v>
      </c>
    </row>
    <row r="101" spans="1:11" ht="30">
      <c r="A101" s="91">
        <v>1301</v>
      </c>
      <c r="B101" s="87" t="s">
        <v>87</v>
      </c>
      <c r="C101" s="79">
        <v>370</v>
      </c>
      <c r="D101" s="79">
        <v>0</v>
      </c>
      <c r="E101" s="79">
        <f t="shared" si="11"/>
        <v>0</v>
      </c>
      <c r="F101" s="88"/>
      <c r="G101" s="88">
        <v>0</v>
      </c>
      <c r="H101" s="88">
        <v>0</v>
      </c>
      <c r="I101" s="89">
        <f t="shared" si="12"/>
        <v>370</v>
      </c>
      <c r="J101" s="89">
        <f t="shared" si="12"/>
        <v>0</v>
      </c>
      <c r="K101" s="90">
        <f t="shared" si="10"/>
        <v>0</v>
      </c>
    </row>
    <row r="102" spans="1:11" ht="14.25">
      <c r="A102" s="101">
        <v>1400</v>
      </c>
      <c r="B102" s="82" t="s">
        <v>64</v>
      </c>
      <c r="C102" s="83">
        <f>SUM(C103:C105)</f>
        <v>319926</v>
      </c>
      <c r="D102" s="83">
        <f>SUM(D103:D105)</f>
        <v>19095.300000000003</v>
      </c>
      <c r="E102" s="83">
        <f>D102/C102*100</f>
        <v>5.968661502972563</v>
      </c>
      <c r="F102" s="98">
        <f>F103+F104+F105</f>
        <v>0</v>
      </c>
      <c r="G102" s="98">
        <f>SUM(G103:G105)</f>
        <v>0</v>
      </c>
      <c r="H102" s="98" t="e">
        <f>G102/F102*100</f>
        <v>#DIV/0!</v>
      </c>
      <c r="I102" s="98">
        <v>0</v>
      </c>
      <c r="J102" s="98">
        <v>0</v>
      </c>
      <c r="K102" s="85">
        <v>0</v>
      </c>
    </row>
    <row r="103" spans="1:11" ht="45">
      <c r="A103" s="91">
        <v>1401</v>
      </c>
      <c r="B103" s="87" t="s">
        <v>81</v>
      </c>
      <c r="C103" s="79">
        <v>125336.3</v>
      </c>
      <c r="D103" s="79">
        <v>8355.7</v>
      </c>
      <c r="E103" s="79">
        <f t="shared" si="11"/>
        <v>6.6666241144823974</v>
      </c>
      <c r="F103" s="88">
        <v>0</v>
      </c>
      <c r="G103" s="88">
        <v>0</v>
      </c>
      <c r="H103" s="88">
        <v>0</v>
      </c>
      <c r="I103" s="89">
        <v>0</v>
      </c>
      <c r="J103" s="80">
        <v>0</v>
      </c>
      <c r="K103" s="90">
        <v>0</v>
      </c>
    </row>
    <row r="104" spans="1:11" ht="15">
      <c r="A104" s="91">
        <v>1402</v>
      </c>
      <c r="B104" s="87" t="s">
        <v>82</v>
      </c>
      <c r="C104" s="79">
        <v>177231.7</v>
      </c>
      <c r="D104" s="79">
        <v>10739.6</v>
      </c>
      <c r="E104" s="79">
        <f t="shared" si="11"/>
        <v>6.059638315267528</v>
      </c>
      <c r="F104" s="88">
        <v>0</v>
      </c>
      <c r="G104" s="88">
        <v>0</v>
      </c>
      <c r="H104" s="88">
        <v>0</v>
      </c>
      <c r="I104" s="89">
        <v>0</v>
      </c>
      <c r="J104" s="80">
        <v>0</v>
      </c>
      <c r="K104" s="90">
        <v>0</v>
      </c>
    </row>
    <row r="105" spans="1:11" ht="15">
      <c r="A105" s="91">
        <v>1403</v>
      </c>
      <c r="B105" s="87" t="s">
        <v>95</v>
      </c>
      <c r="C105" s="79">
        <v>17358</v>
      </c>
      <c r="D105" s="79">
        <v>0</v>
      </c>
      <c r="E105" s="79">
        <f t="shared" si="11"/>
        <v>0</v>
      </c>
      <c r="F105" s="88">
        <v>0</v>
      </c>
      <c r="G105" s="88">
        <v>0</v>
      </c>
      <c r="H105" s="88">
        <v>0</v>
      </c>
      <c r="I105" s="89">
        <v>0</v>
      </c>
      <c r="J105" s="80">
        <v>0</v>
      </c>
      <c r="K105" s="90">
        <v>0</v>
      </c>
    </row>
    <row r="106" spans="1:11" ht="39" customHeight="1" thickBot="1">
      <c r="A106" s="221" t="s">
        <v>65</v>
      </c>
      <c r="B106" s="222"/>
      <c r="C106" s="106">
        <f>C9+C18+C20+C25+C43+C66+C68+C76+C82+C84+C94+C98+C100+C102</f>
        <v>3339975.5</v>
      </c>
      <c r="D106" s="106">
        <f>D102+D100+D98+D94+D84+D82+D76+D68+D66+D43+D25+D20+D18+D9</f>
        <v>116128.80000000002</v>
      </c>
      <c r="E106" s="106">
        <f>D106/C106*100</f>
        <v>3.4769356841090606</v>
      </c>
      <c r="F106" s="106">
        <f>F9+F18+F20+F25+F43+F66+F68+F76+F82+F84+F94+F98+F100+F102</f>
        <v>483901.99999999994</v>
      </c>
      <c r="G106" s="106">
        <f>G102+G100+G98+G84+G82+G76+G68+G43+G25+G21+G18+G9+G20+G94</f>
        <v>14453.099999999999</v>
      </c>
      <c r="H106" s="107">
        <f>G106/F106*100</f>
        <v>2.9867824476856883</v>
      </c>
      <c r="I106" s="106">
        <f>I102+I100+I98+I94+I84+I82+I76+I68+I66+I43+I25+I20+I18+I9</f>
        <v>3461179.1</v>
      </c>
      <c r="J106" s="106">
        <f>J102+J100+J98+J94+J84+J82+J76+J68+J66+J43+J25+J20+J18+J9</f>
        <v>111160.19999999998</v>
      </c>
      <c r="K106" s="108">
        <f t="shared" si="10"/>
        <v>3.211628083620405</v>
      </c>
    </row>
    <row r="107" spans="1:11" ht="12.75">
      <c r="A107" s="9"/>
      <c r="B107" s="5"/>
      <c r="C107" s="53"/>
      <c r="D107" s="31"/>
      <c r="E107" s="41"/>
      <c r="F107" s="21"/>
      <c r="G107" s="33"/>
      <c r="H107" s="33"/>
      <c r="I107" s="45"/>
      <c r="J107" s="45"/>
      <c r="K107" s="45"/>
    </row>
    <row r="108" spans="1:11" ht="13.5" customHeight="1">
      <c r="A108" s="10"/>
      <c r="B108" s="6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>
      <c r="A109" s="10"/>
      <c r="B109" s="6"/>
      <c r="C109" s="54"/>
      <c r="D109" s="32"/>
      <c r="E109" s="41"/>
      <c r="F109" s="21"/>
      <c r="G109" s="33"/>
      <c r="H109" s="33"/>
      <c r="I109" s="44"/>
      <c r="J109" s="44"/>
      <c r="K109" s="45"/>
    </row>
    <row r="110" spans="1:11" ht="12.75">
      <c r="A110" s="220" t="s">
        <v>124</v>
      </c>
      <c r="B110" s="220"/>
      <c r="C110" s="220"/>
      <c r="D110" s="60"/>
      <c r="E110" s="61"/>
      <c r="F110" s="61"/>
      <c r="G110" s="33"/>
      <c r="H110" s="33"/>
      <c r="I110" s="45"/>
      <c r="J110" s="45"/>
      <c r="K110" s="45"/>
    </row>
    <row r="111" spans="1:11" ht="12.75">
      <c r="A111" s="220" t="s">
        <v>125</v>
      </c>
      <c r="B111" s="220"/>
      <c r="C111" s="220"/>
      <c r="D111" s="62"/>
      <c r="E111" s="241" t="s">
        <v>66</v>
      </c>
      <c r="F111" s="241"/>
      <c r="G111" s="33"/>
      <c r="H111" s="33"/>
      <c r="I111" s="44"/>
      <c r="J111" s="45"/>
      <c r="K111" s="45"/>
    </row>
    <row r="112" spans="1:11" ht="12.75" customHeight="1">
      <c r="A112" s="63"/>
      <c r="B112" s="64"/>
      <c r="C112" s="65"/>
      <c r="D112" s="66"/>
      <c r="E112" s="67"/>
      <c r="F112" s="68"/>
      <c r="G112" s="33"/>
      <c r="H112" s="33"/>
      <c r="I112" s="44"/>
      <c r="J112" s="45"/>
      <c r="K112" s="45"/>
    </row>
    <row r="113" spans="1:11" ht="12.75" customHeight="1">
      <c r="A113" s="220" t="s">
        <v>314</v>
      </c>
      <c r="B113" s="220"/>
      <c r="C113" s="220"/>
      <c r="D113" s="69"/>
      <c r="E113" s="241" t="s">
        <v>123</v>
      </c>
      <c r="F113" s="241"/>
      <c r="G113" s="33"/>
      <c r="H113" s="33"/>
      <c r="I113" s="44"/>
      <c r="J113" s="45"/>
      <c r="K113" s="45"/>
    </row>
    <row r="114" spans="1:11" ht="15" customHeight="1">
      <c r="A114" s="63"/>
      <c r="B114" s="70"/>
      <c r="C114" s="71"/>
      <c r="D114" s="72"/>
      <c r="E114" s="67"/>
      <c r="F114" s="68"/>
      <c r="G114" s="33"/>
      <c r="H114" s="33"/>
      <c r="I114" s="44"/>
      <c r="J114" s="45"/>
      <c r="K114" s="45"/>
    </row>
    <row r="115" spans="1:11" ht="12.75" customHeight="1">
      <c r="A115" s="220" t="s">
        <v>154</v>
      </c>
      <c r="B115" s="220"/>
      <c r="C115" s="220"/>
      <c r="D115" s="69"/>
      <c r="E115" s="242" t="s">
        <v>205</v>
      </c>
      <c r="F115" s="242"/>
      <c r="G115" s="33"/>
      <c r="H115" s="33"/>
      <c r="I115" s="44"/>
      <c r="J115" s="45"/>
      <c r="K115" s="45"/>
    </row>
    <row r="116" spans="1:11" ht="15" customHeight="1">
      <c r="A116" s="73"/>
      <c r="B116" s="74"/>
      <c r="C116" s="75"/>
      <c r="D116" s="60"/>
      <c r="E116" s="60"/>
      <c r="F116" s="61"/>
      <c r="G116" s="33"/>
      <c r="H116" s="33"/>
      <c r="I116" s="45"/>
      <c r="J116" s="45"/>
      <c r="K116" s="45"/>
    </row>
    <row r="117" spans="1:6" ht="12.75" customHeight="1">
      <c r="A117" s="76"/>
      <c r="B117" s="76"/>
      <c r="C117" s="77" t="s">
        <v>156</v>
      </c>
      <c r="D117" s="76" t="s">
        <v>157</v>
      </c>
      <c r="E117" s="78" t="s">
        <v>158</v>
      </c>
      <c r="F117" s="76"/>
    </row>
    <row r="118" ht="12.75" customHeight="1"/>
  </sheetData>
  <sheetProtection/>
  <mergeCells count="35">
    <mergeCell ref="A115:C115"/>
    <mergeCell ref="E115:F115"/>
    <mergeCell ref="A106:B106"/>
    <mergeCell ref="A110:C110"/>
    <mergeCell ref="A111:C111"/>
    <mergeCell ref="E111:F111"/>
    <mergeCell ref="A113:C113"/>
    <mergeCell ref="E113:F113"/>
    <mergeCell ref="A20:A21"/>
    <mergeCell ref="B20:B21"/>
    <mergeCell ref="C20:C21"/>
    <mergeCell ref="D20:D21"/>
    <mergeCell ref="G20:G21"/>
    <mergeCell ref="H20:H21"/>
    <mergeCell ref="F20:F21"/>
    <mergeCell ref="A1:K1"/>
    <mergeCell ref="A3:A8"/>
    <mergeCell ref="B3:B5"/>
    <mergeCell ref="C3:E3"/>
    <mergeCell ref="F3:H3"/>
    <mergeCell ref="K4:K5"/>
    <mergeCell ref="J4:J5"/>
    <mergeCell ref="I3:K3"/>
    <mergeCell ref="G4:G5"/>
    <mergeCell ref="E4:E5"/>
    <mergeCell ref="F4:F5"/>
    <mergeCell ref="I4:I5"/>
    <mergeCell ref="I20:I21"/>
    <mergeCell ref="H4:H5"/>
    <mergeCell ref="J20:J21"/>
    <mergeCell ref="E20:E21"/>
    <mergeCell ref="K20:K21"/>
    <mergeCell ref="C4:C5"/>
    <mergeCell ref="D4:D5"/>
    <mergeCell ref="B6:K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2015-04-06T05:20:18Z</dcterms:modified>
  <cp:category/>
  <cp:version/>
  <cp:contentType/>
  <cp:contentStatus/>
</cp:coreProperties>
</file>