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<sst xmlns="http://schemas.openxmlformats.org/spreadsheetml/2006/main" count="654" uniqueCount="250">
  <si>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</si>
  <si>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</si>
  <si>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</si>
  <si>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</si>
  <si>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</si>
  <si>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</si>
  <si>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</si>
  <si>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</si>
  <si>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</si>
  <si>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</si>
  <si>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</si>
  <si>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</si>
  <si>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</si>
  <si>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</si>
  <si>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</si>
  <si>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</si>
  <si>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</si>
  <si>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</si>
  <si>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</si>
  <si>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</si>
  <si>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</si>
  <si>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</si>
  <si>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</si>
  <si>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</si>
  <si>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</si>
  <si>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</si>
  <si>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</si>
  <si>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</si>
  <si>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</si>
  <si>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</si>
  <si>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</si>
  <si>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</si>
  <si>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</si>
  <si>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</si>
  <si>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</si>
  <si>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</si>
  <si>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</si>
  <si>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</si>
  <si>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</si>
  <si>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</si>
  <si>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</si>
  <si>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</si>
  <si>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</si>
  <si>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</si>
  <si>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КБК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</si>
  <si>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</si>
  <si>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</si>
  <si>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</si>
  <si>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</si>
  <si>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</si>
  <si>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</si>
  <si>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</si>
  <si>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</si>
  <si>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</si>
  <si>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</si>
  <si>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</si>
  <si>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</si>
  <si>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</si>
  <si>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</si>
  <si>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</si>
  <si>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</si>
  <si>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</si>
  <si>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</si>
  <si>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</si>
  <si>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</si>
  <si>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</si>
  <si>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</si>
  <si>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</si>
  <si>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</si>
  <si>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Первонач. план на 2019 год</t>
  </si>
  <si>
    <t>Уточн. план на 2019 год</t>
  </si>
  <si>
    <t xml:space="preserve">% исп-ия к уточн. плану на 2019 год </t>
  </si>
  <si>
    <t xml:space="preserve">% исп-ия к первонач. плану на 2019 год </t>
  </si>
  <si>
    <t xml:space="preserve">% исп-ия к плану за 9 месяцев 2019 года </t>
  </si>
  <si>
    <t>00020700000000000150</t>
  </si>
  <si>
    <t>Отчет об исполнении консолидированного бюджета Октябрьского района по состоянию на 01.12.2019</t>
  </si>
  <si>
    <t>Исполнение на 01.12.2019</t>
  </si>
  <si>
    <t>Отчет  об  исполнении  консолидированного  бюджета  района  по  расходам на 1 декабря 2019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</si>
  <si>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</si>
  <si>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</si>
  <si>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</si>
  <si>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</si>
  <si>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</si>
  <si>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</si>
  <si>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01.12.2019</t>
  </si>
  <si>
    <t>% исполнения</t>
  </si>
  <si>
    <t>исполнения на 01.12.2019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</si>
  <si>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</si>
  <si>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</si>
  <si>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</si>
  <si>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</si>
  <si>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</si>
  <si>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</si>
  <si>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</si>
  <si>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</si>
  <si>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</si>
  <si>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</si>
  <si>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</si>
  <si>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</si>
  <si>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</si>
  <si>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</si>
  <si>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</si>
  <si>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</si>
  <si>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</si>
  <si>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</si>
  <si>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</si>
  <si>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</si>
  <si>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</si>
  <si>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</si>
  <si>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</si>
  <si>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</si>
  <si>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</si>
  <si>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</si>
  <si>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</si>
  <si>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</si>
  <si>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</si>
  <si>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</si>
  <si>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</si>
  <si>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</si>
  <si>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</si>
  <si>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</si>
  <si>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</si>
  <si>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</si>
  <si>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</si>
  <si>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</si>
  <si>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</si>
  <si>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</si>
  <si>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</si>
  <si>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</si>
  <si>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</si>
  <si>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</si>
  <si>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(1110199990, 1150182730, 11501S2730)  (дорожный фонд)</t>
  </si>
  <si>
    <t>Основное мероприятие "Внедрение автоматизированных и роботизированных технологий организации дорожного движения и контроля за соблюдением правил дорожного движения" (1150199999)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</si>
  <si>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(150029990)</t>
  </si>
  <si>
    <t>Основное мероприятие "Реализация мероприятий в рамках дорожной деятельности" (2200299990)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</si>
  <si>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</si>
  <si>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</si>
  <si>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</si>
  <si>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</si>
  <si>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</si>
  <si>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района" земля (1800299990)</t>
  </si>
  <si>
    <t>Расходы на стимулирование развития жилищного строительства (0910282671, 09102S2671)</t>
  </si>
  <si>
    <t>Реализация мероприятий муниципальной программы "Поддержка малого и среднего предпринимательства в Октябрьском районе" (0800299990, 0800199990, 080I8S2380) местный бюджет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</si>
  <si>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районе" (080I482380, 080I882380, 080I4S2380) окружной бюджет</t>
  </si>
  <si>
    <t>Осуществление полномочий по государственному управлению охраной труда (1910184120) тс. 01.30.39</t>
  </si>
  <si>
    <t>Осуществление полномочий по государственному управлению охраной труда (1910199990) местный бюджет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</si>
  <si>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</si>
  <si>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</si>
  <si>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</si>
  <si>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</si>
  <si>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09101S2661, 091F382661, 091F3S2661, 0910199990 ) 01.40.04, 01.02.00, 01.00.00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</si>
  <si>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</si>
  <si>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</si>
  <si>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</si>
  <si>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"Реализация мероприятий обеспечения качественными коммунальными услугами" (1010199990)</t>
  </si>
  <si>
    <t>Капитальный ремонт жилого фонда 1030142120 (40600S2420,  40600S2430, 4060099990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</si>
  <si>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</si>
  <si>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на теплоснабжение, водоснабжение, водоотведение, услуги бани) (1020161100 т.с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</si>
  <si>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01.04)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</si>
  <si>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</si>
  <si>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</si>
  <si>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 "Жилищно-коммунальный комплекс и городская среда в муниципальном образовании Октябрьский район" 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</si>
  <si>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"Жилищно-коммунальный комплекс и городская среда в муниципальном образовании Октябрьский район" ОЗП (1010182591, 10101S2591, 1010199990)</t>
  </si>
  <si>
    <t>Реконструкция, расширение, модернизация, строительство и капитальный ремонт коммунального комплекса (1010182190, 10101S2190)</t>
  </si>
  <si>
    <t>Повышение эффективности, качества и надежности поставки коммунальных ресурсов (2110199990)</t>
  </si>
  <si>
    <t>Расходы на капитальный ремонт муниципального жилищного фонда (1030142120)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</si>
  <si>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(4060061100, 40600221400, 4060021410)</t>
  </si>
  <si>
    <t>Подготовка к зиме (4060099990)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</si>
  <si>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(4110089020)</t>
  </si>
  <si>
    <t>0503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</si>
  <si>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(150019990)</t>
  </si>
  <si>
    <t>Иные межбюджетные трансферты на финансирование наказов избирателей депутатам Думы ХМАО-Югры  (4120085160)</t>
  </si>
  <si>
    <t>"Улучшение экологической ситуации на территории Октябрьского района" строительство и реконструкция объектов муниципальной собственности (0600142110)</t>
  </si>
  <si>
    <t>"Улучшение экологической ситуации на территории Октябрьского района"  утилизация  отходов на территории муниципального образования Октябрьский район (0600299990)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</si>
  <si>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</si>
  <si>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</si>
  <si>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</si>
  <si>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</si>
  <si>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благоустройство территорий муниципальных образований (105F2S2600)</t>
  </si>
  <si>
    <t>Увеличение количества благоустроенных дворовых территорий и мест общего пользования (1050199990)</t>
  </si>
  <si>
    <t>Внешнее благоустройство 1060199990 (4060099990)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</si>
  <si>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</si>
  <si>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</si>
  <si>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</si>
  <si>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</si>
  <si>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</si>
  <si>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</si>
  <si>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</si>
  <si>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</si>
  <si>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</si>
  <si>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</si>
  <si>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(0140482030, 01404S2030) 01.40.18 и местн.</t>
  </si>
  <si>
    <t>0702</t>
  </si>
  <si>
    <t>Общее образование</t>
  </si>
  <si>
    <t>Бесплатное питание (0140284030)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</si>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</sst>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_-* #,##0.0_р_._-;\-* #,##0.0_р_._-;_-* &quot;-&quot;?_р_._-;_-@_-"/>
    <numFmt numFmtId="180" formatCode="_-* #,##0.0\ _₽_-;\-* #,##0.0\ _₽_-;_-* &quot;-&quot;?\ _₽_-;_-@_-"/>
    <numFmt numFmtId="181" formatCode="#,##0.00_ ;\-#,##0.00\ "/>
  </numFmts>
  <fonts count="54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1"/>
      <color indexed="10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3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176" fontId="5" fillId="0" borderId="10" xfId="0" applyNumberFormat="1" applyFont="1" applyFill="1" applyBorder="1" applyAlignment="1">
      <alignment horizontal="right" vertical="top"/>
    </xf>
    <xf numFmtId="176" fontId="5" fillId="0" borderId="10" xfId="0" applyNumberFormat="1" applyFont="1" applyFill="1" applyBorder="1" applyAlignment="1">
      <alignment vertical="top"/>
    </xf>
    <xf numFmtId="176" fontId="5" fillId="0" borderId="11" xfId="0" applyNumberFormat="1" applyFont="1" applyFill="1" applyBorder="1" applyAlignment="1">
      <alignment horizontal="right" vertical="top"/>
    </xf>
    <xf numFmtId="176" fontId="4" fillId="0" borderId="10" xfId="0" applyNumberFormat="1" applyFont="1" applyFill="1" applyBorder="1" applyAlignment="1">
      <alignment vertical="top"/>
    </xf>
    <xf numFmtId="176" fontId="4" fillId="0" borderId="11" xfId="0" applyNumberFormat="1" applyFont="1" applyFill="1" applyBorder="1" applyAlignment="1">
      <alignment horizontal="right" vertical="top"/>
    </xf>
    <xf numFmtId="176" fontId="1" fillId="0" borderId="10" xfId="0" applyNumberFormat="1" applyFont="1" applyFill="1" applyBorder="1" applyAlignment="1">
      <alignment horizontal="right" vertical="top" wrapText="1"/>
    </xf>
    <xf numFmtId="177" fontId="5" fillId="0" borderId="10" xfId="0" applyNumberFormat="1" applyFont="1" applyFill="1" applyBorder="1" applyAlignment="1">
      <alignment vertical="top"/>
    </xf>
    <xf numFmtId="176" fontId="2" fillId="0" borderId="10" xfId="0" applyNumberFormat="1" applyFont="1" applyFill="1" applyBorder="1" applyAlignment="1">
      <alignment horizontal="right" vertical="top" wrapText="1"/>
    </xf>
    <xf numFmtId="176" fontId="0" fillId="0" borderId="0" xfId="0" applyNumberFormat="1" applyFill="1" applyAlignment="1">
      <alignment vertical="top" wrapText="1"/>
    </xf>
    <xf numFmtId="176" fontId="2" fillId="0" borderId="1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176" fontId="4" fillId="0" borderId="10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176" fontId="5" fillId="0" borderId="11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176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/>
    </xf>
    <xf numFmtId="176" fontId="2" fillId="0" borderId="10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 shrinkToFit="1"/>
    </xf>
    <xf numFmtId="176" fontId="2" fillId="0" borderId="10" xfId="0" applyNumberFormat="1" applyFont="1" applyFill="1" applyBorder="1" applyAlignment="1">
      <alignment vertical="top" wrapText="1" shrinkToFit="1"/>
    </xf>
    <xf numFmtId="49" fontId="2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/>
    </xf>
    <xf numFmtId="49" fontId="5" fillId="0" borderId="16" xfId="0" applyNumberFormat="1" applyFont="1" applyFill="1" applyBorder="1" applyAlignment="1">
      <alignment horizontal="center" vertical="top"/>
    </xf>
    <xf numFmtId="176" fontId="2" fillId="0" borderId="16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6" fontId="4" fillId="0" borderId="13" xfId="0" applyNumberFormat="1" applyFont="1" applyFill="1" applyBorder="1" applyAlignment="1">
      <alignment vertical="top"/>
    </xf>
    <xf numFmtId="0" fontId="2" fillId="0" borderId="17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/>
    </xf>
    <xf numFmtId="49" fontId="5" fillId="0" borderId="13" xfId="0" applyNumberFormat="1" applyFont="1" applyFill="1" applyBorder="1" applyAlignment="1">
      <alignment horizontal="left" vertical="top"/>
    </xf>
    <xf numFmtId="49" fontId="2" fillId="0" borderId="16" xfId="0" applyNumberFormat="1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176" fontId="4" fillId="0" borderId="18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170" fontId="2" fillId="0" borderId="12" xfId="42" applyFont="1" applyFill="1" applyBorder="1" applyAlignment="1">
      <alignment horizontal="center" vertical="top" wrapText="1"/>
    </xf>
    <xf numFmtId="170" fontId="2" fillId="0" borderId="18" xfId="42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49" fontId="25" fillId="0" borderId="21" xfId="53" applyNumberFormat="1" applyFont="1" applyBorder="1" applyAlignment="1">
      <alignment horizontal="center" vertical="center" wrapText="1"/>
      <protection/>
    </xf>
    <xf numFmtId="0" fontId="25" fillId="0" borderId="22" xfId="53" applyNumberFormat="1" applyFont="1" applyBorder="1" applyAlignment="1">
      <alignment horizontal="center" vertical="center" wrapText="1"/>
      <protection/>
    </xf>
    <xf numFmtId="179" fontId="26" fillId="0" borderId="22" xfId="53" applyNumberFormat="1" applyFont="1" applyFill="1" applyBorder="1" applyAlignment="1">
      <alignment horizontal="center" vertical="center" wrapText="1"/>
      <protection/>
    </xf>
    <xf numFmtId="179" fontId="26" fillId="0" borderId="22" xfId="0" applyNumberFormat="1" applyFont="1" applyBorder="1" applyAlignment="1">
      <alignment horizontal="center" vertical="center" wrapText="1"/>
    </xf>
    <xf numFmtId="179" fontId="27" fillId="0" borderId="22" xfId="0" applyNumberFormat="1" applyFont="1" applyFill="1" applyBorder="1" applyAlignment="1">
      <alignment horizontal="center" vertical="center" wrapText="1"/>
    </xf>
    <xf numFmtId="179" fontId="27" fillId="0" borderId="23" xfId="0" applyNumberFormat="1" applyFont="1" applyFill="1" applyBorder="1" applyAlignment="1">
      <alignment horizontal="center" vertical="center" wrapText="1"/>
    </xf>
    <xf numFmtId="49" fontId="25" fillId="0" borderId="24" xfId="53" applyNumberFormat="1" applyFont="1" applyBorder="1" applyAlignment="1">
      <alignment horizontal="center" vertical="center" wrapText="1"/>
      <protection/>
    </xf>
    <xf numFmtId="0" fontId="25" fillId="0" borderId="10" xfId="53" applyNumberFormat="1" applyFont="1" applyBorder="1" applyAlignment="1">
      <alignment horizontal="center" vertical="center" wrapText="1"/>
      <protection/>
    </xf>
    <xf numFmtId="179" fontId="26" fillId="33" borderId="10" xfId="53" applyNumberFormat="1" applyFont="1" applyFill="1" applyBorder="1" applyAlignment="1">
      <alignment horizontal="center" vertical="center" wrapText="1"/>
      <protection/>
    </xf>
    <xf numFmtId="179" fontId="26" fillId="0" borderId="10" xfId="53" applyNumberFormat="1" applyFont="1" applyFill="1" applyBorder="1" applyAlignment="1">
      <alignment horizontal="center" vertical="center" wrapText="1"/>
      <protection/>
    </xf>
    <xf numFmtId="179" fontId="26" fillId="0" borderId="10" xfId="53" applyNumberFormat="1" applyFont="1" applyBorder="1" applyAlignment="1">
      <alignment horizontal="center" vertical="center" wrapText="1"/>
      <protection/>
    </xf>
    <xf numFmtId="179" fontId="27" fillId="0" borderId="10" xfId="53" applyNumberFormat="1" applyFont="1" applyFill="1" applyBorder="1" applyAlignment="1">
      <alignment horizontal="center" vertical="center" wrapText="1"/>
      <protection/>
    </xf>
    <xf numFmtId="179" fontId="27" fillId="33" borderId="10" xfId="53" applyNumberFormat="1" applyFont="1" applyFill="1" applyBorder="1" applyAlignment="1">
      <alignment horizontal="center" vertical="center" wrapText="1"/>
      <protection/>
    </xf>
    <xf numFmtId="179" fontId="27" fillId="0" borderId="25" xfId="53" applyNumberFormat="1" applyFont="1" applyBorder="1" applyAlignment="1">
      <alignment horizontal="center" vertical="center" wrapText="1"/>
      <protection/>
    </xf>
    <xf numFmtId="179" fontId="26" fillId="33" borderId="10" xfId="0" applyNumberFormat="1" applyFont="1" applyFill="1" applyBorder="1" applyAlignment="1">
      <alignment horizontal="center" vertical="center" wrapText="1"/>
    </xf>
    <xf numFmtId="179" fontId="26" fillId="0" borderId="10" xfId="0" applyNumberFormat="1" applyFont="1" applyBorder="1" applyAlignment="1">
      <alignment horizontal="center" vertical="center" wrapText="1"/>
    </xf>
    <xf numFmtId="179" fontId="27" fillId="0" borderId="10" xfId="0" applyNumberFormat="1" applyFont="1" applyBorder="1" applyAlignment="1">
      <alignment horizontal="center" vertical="center" wrapText="1"/>
    </xf>
    <xf numFmtId="179" fontId="27" fillId="0" borderId="25" xfId="0" applyNumberFormat="1" applyFont="1" applyBorder="1" applyAlignment="1">
      <alignment horizontal="center" vertical="center" wrapText="1"/>
    </xf>
    <xf numFmtId="0" fontId="28" fillId="0" borderId="10" xfId="53" applyNumberFormat="1" applyFont="1" applyFill="1" applyBorder="1" applyAlignment="1">
      <alignment horizontal="center" vertical="center" wrapText="1"/>
      <protection/>
    </xf>
    <xf numFmtId="0" fontId="28" fillId="0" borderId="25" xfId="53" applyNumberFormat="1" applyFont="1" applyFill="1" applyBorder="1" applyAlignment="1">
      <alignment horizontal="center" vertical="center" wrapText="1"/>
      <protection/>
    </xf>
    <xf numFmtId="49" fontId="28" fillId="34" borderId="24" xfId="53" applyNumberFormat="1" applyFont="1" applyFill="1" applyBorder="1" applyAlignment="1" quotePrefix="1">
      <alignment horizontal="center" vertical="center" wrapText="1"/>
      <protection/>
    </xf>
    <xf numFmtId="0" fontId="28" fillId="34" borderId="10" xfId="53" applyNumberFormat="1" applyFont="1" applyFill="1" applyBorder="1" applyAlignment="1">
      <alignment horizontal="left" vertical="center" wrapText="1"/>
      <protection/>
    </xf>
    <xf numFmtId="179" fontId="27" fillId="35" borderId="10" xfId="53" applyNumberFormat="1" applyFont="1" applyFill="1" applyBorder="1" applyAlignment="1">
      <alignment horizontal="center" vertical="center" wrapText="1"/>
      <protection/>
    </xf>
    <xf numFmtId="179" fontId="26" fillId="35" borderId="10" xfId="0" applyNumberFormat="1" applyFont="1" applyFill="1" applyBorder="1" applyAlignment="1">
      <alignment horizontal="center" vertical="center" wrapText="1"/>
    </xf>
    <xf numFmtId="179" fontId="27" fillId="34" borderId="25" xfId="0" applyNumberFormat="1" applyFont="1" applyFill="1" applyBorder="1" applyAlignment="1">
      <alignment horizontal="center" vertical="center" wrapText="1"/>
    </xf>
    <xf numFmtId="49" fontId="25" fillId="0" borderId="24" xfId="53" applyNumberFormat="1" applyFont="1" applyFill="1" applyBorder="1" applyAlignment="1" quotePrefix="1">
      <alignment horizontal="center" vertical="center" wrapText="1"/>
      <protection/>
    </xf>
    <xf numFmtId="0" fontId="25" fillId="0" borderId="10" xfId="53" applyNumberFormat="1" applyFont="1" applyFill="1" applyBorder="1" applyAlignment="1">
      <alignment horizontal="left" vertical="center" wrapText="1"/>
      <protection/>
    </xf>
    <xf numFmtId="179" fontId="26" fillId="33" borderId="10" xfId="53" applyNumberFormat="1" applyFont="1" applyFill="1" applyBorder="1" applyAlignment="1">
      <alignment horizontal="center" vertical="center" wrapText="1"/>
      <protection/>
    </xf>
    <xf numFmtId="179" fontId="26" fillId="0" borderId="10" xfId="53" applyNumberFormat="1" applyFont="1" applyFill="1" applyBorder="1" applyAlignment="1">
      <alignment horizontal="center" vertical="center" wrapText="1"/>
      <protection/>
    </xf>
    <xf numFmtId="179" fontId="26" fillId="33" borderId="10" xfId="0" applyNumberFormat="1" applyFont="1" applyFill="1" applyBorder="1" applyAlignment="1">
      <alignment horizontal="center" vertical="center" wrapText="1"/>
    </xf>
    <xf numFmtId="179" fontId="26" fillId="0" borderId="10" xfId="0" applyNumberFormat="1" applyFont="1" applyFill="1" applyBorder="1" applyAlignment="1">
      <alignment horizontal="center" vertical="center" wrapText="1"/>
    </xf>
    <xf numFmtId="179" fontId="27" fillId="0" borderId="10" xfId="0" applyNumberFormat="1" applyFont="1" applyFill="1" applyBorder="1" applyAlignment="1">
      <alignment horizontal="center" vertical="center" wrapText="1"/>
    </xf>
    <xf numFmtId="179" fontId="27" fillId="33" borderId="10" xfId="0" applyNumberFormat="1" applyFont="1" applyFill="1" applyBorder="1" applyAlignment="1">
      <alignment horizontal="center" vertical="center" wrapText="1"/>
    </xf>
    <xf numFmtId="179" fontId="27" fillId="0" borderId="25" xfId="0" applyNumberFormat="1" applyFont="1" applyFill="1" applyBorder="1" applyAlignment="1">
      <alignment horizontal="center" vertical="center" wrapText="1"/>
    </xf>
    <xf numFmtId="179" fontId="51" fillId="33" borderId="10" xfId="0" applyNumberFormat="1" applyFont="1" applyFill="1" applyBorder="1" applyAlignment="1">
      <alignment horizontal="center" vertical="center" wrapText="1"/>
    </xf>
    <xf numFmtId="49" fontId="25" fillId="0" borderId="24" xfId="53" applyNumberFormat="1" applyFont="1" applyFill="1" applyBorder="1" applyAlignment="1">
      <alignment horizontal="center" vertical="center" wrapText="1"/>
      <protection/>
    </xf>
    <xf numFmtId="179" fontId="51" fillId="36" borderId="10" xfId="0" applyNumberFormat="1" applyFont="1" applyFill="1" applyBorder="1" applyAlignment="1">
      <alignment horizontal="center" vertical="center" wrapText="1"/>
    </xf>
    <xf numFmtId="179" fontId="27" fillId="36" borderId="10" xfId="0" applyNumberFormat="1" applyFont="1" applyFill="1" applyBorder="1" applyAlignment="1">
      <alignment horizontal="center" vertical="center" wrapText="1"/>
    </xf>
    <xf numFmtId="179" fontId="26" fillId="35" borderId="10" xfId="53" applyNumberFormat="1" applyFont="1" applyFill="1" applyBorder="1" applyAlignment="1">
      <alignment horizontal="center" vertical="center" wrapText="1"/>
      <protection/>
    </xf>
    <xf numFmtId="179" fontId="27" fillId="35" borderId="25" xfId="53" applyNumberFormat="1" applyFont="1" applyFill="1" applyBorder="1" applyAlignment="1">
      <alignment horizontal="center" vertical="center" wrapText="1"/>
      <protection/>
    </xf>
    <xf numFmtId="49" fontId="28" fillId="34" borderId="24" xfId="53" applyNumberFormat="1" applyFont="1" applyFill="1" applyBorder="1" applyAlignment="1" quotePrefix="1">
      <alignment horizontal="center" vertical="center" wrapText="1"/>
      <protection/>
    </xf>
    <xf numFmtId="0" fontId="28" fillId="34" borderId="10" xfId="53" applyNumberFormat="1" applyFont="1" applyFill="1" applyBorder="1" applyAlignment="1">
      <alignment horizontal="left" vertical="center" wrapText="1"/>
      <protection/>
    </xf>
    <xf numFmtId="179" fontId="27" fillId="35" borderId="10" xfId="53" applyNumberFormat="1" applyFont="1" applyFill="1" applyBorder="1" applyAlignment="1">
      <alignment horizontal="center" vertical="center" wrapText="1"/>
      <protection/>
    </xf>
    <xf numFmtId="179" fontId="27" fillId="35" borderId="25" xfId="0" applyNumberFormat="1" applyFont="1" applyFill="1" applyBorder="1" applyAlignment="1">
      <alignment horizontal="center" vertical="center" wrapText="1"/>
    </xf>
    <xf numFmtId="0" fontId="25" fillId="37" borderId="10" xfId="53" applyNumberFormat="1" applyFont="1" applyFill="1" applyBorder="1" applyAlignment="1">
      <alignment horizontal="left" vertical="center" wrapText="1"/>
      <protection/>
    </xf>
    <xf numFmtId="0" fontId="26" fillId="0" borderId="10" xfId="52" applyNumberFormat="1" applyFont="1" applyFill="1" applyBorder="1" applyAlignment="1" applyProtection="1">
      <alignment horizontal="left" vertical="center" wrapText="1"/>
      <protection hidden="1"/>
    </xf>
    <xf numFmtId="179" fontId="27" fillId="35" borderId="10" xfId="0" applyNumberFormat="1" applyFont="1" applyFill="1" applyBorder="1" applyAlignment="1">
      <alignment horizontal="center" vertical="center" wrapText="1"/>
    </xf>
    <xf numFmtId="49" fontId="25" fillId="33" borderId="24" xfId="53" applyNumberFormat="1" applyFont="1" applyFill="1" applyBorder="1" applyAlignment="1" quotePrefix="1">
      <alignment horizontal="center" vertical="center" wrapText="1"/>
      <protection/>
    </xf>
    <xf numFmtId="2" fontId="27" fillId="0" borderId="25" xfId="0" applyNumberFormat="1" applyFont="1" applyFill="1" applyBorder="1" applyAlignment="1">
      <alignment horizontal="center" vertical="center" wrapText="1"/>
    </xf>
    <xf numFmtId="179" fontId="52" fillId="36" borderId="10" xfId="0" applyNumberFormat="1" applyFont="1" applyFill="1" applyBorder="1" applyAlignment="1">
      <alignment horizontal="center" vertical="center" wrapText="1"/>
    </xf>
    <xf numFmtId="179" fontId="27" fillId="38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177" fontId="27" fillId="0" borderId="25" xfId="0" applyNumberFormat="1" applyFont="1" applyFill="1" applyBorder="1" applyAlignment="1">
      <alignment horizontal="center" vertical="center" wrapText="1"/>
    </xf>
    <xf numFmtId="49" fontId="28" fillId="34" borderId="24" xfId="53" applyNumberFormat="1" applyFont="1" applyFill="1" applyBorder="1" applyAlignment="1">
      <alignment horizontal="center" vertical="center" wrapText="1"/>
      <protection/>
    </xf>
    <xf numFmtId="0" fontId="28" fillId="34" borderId="10" xfId="0" applyNumberFormat="1" applyFont="1" applyFill="1" applyBorder="1" applyAlignment="1">
      <alignment horizontal="left" vertical="center" wrapText="1"/>
    </xf>
    <xf numFmtId="177" fontId="27" fillId="35" borderId="25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179" fontId="26" fillId="39" borderId="10" xfId="53" applyNumberFormat="1" applyFont="1" applyFill="1" applyBorder="1" applyAlignment="1">
      <alignment horizontal="center" vertical="center" wrapText="1"/>
      <protection/>
    </xf>
    <xf numFmtId="179" fontId="26" fillId="39" borderId="10" xfId="0" applyNumberFormat="1" applyFont="1" applyFill="1" applyBorder="1" applyAlignment="1">
      <alignment horizontal="center" vertical="center" wrapText="1"/>
    </xf>
    <xf numFmtId="49" fontId="26" fillId="0" borderId="24" xfId="53" applyNumberFormat="1" applyFont="1" applyFill="1" applyBorder="1" applyAlignment="1">
      <alignment horizontal="center" vertical="center" wrapText="1"/>
      <protection/>
    </xf>
    <xf numFmtId="0" fontId="26" fillId="0" borderId="10" xfId="53" applyNumberFormat="1" applyFont="1" applyFill="1" applyBorder="1" applyAlignment="1">
      <alignment horizontal="left" vertical="center" wrapText="1"/>
      <protection/>
    </xf>
    <xf numFmtId="179" fontId="27" fillId="34" borderId="25" xfId="53" applyNumberFormat="1" applyFont="1" applyFill="1" applyBorder="1" applyAlignment="1">
      <alignment horizontal="center" vertical="center" wrapText="1"/>
      <protection/>
    </xf>
    <xf numFmtId="0" fontId="31" fillId="6" borderId="26" xfId="53" applyNumberFormat="1" applyFont="1" applyFill="1" applyBorder="1" applyAlignment="1">
      <alignment horizontal="center" vertical="center" wrapText="1"/>
      <protection/>
    </xf>
    <xf numFmtId="0" fontId="31" fillId="6" borderId="27" xfId="53" applyNumberFormat="1" applyFont="1" applyFill="1" applyBorder="1" applyAlignment="1">
      <alignment horizontal="center" vertical="center" wrapText="1"/>
      <protection/>
    </xf>
    <xf numFmtId="179" fontId="27" fillId="40" borderId="27" xfId="53" applyNumberFormat="1" applyFont="1" applyFill="1" applyBorder="1" applyAlignment="1">
      <alignment horizontal="center" vertical="center" wrapText="1"/>
      <protection/>
    </xf>
    <xf numFmtId="179" fontId="27" fillId="40" borderId="27" xfId="0" applyNumberFormat="1" applyFont="1" applyFill="1" applyBorder="1" applyAlignment="1">
      <alignment horizontal="center" vertical="center" wrapText="1"/>
    </xf>
    <xf numFmtId="179" fontId="27" fillId="40" borderId="28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179" fontId="26" fillId="0" borderId="10" xfId="0" applyNumberFormat="1" applyFont="1" applyBorder="1" applyAlignment="1">
      <alignment horizontal="center" vertical="center"/>
    </xf>
    <xf numFmtId="0" fontId="32" fillId="0" borderId="0" xfId="53" applyNumberFormat="1" applyFont="1" applyAlignment="1">
      <alignment horizontal="center" vertical="center" wrapText="1"/>
      <protection/>
    </xf>
    <xf numFmtId="0" fontId="26" fillId="0" borderId="0" xfId="0" applyFont="1" applyAlignment="1">
      <alignment/>
    </xf>
    <xf numFmtId="49" fontId="25" fillId="0" borderId="0" xfId="53" applyNumberFormat="1" applyFont="1" applyAlignment="1">
      <alignment horizontal="center" vertical="center" wrapText="1"/>
      <protection/>
    </xf>
    <xf numFmtId="0" fontId="25" fillId="0" borderId="0" xfId="53" applyNumberFormat="1" applyFont="1" applyAlignment="1">
      <alignment horizontal="left" vertical="center" wrapText="1"/>
      <protection/>
    </xf>
    <xf numFmtId="179" fontId="53" fillId="33" borderId="0" xfId="53" applyNumberFormat="1" applyFont="1" applyFill="1" applyAlignment="1">
      <alignment horizontal="center" vertical="center" wrapText="1"/>
      <protection/>
    </xf>
    <xf numFmtId="179" fontId="26" fillId="33" borderId="0" xfId="53" applyNumberFormat="1" applyFont="1" applyFill="1" applyBorder="1" applyAlignment="1">
      <alignment horizontal="center" vertical="center" wrapText="1"/>
      <protection/>
    </xf>
    <xf numFmtId="179" fontId="26" fillId="0" borderId="0" xfId="53" applyNumberFormat="1" applyFont="1" applyFill="1" applyAlignment="1">
      <alignment horizontal="center" vertical="center" wrapText="1"/>
      <protection/>
    </xf>
    <xf numFmtId="179" fontId="26" fillId="33" borderId="0" xfId="0" applyNumberFormat="1" applyFont="1" applyFill="1" applyAlignment="1">
      <alignment horizontal="center" vertical="center" wrapText="1"/>
    </xf>
    <xf numFmtId="179" fontId="26" fillId="0" borderId="0" xfId="0" applyNumberFormat="1" applyFont="1" applyAlignment="1">
      <alignment horizontal="center" vertical="center" wrapText="1"/>
    </xf>
    <xf numFmtId="179" fontId="27" fillId="0" borderId="0" xfId="0" applyNumberFormat="1" applyFont="1" applyFill="1" applyAlignment="1">
      <alignment horizontal="center" vertical="center" wrapText="1"/>
    </xf>
    <xf numFmtId="179" fontId="27" fillId="33" borderId="0" xfId="0" applyNumberFormat="1" applyFont="1" applyFill="1" applyAlignment="1">
      <alignment horizontal="center" vertical="center" wrapText="1"/>
    </xf>
    <xf numFmtId="179" fontId="27" fillId="0" borderId="0" xfId="0" applyNumberFormat="1" applyFont="1" applyAlignment="1">
      <alignment horizontal="center" vertical="center" wrapText="1"/>
    </xf>
    <xf numFmtId="180" fontId="26" fillId="0" borderId="0" xfId="0" applyNumberFormat="1" applyFont="1" applyAlignment="1">
      <alignment/>
    </xf>
    <xf numFmtId="49" fontId="25" fillId="0" borderId="0" xfId="53" applyNumberFormat="1" applyFont="1" applyFill="1" applyBorder="1" applyAlignment="1">
      <alignment horizontal="center" vertical="center" wrapText="1"/>
      <protection/>
    </xf>
    <xf numFmtId="0" fontId="25" fillId="0" borderId="0" xfId="53" applyNumberFormat="1" applyFont="1" applyFill="1" applyBorder="1" applyAlignment="1">
      <alignment horizontal="left" vertical="center" wrapText="1"/>
      <protection/>
    </xf>
    <xf numFmtId="181" fontId="53" fillId="33" borderId="0" xfId="53" applyNumberFormat="1" applyFont="1" applyFill="1" applyBorder="1" applyAlignment="1">
      <alignment horizontal="center" vertical="center" wrapText="1"/>
      <protection/>
    </xf>
    <xf numFmtId="179" fontId="27" fillId="0" borderId="0" xfId="53" applyNumberFormat="1" applyFont="1" applyFill="1" applyBorder="1" applyAlignment="1">
      <alignment horizontal="center" vertical="center" wrapText="1"/>
      <protection/>
    </xf>
    <xf numFmtId="49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left" vertical="center" wrapText="1"/>
    </xf>
    <xf numFmtId="179" fontId="53" fillId="33" borderId="0" xfId="0" applyNumberFormat="1" applyFont="1" applyFill="1" applyBorder="1" applyAlignment="1">
      <alignment horizontal="center" vertical="center" wrapText="1"/>
    </xf>
    <xf numFmtId="179" fontId="53" fillId="0" borderId="0" xfId="0" applyNumberFormat="1" applyFont="1" applyFill="1" applyBorder="1" applyAlignment="1">
      <alignment horizontal="center" vertical="center" wrapText="1"/>
    </xf>
    <xf numFmtId="179" fontId="26" fillId="33" borderId="0" xfId="0" applyNumberFormat="1" applyFont="1" applyFill="1" applyBorder="1" applyAlignment="1">
      <alignment horizontal="center" vertical="center" wrapText="1"/>
    </xf>
    <xf numFmtId="0" fontId="25" fillId="0" borderId="0" xfId="53" applyNumberFormat="1" applyFont="1" applyFill="1" applyBorder="1" applyAlignment="1">
      <alignment horizontal="right" vertical="center" wrapText="1"/>
      <protection/>
    </xf>
    <xf numFmtId="179" fontId="26" fillId="33" borderId="16" xfId="53" applyNumberFormat="1" applyFont="1" applyFill="1" applyBorder="1" applyAlignment="1">
      <alignment horizontal="center" vertical="center" wrapText="1"/>
      <protection/>
    </xf>
    <xf numFmtId="179" fontId="26" fillId="0" borderId="0" xfId="53" applyNumberFormat="1" applyFont="1" applyFill="1" applyBorder="1" applyAlignment="1">
      <alignment horizontal="left" vertical="center" wrapText="1"/>
      <protection/>
    </xf>
    <xf numFmtId="49" fontId="25" fillId="0" borderId="0" xfId="0" applyNumberFormat="1" applyFont="1" applyFill="1" applyBorder="1" applyAlignment="1">
      <alignment horizontal="right" vertical="center" wrapText="1"/>
    </xf>
    <xf numFmtId="179" fontId="53" fillId="33" borderId="0" xfId="53" applyNumberFormat="1" applyFont="1" applyFill="1" applyBorder="1" applyAlignment="1">
      <alignment horizontal="center" vertical="center" wrapText="1"/>
      <protection/>
    </xf>
    <xf numFmtId="179" fontId="26" fillId="0" borderId="0" xfId="0" applyNumberFormat="1" applyFont="1" applyFill="1" applyBorder="1" applyAlignment="1">
      <alignment horizontal="left" vertical="center" wrapText="1"/>
    </xf>
    <xf numFmtId="179" fontId="26" fillId="33" borderId="0" xfId="0" applyNumberFormat="1" applyFont="1" applyFill="1" applyAlignment="1">
      <alignment horizontal="left" vertical="center" wrapText="1"/>
    </xf>
    <xf numFmtId="179" fontId="26" fillId="33" borderId="16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79" fontId="53" fillId="33" borderId="0" xfId="0" applyNumberFormat="1" applyFont="1" applyFill="1" applyAlignment="1">
      <alignment horizontal="center" vertical="center" wrapText="1"/>
    </xf>
    <xf numFmtId="179" fontId="26" fillId="0" borderId="0" xfId="0" applyNumberFormat="1" applyFont="1" applyFill="1" applyAlignment="1">
      <alignment horizontal="center" vertical="center" wrapText="1"/>
    </xf>
    <xf numFmtId="0" fontId="26" fillId="33" borderId="0" xfId="0" applyFont="1" applyFill="1" applyAlignment="1">
      <alignment horizontal="right"/>
    </xf>
    <xf numFmtId="0" fontId="26" fillId="33" borderId="16" xfId="0" applyFont="1" applyFill="1" applyBorder="1" applyAlignment="1">
      <alignment/>
    </xf>
    <xf numFmtId="0" fontId="26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7"/>
  <sheetViews>
    <sheetView zoomScalePageLayoutView="0" workbookViewId="0" topLeftCell="A1">
      <pane ySplit="1" topLeftCell="A202" activePane="bottomLeft" state="frozen"/>
      <selection pane="topLeft" activeCell="A1" sqref="A1"/>
      <selection pane="bottomLeft" activeCell="F229" sqref="F229"/>
    </sheetView>
  </sheetViews>
  <sheetFormatPr defaultColWidth="9.00390625" defaultRowHeight="12.75"/>
  <cols>
    <col min="1" max="1" width="21.25390625" style="1" customWidth="1"/>
    <col min="2" max="2" width="6.75390625" style="1" hidden="1" customWidth="1"/>
    <col min="3" max="3" width="49.00390625" style="1" customWidth="1"/>
    <col min="4" max="4" width="10.375" style="1" customWidth="1"/>
    <col min="5" max="5" width="11.625" style="1" customWidth="1"/>
    <col min="6" max="6" width="11.00390625" style="1" customWidth="1"/>
    <col min="7" max="7" width="8.25390625" style="1" hidden="1" customWidth="1"/>
    <col min="8" max="8" width="8.875" style="1" customWidth="1"/>
    <col min="9" max="9" width="9.625" style="1" customWidth="1"/>
    <col min="10" max="16384" width="9.125" style="1" customWidth="1"/>
  </cols>
  <sheetData>
    <row r="1" spans="1:9" ht="12.75">
      <c r="A1" s="88" t="s">
        <v>75</v>
      </c>
      <c r="B1" s="88"/>
      <c r="C1" s="88"/>
      <c r="D1" s="88"/>
      <c r="E1" s="88"/>
      <c r="F1" s="88"/>
      <c r="G1" s="88"/>
      <c r="H1" s="88"/>
      <c r="I1" s="88"/>
    </row>
    <row r="2" spans="1:6" ht="9.75" customHeight="1">
      <c r="A2" s="78"/>
      <c r="B2" s="78"/>
      <c r="C2" s="78"/>
      <c r="D2" s="78"/>
      <c r="E2" s="78"/>
      <c r="F2" s="78"/>
    </row>
    <row r="3" spans="1:6" ht="14.25" customHeight="1">
      <c r="A3" s="19"/>
      <c r="B3" s="19"/>
      <c r="C3" s="20"/>
      <c r="D3" s="20"/>
      <c r="E3" s="20"/>
      <c r="F3" s="21" t="s">
        <v>66</v>
      </c>
    </row>
    <row r="4" spans="1:9" ht="12.75" customHeight="1">
      <c r="A4" s="22" t="s">
        <v>41</v>
      </c>
      <c r="B4" s="22"/>
      <c r="C4" s="23"/>
      <c r="D4" s="73" t="s">
        <v>69</v>
      </c>
      <c r="E4" s="73" t="s">
        <v>70</v>
      </c>
      <c r="F4" s="73" t="s">
        <v>76</v>
      </c>
      <c r="G4" s="73" t="s">
        <v>73</v>
      </c>
      <c r="H4" s="73" t="s">
        <v>71</v>
      </c>
      <c r="I4" s="73" t="s">
        <v>72</v>
      </c>
    </row>
    <row r="5" spans="1:9" ht="27.75" customHeight="1">
      <c r="A5" s="24" t="s">
        <v>44</v>
      </c>
      <c r="B5" s="24"/>
      <c r="C5" s="25" t="s">
        <v>16</v>
      </c>
      <c r="D5" s="74"/>
      <c r="E5" s="74"/>
      <c r="F5" s="74"/>
      <c r="G5" s="74"/>
      <c r="H5" s="74"/>
      <c r="I5" s="74"/>
    </row>
    <row r="6" spans="1:9" ht="39.75" customHeight="1">
      <c r="A6" s="24"/>
      <c r="B6" s="24"/>
      <c r="C6" s="25"/>
      <c r="D6" s="75"/>
      <c r="E6" s="75"/>
      <c r="F6" s="75"/>
      <c r="G6" s="75"/>
      <c r="H6" s="75"/>
      <c r="I6" s="75"/>
    </row>
    <row r="7" spans="1:9" ht="12.75">
      <c r="A7" s="80" t="s">
        <v>24</v>
      </c>
      <c r="B7" s="81"/>
      <c r="C7" s="81"/>
      <c r="D7" s="81"/>
      <c r="E7" s="81"/>
      <c r="F7" s="81"/>
      <c r="G7" s="81"/>
      <c r="H7" s="81"/>
      <c r="I7" s="81"/>
    </row>
    <row r="8" spans="1:9" ht="12.75">
      <c r="A8" s="28" t="s">
        <v>3</v>
      </c>
      <c r="B8" s="28"/>
      <c r="C8" s="29" t="s">
        <v>65</v>
      </c>
      <c r="D8" s="30">
        <f>D9+D11+D12+D13+D15+D16+D18+D20+D14+D21+D17+D19+D10</f>
        <v>790943.5000000001</v>
      </c>
      <c r="E8" s="30">
        <f>E9+E11+E12+E13+E15+E16+E18+E20+E14+E21+E17+E19+E10</f>
        <v>866310.2000000002</v>
      </c>
      <c r="F8" s="30">
        <f>F9+F11+F12+F13+F15+F16+F18+F20+F14+F21+F17+F19+F10</f>
        <v>827515.2000000001</v>
      </c>
      <c r="G8" s="30" t="e">
        <f>F8*100/#REF!</f>
        <v>#REF!</v>
      </c>
      <c r="H8" s="12">
        <f aca="true" t="shared" si="0" ref="H8:H13">F8*100/E8</f>
        <v>95.52181193295425</v>
      </c>
      <c r="I8" s="12">
        <f aca="true" t="shared" si="1" ref="I8:I20">F8*100/D8</f>
        <v>104.62380688380395</v>
      </c>
    </row>
    <row r="9" spans="1:9" ht="12.75">
      <c r="A9" s="31" t="s">
        <v>23</v>
      </c>
      <c r="B9" s="31"/>
      <c r="C9" s="32" t="s">
        <v>22</v>
      </c>
      <c r="D9" s="18">
        <v>599585.5</v>
      </c>
      <c r="E9" s="47">
        <v>635880.6</v>
      </c>
      <c r="F9" s="33">
        <v>571981.8</v>
      </c>
      <c r="G9" s="11" t="e">
        <f>F9*100/#REF!</f>
        <v>#REF!</v>
      </c>
      <c r="H9" s="33">
        <f t="shared" si="0"/>
        <v>89.95113233522144</v>
      </c>
      <c r="I9" s="10">
        <f t="shared" si="1"/>
        <v>95.39620287682075</v>
      </c>
    </row>
    <row r="10" spans="1:9" ht="12.75">
      <c r="A10" s="31" t="s">
        <v>67</v>
      </c>
      <c r="B10" s="31"/>
      <c r="C10" s="34" t="s">
        <v>68</v>
      </c>
      <c r="D10" s="35">
        <v>5380.3</v>
      </c>
      <c r="E10" s="35">
        <v>5600</v>
      </c>
      <c r="F10" s="10">
        <v>5453.4</v>
      </c>
      <c r="G10" s="11" t="e">
        <f>F10*100/#REF!</f>
        <v>#REF!</v>
      </c>
      <c r="H10" s="10">
        <f t="shared" si="0"/>
        <v>97.38214285714285</v>
      </c>
      <c r="I10" s="10">
        <f t="shared" si="1"/>
        <v>101.3586602977529</v>
      </c>
    </row>
    <row r="11" spans="1:9" ht="12.75">
      <c r="A11" s="31" t="s">
        <v>8</v>
      </c>
      <c r="B11" s="31"/>
      <c r="C11" s="34" t="s">
        <v>5</v>
      </c>
      <c r="D11" s="35">
        <v>45380</v>
      </c>
      <c r="E11" s="35">
        <v>46850</v>
      </c>
      <c r="F11" s="10">
        <v>47650.6</v>
      </c>
      <c r="G11" s="11" t="e">
        <f>F11*100/#REF!</f>
        <v>#REF!</v>
      </c>
      <c r="H11" s="10">
        <f t="shared" si="0"/>
        <v>101.70885805763074</v>
      </c>
      <c r="I11" s="10">
        <f t="shared" si="1"/>
        <v>105.00352578228295</v>
      </c>
    </row>
    <row r="12" spans="1:9" ht="12.75">
      <c r="A12" s="31" t="s">
        <v>9</v>
      </c>
      <c r="B12" s="31"/>
      <c r="C12" s="34" t="s">
        <v>6</v>
      </c>
      <c r="D12" s="35">
        <v>2500</v>
      </c>
      <c r="E12" s="35">
        <v>3700</v>
      </c>
      <c r="F12" s="10">
        <v>4092.8</v>
      </c>
      <c r="G12" s="11" t="e">
        <f>F12*100/#REF!</f>
        <v>#REF!</v>
      </c>
      <c r="H12" s="10">
        <f t="shared" si="0"/>
        <v>110.61621621621622</v>
      </c>
      <c r="I12" s="10">
        <f t="shared" si="1"/>
        <v>163.712</v>
      </c>
    </row>
    <row r="13" spans="1:9" ht="12.75">
      <c r="A13" s="31" t="s">
        <v>10</v>
      </c>
      <c r="B13" s="31"/>
      <c r="C13" s="34" t="s">
        <v>21</v>
      </c>
      <c r="D13" s="35">
        <v>3105</v>
      </c>
      <c r="E13" s="35">
        <v>3300</v>
      </c>
      <c r="F13" s="10">
        <v>3487.7</v>
      </c>
      <c r="G13" s="11" t="e">
        <f>F13*100/#REF!</f>
        <v>#REF!</v>
      </c>
      <c r="H13" s="10">
        <f t="shared" si="0"/>
        <v>105.68787878787879</v>
      </c>
      <c r="I13" s="10">
        <f t="shared" si="1"/>
        <v>112.32528180354268</v>
      </c>
    </row>
    <row r="14" spans="1:9" ht="21" customHeight="1" hidden="1">
      <c r="A14" s="31" t="s">
        <v>37</v>
      </c>
      <c r="B14" s="31"/>
      <c r="C14" s="34" t="s">
        <v>38</v>
      </c>
      <c r="D14" s="35"/>
      <c r="E14" s="35"/>
      <c r="F14" s="10"/>
      <c r="G14" s="11"/>
      <c r="H14" s="10"/>
      <c r="I14" s="10" t="e">
        <f t="shared" si="1"/>
        <v>#DIV/0!</v>
      </c>
    </row>
    <row r="15" spans="1:9" ht="24">
      <c r="A15" s="36" t="s">
        <v>11</v>
      </c>
      <c r="B15" s="36"/>
      <c r="C15" s="34" t="s">
        <v>17</v>
      </c>
      <c r="D15" s="35">
        <v>99505.9</v>
      </c>
      <c r="E15" s="35">
        <v>115635.9</v>
      </c>
      <c r="F15" s="10">
        <v>120159.8</v>
      </c>
      <c r="G15" s="11" t="e">
        <f>F15*100/#REF!</f>
        <v>#REF!</v>
      </c>
      <c r="H15" s="10">
        <f aca="true" t="shared" si="2" ref="H15:H27">F15*100/E15</f>
        <v>103.9121933586369</v>
      </c>
      <c r="I15" s="10">
        <f t="shared" si="1"/>
        <v>120.75645765728466</v>
      </c>
    </row>
    <row r="16" spans="1:9" ht="12.75">
      <c r="A16" s="37" t="s">
        <v>14</v>
      </c>
      <c r="B16" s="37"/>
      <c r="C16" s="34" t="s">
        <v>13</v>
      </c>
      <c r="D16" s="35">
        <v>4251.8</v>
      </c>
      <c r="E16" s="35">
        <v>5000.9</v>
      </c>
      <c r="F16" s="10">
        <v>5938.6</v>
      </c>
      <c r="G16" s="11" t="e">
        <f>F16*100/#REF!</f>
        <v>#REF!</v>
      </c>
      <c r="H16" s="10">
        <f t="shared" si="2"/>
        <v>118.75062488752026</v>
      </c>
      <c r="I16" s="10">
        <f t="shared" si="1"/>
        <v>139.67260924784796</v>
      </c>
    </row>
    <row r="17" spans="1:9" ht="24">
      <c r="A17" s="38" t="s">
        <v>42</v>
      </c>
      <c r="B17" s="38"/>
      <c r="C17" s="34" t="s">
        <v>43</v>
      </c>
      <c r="D17" s="35">
        <v>14097.8</v>
      </c>
      <c r="E17" s="35">
        <v>15397.8</v>
      </c>
      <c r="F17" s="10">
        <v>24560.5</v>
      </c>
      <c r="G17" s="11" t="e">
        <f>F17*100/#REF!</f>
        <v>#REF!</v>
      </c>
      <c r="H17" s="10">
        <f t="shared" si="2"/>
        <v>159.50655288417826</v>
      </c>
      <c r="I17" s="10">
        <f t="shared" si="1"/>
        <v>174.21512576430365</v>
      </c>
    </row>
    <row r="18" spans="1:9" ht="24">
      <c r="A18" s="38" t="s">
        <v>18</v>
      </c>
      <c r="B18" s="38"/>
      <c r="C18" s="34" t="s">
        <v>15</v>
      </c>
      <c r="D18" s="35">
        <v>16903.5</v>
      </c>
      <c r="E18" s="35">
        <v>22084.4</v>
      </c>
      <c r="F18" s="10">
        <v>20452.9</v>
      </c>
      <c r="G18" s="11" t="e">
        <f>F18*100/#REF!</f>
        <v>#REF!</v>
      </c>
      <c r="H18" s="10">
        <f t="shared" si="2"/>
        <v>92.61243230515659</v>
      </c>
      <c r="I18" s="10">
        <f t="shared" si="1"/>
        <v>120.99801816191915</v>
      </c>
    </row>
    <row r="19" spans="1:9" ht="12.75">
      <c r="A19" s="38" t="s">
        <v>58</v>
      </c>
      <c r="B19" s="38"/>
      <c r="C19" s="34" t="s">
        <v>59</v>
      </c>
      <c r="D19" s="35">
        <v>6</v>
      </c>
      <c r="E19" s="35">
        <v>9</v>
      </c>
      <c r="F19" s="10">
        <v>9</v>
      </c>
      <c r="G19" s="11" t="e">
        <f>F19*100/#REF!</f>
        <v>#REF!</v>
      </c>
      <c r="H19" s="10">
        <f t="shared" si="2"/>
        <v>100</v>
      </c>
      <c r="I19" s="10">
        <f t="shared" si="1"/>
        <v>150</v>
      </c>
    </row>
    <row r="20" spans="1:9" ht="12.75">
      <c r="A20" s="39" t="s">
        <v>12</v>
      </c>
      <c r="B20" s="39"/>
      <c r="C20" s="34" t="s">
        <v>7</v>
      </c>
      <c r="D20" s="35">
        <v>227.7</v>
      </c>
      <c r="E20" s="35">
        <v>12838.8</v>
      </c>
      <c r="F20" s="10">
        <v>23705.5</v>
      </c>
      <c r="G20" s="11" t="e">
        <f>F20*100/#REF!</f>
        <v>#REF!</v>
      </c>
      <c r="H20" s="10">
        <f t="shared" si="2"/>
        <v>184.6395301741596</v>
      </c>
      <c r="I20" s="10">
        <f t="shared" si="1"/>
        <v>10410.847606499781</v>
      </c>
    </row>
    <row r="21" spans="1:9" ht="12.75">
      <c r="A21" s="40" t="s">
        <v>39</v>
      </c>
      <c r="B21" s="41"/>
      <c r="C21" s="42" t="s">
        <v>40</v>
      </c>
      <c r="D21" s="35">
        <v>0</v>
      </c>
      <c r="E21" s="35">
        <v>12.8</v>
      </c>
      <c r="F21" s="10">
        <v>22.6</v>
      </c>
      <c r="G21" s="11" t="e">
        <f>F21*100/#REF!</f>
        <v>#REF!</v>
      </c>
      <c r="H21" s="10">
        <f t="shared" si="2"/>
        <v>176.5625</v>
      </c>
      <c r="I21" s="10"/>
    </row>
    <row r="22" spans="1:9" ht="12.75">
      <c r="A22" s="43" t="s">
        <v>1</v>
      </c>
      <c r="B22" s="43"/>
      <c r="C22" s="44" t="s">
        <v>0</v>
      </c>
      <c r="D22" s="14">
        <f>D23+D24+D26+D25</f>
        <v>2692801.9</v>
      </c>
      <c r="E22" s="14">
        <f>E23+E24+E26+E25-0.1</f>
        <v>2883933.1999999997</v>
      </c>
      <c r="F22" s="14">
        <f>F23+F24+F26+F25-0.1</f>
        <v>2457980.4000000004</v>
      </c>
      <c r="G22" s="13" t="e">
        <f>F22*100/#REF!</f>
        <v>#REF!</v>
      </c>
      <c r="H22" s="12">
        <f t="shared" si="2"/>
        <v>85.23014333341703</v>
      </c>
      <c r="I22" s="12">
        <f>F22*100/D22</f>
        <v>91.27965930208235</v>
      </c>
    </row>
    <row r="23" spans="1:9" ht="24">
      <c r="A23" s="45" t="s">
        <v>64</v>
      </c>
      <c r="B23" s="31"/>
      <c r="C23" s="46" t="s">
        <v>20</v>
      </c>
      <c r="D23" s="47">
        <v>2692801.9</v>
      </c>
      <c r="E23" s="35">
        <v>2855651.8</v>
      </c>
      <c r="F23" s="10">
        <v>2434850.1</v>
      </c>
      <c r="G23" s="11" t="e">
        <f>F23*100/#REF!</f>
        <v>#REF!</v>
      </c>
      <c r="H23" s="10">
        <f t="shared" si="2"/>
        <v>85.26425035433242</v>
      </c>
      <c r="I23" s="10">
        <f>F23*100/D23</f>
        <v>90.42069154808603</v>
      </c>
    </row>
    <row r="24" spans="1:9" ht="12" customHeight="1">
      <c r="A24" s="45" t="s">
        <v>74</v>
      </c>
      <c r="B24" s="45"/>
      <c r="C24" s="48" t="s">
        <v>19</v>
      </c>
      <c r="D24" s="49">
        <v>0</v>
      </c>
      <c r="E24" s="35">
        <v>30000</v>
      </c>
      <c r="F24" s="10">
        <v>35455.7</v>
      </c>
      <c r="G24" s="11" t="e">
        <f>F24*100/#REF!</f>
        <v>#REF!</v>
      </c>
      <c r="H24" s="10">
        <f t="shared" si="2"/>
        <v>118.18566666666665</v>
      </c>
      <c r="I24" s="10"/>
    </row>
    <row r="25" spans="1:9" ht="20.25" customHeight="1" hidden="1">
      <c r="A25" s="45" t="s">
        <v>62</v>
      </c>
      <c r="B25" s="50" t="s">
        <v>61</v>
      </c>
      <c r="C25" s="42" t="s">
        <v>61</v>
      </c>
      <c r="D25" s="35">
        <v>0</v>
      </c>
      <c r="E25" s="35"/>
      <c r="F25" s="10"/>
      <c r="G25" s="11" t="e">
        <f>F25*100/#REF!</f>
        <v>#REF!</v>
      </c>
      <c r="H25" s="10" t="e">
        <f t="shared" si="2"/>
        <v>#DIV/0!</v>
      </c>
      <c r="I25" s="10"/>
    </row>
    <row r="26" spans="1:9" ht="39" customHeight="1">
      <c r="A26" s="45" t="s">
        <v>63</v>
      </c>
      <c r="B26" s="51"/>
      <c r="C26" s="52" t="s">
        <v>60</v>
      </c>
      <c r="D26" s="53">
        <v>0</v>
      </c>
      <c r="E26" s="35">
        <v>-1718.5</v>
      </c>
      <c r="F26" s="10">
        <v>-12325.3</v>
      </c>
      <c r="G26" s="11" t="e">
        <f>F26*100/#REF!</f>
        <v>#REF!</v>
      </c>
      <c r="H26" s="10">
        <f t="shared" si="2"/>
        <v>717.2126854815245</v>
      </c>
      <c r="I26" s="10"/>
    </row>
    <row r="27" spans="1:9" ht="12.75">
      <c r="A27" s="39"/>
      <c r="B27" s="54"/>
      <c r="C27" s="55" t="s">
        <v>4</v>
      </c>
      <c r="D27" s="12">
        <f>D22+D8</f>
        <v>3483745.4</v>
      </c>
      <c r="E27" s="12">
        <f>E22+E8</f>
        <v>3750243.4</v>
      </c>
      <c r="F27" s="12">
        <f>F22+F8</f>
        <v>3285495.6000000006</v>
      </c>
      <c r="G27" s="13" t="e">
        <f>F27*100/#REF!</f>
        <v>#REF!</v>
      </c>
      <c r="H27" s="12">
        <f t="shared" si="2"/>
        <v>87.60752968727311</v>
      </c>
      <c r="I27" s="12">
        <f>F27*100/D27</f>
        <v>94.30929137358892</v>
      </c>
    </row>
    <row r="28" spans="1:9" ht="12.75">
      <c r="A28" s="76"/>
      <c r="B28" s="77"/>
      <c r="C28" s="77"/>
      <c r="D28" s="77"/>
      <c r="E28" s="77"/>
      <c r="F28" s="77"/>
      <c r="G28" s="13"/>
      <c r="H28" s="12"/>
      <c r="I28" s="10"/>
    </row>
    <row r="29" spans="1:9" ht="12.75">
      <c r="A29" s="80" t="s">
        <v>25</v>
      </c>
      <c r="B29" s="81"/>
      <c r="C29" s="81"/>
      <c r="D29" s="81"/>
      <c r="E29" s="81"/>
      <c r="F29" s="81"/>
      <c r="G29" s="81"/>
      <c r="H29" s="81"/>
      <c r="I29" s="82"/>
    </row>
    <row r="30" spans="1:9" ht="12.75">
      <c r="A30" s="43" t="s">
        <v>3</v>
      </c>
      <c r="B30" s="43"/>
      <c r="C30" s="56" t="s">
        <v>65</v>
      </c>
      <c r="D30" s="13">
        <f>D31+D33+D35+D37+D34+D36+D39+D32</f>
        <v>18979.500000000004</v>
      </c>
      <c r="E30" s="13">
        <f>E31+E33+E35+E37+E34+E36+E39+E32</f>
        <v>19295.300000000003</v>
      </c>
      <c r="F30" s="13">
        <f>F31+F33+F35+F37+F34+F36+F39+F32+F38</f>
        <v>17395.300000000003</v>
      </c>
      <c r="G30" s="13" t="e">
        <f>F30*100/#REF!</f>
        <v>#REF!</v>
      </c>
      <c r="H30" s="12">
        <f aca="true" t="shared" si="3" ref="H30:H37">F30*100/E30</f>
        <v>90.15304245075225</v>
      </c>
      <c r="I30" s="12">
        <f aca="true" t="shared" si="4" ref="I30:I37">F30*100/D30</f>
        <v>91.65309939671751</v>
      </c>
    </row>
    <row r="31" spans="1:9" ht="12.75">
      <c r="A31" s="31" t="s">
        <v>23</v>
      </c>
      <c r="B31" s="31"/>
      <c r="C31" s="32" t="s">
        <v>22</v>
      </c>
      <c r="D31" s="18">
        <v>13550</v>
      </c>
      <c r="E31" s="35">
        <v>14300</v>
      </c>
      <c r="F31" s="33">
        <v>12999.5</v>
      </c>
      <c r="G31" s="11" t="e">
        <f>F31*100/#REF!</f>
        <v>#REF!</v>
      </c>
      <c r="H31" s="10">
        <f t="shared" si="3"/>
        <v>90.9055944055944</v>
      </c>
      <c r="I31" s="10">
        <f t="shared" si="4"/>
        <v>95.93726937269372</v>
      </c>
    </row>
    <row r="32" spans="1:9" ht="12.75">
      <c r="A32" s="31" t="s">
        <v>67</v>
      </c>
      <c r="B32" s="31"/>
      <c r="C32" s="34" t="s">
        <v>68</v>
      </c>
      <c r="D32" s="35">
        <v>1549.2</v>
      </c>
      <c r="E32" s="35">
        <v>1549.2</v>
      </c>
      <c r="F32" s="33">
        <v>1570.3</v>
      </c>
      <c r="G32" s="11" t="e">
        <f>F32*100/#REF!</f>
        <v>#REF!</v>
      </c>
      <c r="H32" s="10">
        <f t="shared" si="3"/>
        <v>101.36199328685773</v>
      </c>
      <c r="I32" s="10">
        <f t="shared" si="4"/>
        <v>101.36199328685773</v>
      </c>
    </row>
    <row r="33" spans="1:9" ht="12.75">
      <c r="A33" s="31" t="s">
        <v>9</v>
      </c>
      <c r="B33" s="31"/>
      <c r="C33" s="34" t="s">
        <v>6</v>
      </c>
      <c r="D33" s="35">
        <v>900</v>
      </c>
      <c r="E33" s="35">
        <v>1000</v>
      </c>
      <c r="F33" s="10">
        <v>996.2</v>
      </c>
      <c r="G33" s="11" t="e">
        <f>F33*100/#REF!</f>
        <v>#REF!</v>
      </c>
      <c r="H33" s="10">
        <f t="shared" si="3"/>
        <v>99.62</v>
      </c>
      <c r="I33" s="10">
        <f t="shared" si="4"/>
        <v>110.68888888888888</v>
      </c>
    </row>
    <row r="34" spans="1:9" ht="12.75">
      <c r="A34" s="31" t="s">
        <v>10</v>
      </c>
      <c r="B34" s="31"/>
      <c r="C34" s="34" t="s">
        <v>21</v>
      </c>
      <c r="D34" s="35">
        <v>24.7</v>
      </c>
      <c r="E34" s="35">
        <v>10.7</v>
      </c>
      <c r="F34" s="10">
        <v>5</v>
      </c>
      <c r="G34" s="11" t="e">
        <f>F34*100/#REF!</f>
        <v>#REF!</v>
      </c>
      <c r="H34" s="10">
        <f t="shared" si="3"/>
        <v>46.728971962616825</v>
      </c>
      <c r="I34" s="10">
        <f t="shared" si="4"/>
        <v>20.242914979757085</v>
      </c>
    </row>
    <row r="35" spans="1:9" ht="24">
      <c r="A35" s="36" t="s">
        <v>11</v>
      </c>
      <c r="B35" s="36"/>
      <c r="C35" s="34" t="s">
        <v>17</v>
      </c>
      <c r="D35" s="35">
        <v>2015.2</v>
      </c>
      <c r="E35" s="35">
        <v>1490</v>
      </c>
      <c r="F35" s="10">
        <v>1027.7</v>
      </c>
      <c r="G35" s="11" t="e">
        <f>F35*100/#REF!</f>
        <v>#REF!</v>
      </c>
      <c r="H35" s="10">
        <f t="shared" si="3"/>
        <v>68.97315436241611</v>
      </c>
      <c r="I35" s="10">
        <f t="shared" si="4"/>
        <v>50.997419610956726</v>
      </c>
    </row>
    <row r="36" spans="1:9" ht="15" customHeight="1">
      <c r="A36" s="38" t="s">
        <v>42</v>
      </c>
      <c r="B36" s="38"/>
      <c r="C36" s="34" t="s">
        <v>43</v>
      </c>
      <c r="D36" s="35">
        <v>755.9</v>
      </c>
      <c r="E36" s="35">
        <v>860.9</v>
      </c>
      <c r="F36" s="10">
        <v>709.5</v>
      </c>
      <c r="G36" s="11" t="e">
        <f>F36*100/#REF!</f>
        <v>#REF!</v>
      </c>
      <c r="H36" s="10">
        <f t="shared" si="3"/>
        <v>82.41375304913463</v>
      </c>
      <c r="I36" s="10">
        <f t="shared" si="4"/>
        <v>93.86162190765975</v>
      </c>
    </row>
    <row r="37" spans="1:9" ht="14.25" customHeight="1">
      <c r="A37" s="37" t="s">
        <v>18</v>
      </c>
      <c r="B37" s="37"/>
      <c r="C37" s="34" t="s">
        <v>15</v>
      </c>
      <c r="D37" s="35">
        <v>184.5</v>
      </c>
      <c r="E37" s="35">
        <v>84.5</v>
      </c>
      <c r="F37" s="10">
        <v>80.6</v>
      </c>
      <c r="G37" s="11" t="e">
        <f>F37*100/#REF!</f>
        <v>#REF!</v>
      </c>
      <c r="H37" s="10">
        <f t="shared" si="3"/>
        <v>95.38461538461537</v>
      </c>
      <c r="I37" s="10">
        <f t="shared" si="4"/>
        <v>43.68563685636856</v>
      </c>
    </row>
    <row r="38" spans="1:9" ht="14.25" customHeight="1" hidden="1">
      <c r="A38" s="39" t="s">
        <v>12</v>
      </c>
      <c r="B38" s="57"/>
      <c r="C38" s="34" t="s">
        <v>7</v>
      </c>
      <c r="D38" s="58"/>
      <c r="E38" s="35" t="e">
        <f>#REF!+#REF!+#REF!+#REF!</f>
        <v>#REF!</v>
      </c>
      <c r="F38" s="10"/>
      <c r="G38" s="11"/>
      <c r="H38" s="10"/>
      <c r="I38" s="10"/>
    </row>
    <row r="39" spans="1:9" ht="15.75" customHeight="1">
      <c r="A39" s="40" t="s">
        <v>39</v>
      </c>
      <c r="B39" s="41"/>
      <c r="C39" s="42" t="s">
        <v>40</v>
      </c>
      <c r="D39" s="58"/>
      <c r="E39" s="34"/>
      <c r="F39" s="10">
        <v>6.5</v>
      </c>
      <c r="G39" s="13"/>
      <c r="H39" s="12"/>
      <c r="I39" s="10"/>
    </row>
    <row r="40" spans="1:9" ht="12.75">
      <c r="A40" s="43" t="s">
        <v>1</v>
      </c>
      <c r="B40" s="43"/>
      <c r="C40" s="44" t="s">
        <v>0</v>
      </c>
      <c r="D40" s="14">
        <f>D41+D42</f>
        <v>11863.2</v>
      </c>
      <c r="E40" s="14">
        <f>E41+E42</f>
        <v>16271.2</v>
      </c>
      <c r="F40" s="14">
        <f>F41+F42</f>
        <v>15001.7</v>
      </c>
      <c r="G40" s="13" t="e">
        <f>F40*100/#REF!</f>
        <v>#REF!</v>
      </c>
      <c r="H40" s="12">
        <f>F40*100/E40</f>
        <v>92.19787108510742</v>
      </c>
      <c r="I40" s="12">
        <f>F40*100/D40</f>
        <v>126.45576235754264</v>
      </c>
    </row>
    <row r="41" spans="1:9" ht="24">
      <c r="A41" s="45" t="s">
        <v>64</v>
      </c>
      <c r="B41" s="31"/>
      <c r="C41" s="46" t="s">
        <v>20</v>
      </c>
      <c r="D41" s="47">
        <v>11863.2</v>
      </c>
      <c r="E41" s="35">
        <v>16271.2</v>
      </c>
      <c r="F41" s="10">
        <v>15001.7</v>
      </c>
      <c r="G41" s="11" t="e">
        <f>F41*100/#REF!</f>
        <v>#REF!</v>
      </c>
      <c r="H41" s="10">
        <f>F41*100/E41</f>
        <v>92.19787108510742</v>
      </c>
      <c r="I41" s="10">
        <f>F41*100/D41</f>
        <v>126.45576235754264</v>
      </c>
    </row>
    <row r="42" spans="1:9" ht="20.25" customHeight="1" hidden="1">
      <c r="A42" s="45" t="s">
        <v>63</v>
      </c>
      <c r="B42" s="51"/>
      <c r="C42" s="52" t="s">
        <v>60</v>
      </c>
      <c r="D42" s="53">
        <v>0</v>
      </c>
      <c r="E42" s="35"/>
      <c r="F42" s="10"/>
      <c r="G42" s="11" t="e">
        <f>F42*100/#REF!</f>
        <v>#REF!</v>
      </c>
      <c r="H42" s="10" t="e">
        <f>F42*100/E42</f>
        <v>#DIV/0!</v>
      </c>
      <c r="I42" s="10"/>
    </row>
    <row r="43" spans="1:9" ht="12.75">
      <c r="A43" s="39"/>
      <c r="B43" s="54"/>
      <c r="C43" s="55" t="s">
        <v>4</v>
      </c>
      <c r="D43" s="12">
        <f>D40+D30</f>
        <v>30842.700000000004</v>
      </c>
      <c r="E43" s="12">
        <f>E40+E30</f>
        <v>35566.5</v>
      </c>
      <c r="F43" s="12">
        <f>F40+F30</f>
        <v>32397.000000000004</v>
      </c>
      <c r="G43" s="13" t="e">
        <f>F43*100/#REF!</f>
        <v>#REF!</v>
      </c>
      <c r="H43" s="12">
        <f>F43*100/E43</f>
        <v>91.08852431360972</v>
      </c>
      <c r="I43" s="12">
        <f>F43*100/D43</f>
        <v>105.03944207219212</v>
      </c>
    </row>
    <row r="44" spans="1:9" ht="12.75">
      <c r="A44" s="26"/>
      <c r="B44" s="27"/>
      <c r="C44" s="79"/>
      <c r="D44" s="79"/>
      <c r="E44" s="79"/>
      <c r="F44" s="79"/>
      <c r="G44" s="13"/>
      <c r="H44" s="12"/>
      <c r="I44" s="10"/>
    </row>
    <row r="45" spans="1:9" ht="12.75">
      <c r="A45" s="80" t="s">
        <v>26</v>
      </c>
      <c r="B45" s="81"/>
      <c r="C45" s="81"/>
      <c r="D45" s="81"/>
      <c r="E45" s="81"/>
      <c r="F45" s="81"/>
      <c r="G45" s="81"/>
      <c r="H45" s="81"/>
      <c r="I45" s="82"/>
    </row>
    <row r="46" spans="1:9" ht="12.75">
      <c r="A46" s="43" t="s">
        <v>3</v>
      </c>
      <c r="B46" s="43"/>
      <c r="C46" s="56" t="s">
        <v>65</v>
      </c>
      <c r="D46" s="13">
        <f>D47+D50+D52+D54+D55+D56+D51+D49+D48+D53</f>
        <v>19673.7</v>
      </c>
      <c r="E46" s="13">
        <f>E47+E50+E52+E54+E55+E56+E51+E49+E48+E53</f>
        <v>22931.200000000004</v>
      </c>
      <c r="F46" s="13">
        <f>F47+F50+F52+F54+F55+F56+F51+F49+F48+F53</f>
        <v>21336.7</v>
      </c>
      <c r="G46" s="13" t="e">
        <f>F46*100/#REF!</f>
        <v>#REF!</v>
      </c>
      <c r="H46" s="12">
        <f aca="true" t="shared" si="5" ref="H46:H55">F46*100/E46</f>
        <v>93.04659154339937</v>
      </c>
      <c r="I46" s="12">
        <f aca="true" t="shared" si="6" ref="I46:I52">F46*100/D46</f>
        <v>108.45290921382353</v>
      </c>
    </row>
    <row r="47" spans="1:9" ht="12.75">
      <c r="A47" s="39" t="s">
        <v>23</v>
      </c>
      <c r="B47" s="31"/>
      <c r="C47" s="32" t="s">
        <v>22</v>
      </c>
      <c r="D47" s="18">
        <v>12400</v>
      </c>
      <c r="E47" s="35">
        <v>14499.9</v>
      </c>
      <c r="F47" s="33">
        <v>13279.5</v>
      </c>
      <c r="G47" s="11" t="e">
        <f>F47*100/#REF!</f>
        <v>#REF!</v>
      </c>
      <c r="H47" s="10">
        <f t="shared" si="5"/>
        <v>91.58339023027746</v>
      </c>
      <c r="I47" s="10">
        <f t="shared" si="6"/>
        <v>107.09274193548387</v>
      </c>
    </row>
    <row r="48" spans="1:9" ht="12.75">
      <c r="A48" s="31" t="s">
        <v>67</v>
      </c>
      <c r="B48" s="31"/>
      <c r="C48" s="34" t="s">
        <v>68</v>
      </c>
      <c r="D48" s="35">
        <v>3758.4</v>
      </c>
      <c r="E48" s="35">
        <v>4097.4</v>
      </c>
      <c r="F48" s="33">
        <v>3809.4</v>
      </c>
      <c r="G48" s="11" t="e">
        <f>F48*100/#REF!</f>
        <v>#REF!</v>
      </c>
      <c r="H48" s="10">
        <f t="shared" si="5"/>
        <v>92.97115243813151</v>
      </c>
      <c r="I48" s="10">
        <f t="shared" si="6"/>
        <v>101.35696040868454</v>
      </c>
    </row>
    <row r="49" spans="1:9" ht="12.75">
      <c r="A49" s="31" t="s">
        <v>8</v>
      </c>
      <c r="B49" s="31"/>
      <c r="C49" s="34" t="s">
        <v>5</v>
      </c>
      <c r="D49" s="35">
        <v>11</v>
      </c>
      <c r="E49" s="35">
        <v>30</v>
      </c>
      <c r="F49" s="33">
        <v>29.3</v>
      </c>
      <c r="G49" s="11" t="e">
        <f>F49*100/#REF!</f>
        <v>#REF!</v>
      </c>
      <c r="H49" s="10">
        <f t="shared" si="5"/>
        <v>97.66666666666667</v>
      </c>
      <c r="I49" s="10">
        <f t="shared" si="6"/>
        <v>266.3636363636364</v>
      </c>
    </row>
    <row r="50" spans="1:9" ht="14.25" customHeight="1">
      <c r="A50" s="31" t="s">
        <v>9</v>
      </c>
      <c r="B50" s="31"/>
      <c r="C50" s="34" t="s">
        <v>6</v>
      </c>
      <c r="D50" s="35">
        <v>2372.7</v>
      </c>
      <c r="E50" s="35">
        <v>2621</v>
      </c>
      <c r="F50" s="10">
        <v>2817.2</v>
      </c>
      <c r="G50" s="11" t="e">
        <f>F50*100/#REF!</f>
        <v>#REF!</v>
      </c>
      <c r="H50" s="10">
        <f t="shared" si="5"/>
        <v>107.48569248378482</v>
      </c>
      <c r="I50" s="10">
        <f t="shared" si="6"/>
        <v>118.7339318076453</v>
      </c>
    </row>
    <row r="51" spans="1:9" ht="13.5" customHeight="1" hidden="1">
      <c r="A51" s="31" t="s">
        <v>10</v>
      </c>
      <c r="B51" s="31"/>
      <c r="C51" s="34" t="s">
        <v>21</v>
      </c>
      <c r="D51" s="35"/>
      <c r="E51" s="35"/>
      <c r="F51" s="10"/>
      <c r="G51" s="11" t="e">
        <f>F51*100/#REF!</f>
        <v>#REF!</v>
      </c>
      <c r="H51" s="10" t="e">
        <f t="shared" si="5"/>
        <v>#DIV/0!</v>
      </c>
      <c r="I51" s="10" t="e">
        <f t="shared" si="6"/>
        <v>#DIV/0!</v>
      </c>
    </row>
    <row r="52" spans="1:9" ht="24">
      <c r="A52" s="36" t="s">
        <v>11</v>
      </c>
      <c r="B52" s="36"/>
      <c r="C52" s="34" t="s">
        <v>17</v>
      </c>
      <c r="D52" s="35">
        <v>979</v>
      </c>
      <c r="E52" s="35">
        <v>1352.2</v>
      </c>
      <c r="F52" s="10">
        <v>982.1</v>
      </c>
      <c r="G52" s="11" t="e">
        <f>F52*100/#REF!</f>
        <v>#REF!</v>
      </c>
      <c r="H52" s="10">
        <f t="shared" si="5"/>
        <v>72.6297884928265</v>
      </c>
      <c r="I52" s="10">
        <f t="shared" si="6"/>
        <v>100.31664964249234</v>
      </c>
    </row>
    <row r="53" spans="1:9" ht="22.5" customHeight="1">
      <c r="A53" s="38" t="s">
        <v>42</v>
      </c>
      <c r="B53" s="38"/>
      <c r="C53" s="34" t="s">
        <v>43</v>
      </c>
      <c r="D53" s="35"/>
      <c r="E53" s="35">
        <v>91.9</v>
      </c>
      <c r="F53" s="10">
        <v>91.9</v>
      </c>
      <c r="G53" s="11" t="e">
        <f>F53*100/#REF!</f>
        <v>#REF!</v>
      </c>
      <c r="H53" s="10">
        <f t="shared" si="5"/>
        <v>100</v>
      </c>
      <c r="I53" s="10"/>
    </row>
    <row r="54" spans="1:9" ht="24">
      <c r="A54" s="38" t="s">
        <v>18</v>
      </c>
      <c r="B54" s="38"/>
      <c r="C54" s="34" t="s">
        <v>15</v>
      </c>
      <c r="D54" s="35">
        <v>150</v>
      </c>
      <c r="E54" s="35">
        <v>203.1</v>
      </c>
      <c r="F54" s="10">
        <v>201.6</v>
      </c>
      <c r="G54" s="11" t="e">
        <f>F54*100/#REF!</f>
        <v>#REF!</v>
      </c>
      <c r="H54" s="10">
        <f t="shared" si="5"/>
        <v>99.26144756277697</v>
      </c>
      <c r="I54" s="10">
        <f>F54*100/D54</f>
        <v>134.4</v>
      </c>
    </row>
    <row r="55" spans="1:9" ht="16.5" customHeight="1">
      <c r="A55" s="39" t="s">
        <v>12</v>
      </c>
      <c r="B55" s="39"/>
      <c r="C55" s="34" t="s">
        <v>7</v>
      </c>
      <c r="D55" s="35">
        <v>2.6</v>
      </c>
      <c r="E55" s="35">
        <v>35.7</v>
      </c>
      <c r="F55" s="10">
        <v>125.7</v>
      </c>
      <c r="G55" s="11" t="e">
        <f>F55*100/#REF!</f>
        <v>#REF!</v>
      </c>
      <c r="H55" s="10">
        <f t="shared" si="5"/>
        <v>352.1008403361344</v>
      </c>
      <c r="I55" s="10">
        <f>F55*100/D55</f>
        <v>4834.615384615385</v>
      </c>
    </row>
    <row r="56" spans="1:9" ht="14.25" customHeight="1">
      <c r="A56" s="59" t="s">
        <v>39</v>
      </c>
      <c r="B56" s="41"/>
      <c r="C56" s="42" t="s">
        <v>40</v>
      </c>
      <c r="D56" s="35"/>
      <c r="E56" s="35"/>
      <c r="F56" s="10"/>
      <c r="G56" s="11"/>
      <c r="H56" s="10"/>
      <c r="I56" s="10"/>
    </row>
    <row r="57" spans="1:9" ht="12.75">
      <c r="A57" s="28" t="s">
        <v>1</v>
      </c>
      <c r="B57" s="28"/>
      <c r="C57" s="44" t="s">
        <v>0</v>
      </c>
      <c r="D57" s="14">
        <f>D58+D60+D59</f>
        <v>11753.4</v>
      </c>
      <c r="E57" s="14">
        <f>E58+E60+E59</f>
        <v>16073</v>
      </c>
      <c r="F57" s="14">
        <f>F58+F60+F59</f>
        <v>11028.1</v>
      </c>
      <c r="G57" s="13" t="e">
        <f>F57*100/#REF!</f>
        <v>#REF!</v>
      </c>
      <c r="H57" s="12">
        <f>F57*100/E57</f>
        <v>68.61258010327879</v>
      </c>
      <c r="I57" s="12">
        <f>F57*100/D57</f>
        <v>93.8290196879201</v>
      </c>
    </row>
    <row r="58" spans="1:9" ht="24">
      <c r="A58" s="45" t="s">
        <v>64</v>
      </c>
      <c r="B58" s="31"/>
      <c r="C58" s="46" t="s">
        <v>20</v>
      </c>
      <c r="D58" s="47">
        <v>11753.4</v>
      </c>
      <c r="E58" s="35">
        <v>16073</v>
      </c>
      <c r="F58" s="10">
        <v>11028.1</v>
      </c>
      <c r="G58" s="11" t="e">
        <f>F58*100/#REF!</f>
        <v>#REF!</v>
      </c>
      <c r="H58" s="10">
        <f>F58*100/E58</f>
        <v>68.61258010327879</v>
      </c>
      <c r="I58" s="10">
        <f>F58*100/D58</f>
        <v>93.8290196879201</v>
      </c>
    </row>
    <row r="59" spans="1:9" ht="17.25" customHeight="1" hidden="1">
      <c r="A59" s="45" t="s">
        <v>2</v>
      </c>
      <c r="B59" s="45"/>
      <c r="C59" s="48" t="s">
        <v>19</v>
      </c>
      <c r="D59" s="48"/>
      <c r="E59" s="35"/>
      <c r="F59" s="10"/>
      <c r="G59" s="11" t="e">
        <f>F59*100/#REF!</f>
        <v>#REF!</v>
      </c>
      <c r="H59" s="10" t="e">
        <f>F59*100/E59</f>
        <v>#DIV/0!</v>
      </c>
      <c r="I59" s="10" t="e">
        <f>F59*100/D59</f>
        <v>#DIV/0!</v>
      </c>
    </row>
    <row r="60" spans="1:9" ht="15.75" customHeight="1" hidden="1">
      <c r="A60" s="45" t="s">
        <v>63</v>
      </c>
      <c r="B60" s="51"/>
      <c r="C60" s="52" t="s">
        <v>60</v>
      </c>
      <c r="D60" s="52"/>
      <c r="E60" s="35"/>
      <c r="F60" s="10"/>
      <c r="G60" s="11"/>
      <c r="H60" s="10"/>
      <c r="I60" s="10" t="e">
        <f>F60*100/D60</f>
        <v>#DIV/0!</v>
      </c>
    </row>
    <row r="61" spans="1:9" ht="12.75">
      <c r="A61" s="36"/>
      <c r="B61" s="60"/>
      <c r="C61" s="61" t="s">
        <v>4</v>
      </c>
      <c r="D61" s="62">
        <f>D57+D46</f>
        <v>31427.1</v>
      </c>
      <c r="E61" s="62">
        <f>E57+E46</f>
        <v>39004.200000000004</v>
      </c>
      <c r="F61" s="62">
        <f>F57+F46</f>
        <v>32364.800000000003</v>
      </c>
      <c r="G61" s="13" t="e">
        <f>F61*100/#REF!</f>
        <v>#REF!</v>
      </c>
      <c r="H61" s="12">
        <f>F61*100/E61</f>
        <v>82.97773060337092</v>
      </c>
      <c r="I61" s="12">
        <f>F61*100/D61</f>
        <v>102.98373060193275</v>
      </c>
    </row>
    <row r="62" spans="1:9" ht="12.75">
      <c r="A62" s="76"/>
      <c r="B62" s="77"/>
      <c r="C62" s="77"/>
      <c r="D62" s="77"/>
      <c r="E62" s="77"/>
      <c r="F62" s="77"/>
      <c r="G62" s="13"/>
      <c r="H62" s="12"/>
      <c r="I62" s="10"/>
    </row>
    <row r="63" spans="1:9" ht="12.75">
      <c r="A63" s="80" t="s">
        <v>27</v>
      </c>
      <c r="B63" s="81"/>
      <c r="C63" s="81"/>
      <c r="D63" s="81"/>
      <c r="E63" s="81"/>
      <c r="F63" s="81"/>
      <c r="G63" s="81"/>
      <c r="H63" s="81"/>
      <c r="I63" s="82"/>
    </row>
    <row r="64" spans="1:9" ht="12.75">
      <c r="A64" s="28" t="s">
        <v>3</v>
      </c>
      <c r="B64" s="28"/>
      <c r="C64" s="29" t="s">
        <v>65</v>
      </c>
      <c r="D64" s="30">
        <f>D65+D68+D70+D72+D69+D74+D73+D67+D71+D66</f>
        <v>37383</v>
      </c>
      <c r="E64" s="30">
        <f>E65+E68+E70+E72+E69+E74+E73+E67+E71+E66</f>
        <v>43673.7</v>
      </c>
      <c r="F64" s="30">
        <f>F65+F68+F70+F72+F69+F74+F73+F67+F71+F66+0.1</f>
        <v>43023.7</v>
      </c>
      <c r="G64" s="13" t="e">
        <f>F64*100/#REF!</f>
        <v>#REF!</v>
      </c>
      <c r="H64" s="12">
        <f aca="true" t="shared" si="7" ref="H64:H70">F64*100/E64</f>
        <v>98.5116901018233</v>
      </c>
      <c r="I64" s="12">
        <f aca="true" t="shared" si="8" ref="I64:I70">F64*100/D64</f>
        <v>115.08894417248482</v>
      </c>
    </row>
    <row r="65" spans="1:9" ht="12.75">
      <c r="A65" s="31" t="s">
        <v>23</v>
      </c>
      <c r="B65" s="31"/>
      <c r="C65" s="32" t="s">
        <v>22</v>
      </c>
      <c r="D65" s="18">
        <v>17800</v>
      </c>
      <c r="E65" s="35">
        <v>19610.2</v>
      </c>
      <c r="F65" s="11">
        <v>19143.3</v>
      </c>
      <c r="G65" s="11" t="e">
        <f>F65*100/#REF!</f>
        <v>#REF!</v>
      </c>
      <c r="H65" s="10">
        <f t="shared" si="7"/>
        <v>97.61909618463861</v>
      </c>
      <c r="I65" s="10">
        <f t="shared" si="8"/>
        <v>107.54662921348314</v>
      </c>
    </row>
    <row r="66" spans="1:9" ht="12.75">
      <c r="A66" s="31" t="s">
        <v>67</v>
      </c>
      <c r="B66" s="31"/>
      <c r="C66" s="34" t="s">
        <v>68</v>
      </c>
      <c r="D66" s="35">
        <v>6459.7</v>
      </c>
      <c r="E66" s="35">
        <v>6459.7</v>
      </c>
      <c r="F66" s="11">
        <v>6547.5</v>
      </c>
      <c r="G66" s="11" t="e">
        <f>F66*100/#REF!</f>
        <v>#REF!</v>
      </c>
      <c r="H66" s="10">
        <f t="shared" si="7"/>
        <v>101.35919624750376</v>
      </c>
      <c r="I66" s="10">
        <f t="shared" si="8"/>
        <v>101.35919624750376</v>
      </c>
    </row>
    <row r="67" spans="1:9" ht="12.75">
      <c r="A67" s="31" t="s">
        <v>8</v>
      </c>
      <c r="B67" s="31"/>
      <c r="C67" s="34" t="s">
        <v>5</v>
      </c>
      <c r="D67" s="35">
        <v>50</v>
      </c>
      <c r="E67" s="35">
        <v>170</v>
      </c>
      <c r="F67" s="9">
        <v>116.5</v>
      </c>
      <c r="G67" s="11" t="e">
        <f>F67*100/#REF!</f>
        <v>#REF!</v>
      </c>
      <c r="H67" s="10">
        <f t="shared" si="7"/>
        <v>68.52941176470588</v>
      </c>
      <c r="I67" s="10">
        <f t="shared" si="8"/>
        <v>233</v>
      </c>
    </row>
    <row r="68" spans="1:9" ht="12.75">
      <c r="A68" s="31" t="s">
        <v>9</v>
      </c>
      <c r="B68" s="31"/>
      <c r="C68" s="34" t="s">
        <v>6</v>
      </c>
      <c r="D68" s="35">
        <v>7550</v>
      </c>
      <c r="E68" s="35">
        <v>9350</v>
      </c>
      <c r="F68" s="9">
        <v>7849.5</v>
      </c>
      <c r="G68" s="11" t="e">
        <f>F68*100/#REF!</f>
        <v>#REF!</v>
      </c>
      <c r="H68" s="10">
        <f t="shared" si="7"/>
        <v>83.95187165775401</v>
      </c>
      <c r="I68" s="10">
        <f t="shared" si="8"/>
        <v>103.96688741721854</v>
      </c>
    </row>
    <row r="69" spans="1:9" ht="18.75" customHeight="1">
      <c r="A69" s="31" t="s">
        <v>10</v>
      </c>
      <c r="B69" s="31"/>
      <c r="C69" s="34" t="s">
        <v>21</v>
      </c>
      <c r="D69" s="35">
        <v>46.1</v>
      </c>
      <c r="E69" s="35">
        <v>60</v>
      </c>
      <c r="F69" s="9">
        <v>52.8</v>
      </c>
      <c r="G69" s="11" t="e">
        <f>F69*100/#REF!</f>
        <v>#REF!</v>
      </c>
      <c r="H69" s="10">
        <f t="shared" si="7"/>
        <v>88</v>
      </c>
      <c r="I69" s="10">
        <f t="shared" si="8"/>
        <v>114.53362255965293</v>
      </c>
    </row>
    <row r="70" spans="1:9" ht="23.25" customHeight="1">
      <c r="A70" s="36" t="s">
        <v>11</v>
      </c>
      <c r="B70" s="36"/>
      <c r="C70" s="34" t="s">
        <v>17</v>
      </c>
      <c r="D70" s="35">
        <v>5302.2</v>
      </c>
      <c r="E70" s="35">
        <v>7493.9</v>
      </c>
      <c r="F70" s="9">
        <v>8731.4</v>
      </c>
      <c r="G70" s="11" t="e">
        <f>F70*100/#REF!</f>
        <v>#REF!</v>
      </c>
      <c r="H70" s="10">
        <f t="shared" si="7"/>
        <v>116.51343092381805</v>
      </c>
      <c r="I70" s="10">
        <f t="shared" si="8"/>
        <v>164.675040549206</v>
      </c>
    </row>
    <row r="71" spans="1:9" ht="25.5" customHeight="1" hidden="1">
      <c r="A71" s="38" t="s">
        <v>42</v>
      </c>
      <c r="B71" s="38"/>
      <c r="C71" s="34" t="s">
        <v>43</v>
      </c>
      <c r="D71" s="35"/>
      <c r="E71" s="35"/>
      <c r="F71" s="9"/>
      <c r="G71" s="11"/>
      <c r="H71" s="10"/>
      <c r="I71" s="10"/>
    </row>
    <row r="72" spans="1:9" ht="24">
      <c r="A72" s="37" t="s">
        <v>18</v>
      </c>
      <c r="B72" s="37"/>
      <c r="C72" s="34" t="s">
        <v>15</v>
      </c>
      <c r="D72" s="35">
        <v>175</v>
      </c>
      <c r="E72" s="35">
        <v>469.9</v>
      </c>
      <c r="F72" s="9">
        <v>516.9</v>
      </c>
      <c r="G72" s="11" t="e">
        <f>F72*100/#REF!</f>
        <v>#REF!</v>
      </c>
      <c r="H72" s="10">
        <f>F72*100/E72</f>
        <v>110.00212811236433</v>
      </c>
      <c r="I72" s="10">
        <f>F72*100/D72</f>
        <v>295.37142857142857</v>
      </c>
    </row>
    <row r="73" spans="1:9" ht="12.75" customHeight="1">
      <c r="A73" s="39" t="s">
        <v>12</v>
      </c>
      <c r="B73" s="39"/>
      <c r="C73" s="34" t="s">
        <v>7</v>
      </c>
      <c r="D73" s="35"/>
      <c r="E73" s="35">
        <v>60</v>
      </c>
      <c r="F73" s="9">
        <v>89.7</v>
      </c>
      <c r="G73" s="11" t="e">
        <f>F73*100/#REF!</f>
        <v>#REF!</v>
      </c>
      <c r="H73" s="10">
        <f>F73*100/E73</f>
        <v>149.5</v>
      </c>
      <c r="I73" s="10"/>
    </row>
    <row r="74" spans="1:9" ht="12.75">
      <c r="A74" s="40" t="s">
        <v>39</v>
      </c>
      <c r="B74" s="41"/>
      <c r="C74" s="42" t="s">
        <v>40</v>
      </c>
      <c r="D74" s="35"/>
      <c r="E74" s="35">
        <v>0</v>
      </c>
      <c r="F74" s="9">
        <v>-24</v>
      </c>
      <c r="G74" s="11"/>
      <c r="H74" s="10"/>
      <c r="I74" s="10"/>
    </row>
    <row r="75" spans="1:9" ht="12.75">
      <c r="A75" s="43" t="s">
        <v>1</v>
      </c>
      <c r="B75" s="43"/>
      <c r="C75" s="44" t="s">
        <v>0</v>
      </c>
      <c r="D75" s="14">
        <f>D76+D77</f>
        <v>26371.2</v>
      </c>
      <c r="E75" s="14">
        <f>E76+E77</f>
        <v>60094.6</v>
      </c>
      <c r="F75" s="14">
        <f>F76+F77</f>
        <v>44115.1</v>
      </c>
      <c r="G75" s="13" t="e">
        <f>F75*100/#REF!</f>
        <v>#REF!</v>
      </c>
      <c r="H75" s="12">
        <f>F75*100/E75</f>
        <v>73.4094244740792</v>
      </c>
      <c r="I75" s="12">
        <f>F75*100/D75</f>
        <v>167.28514439995146</v>
      </c>
    </row>
    <row r="76" spans="1:9" ht="24">
      <c r="A76" s="45" t="s">
        <v>64</v>
      </c>
      <c r="B76" s="31"/>
      <c r="C76" s="46" t="s">
        <v>20</v>
      </c>
      <c r="D76" s="47">
        <v>26371.2</v>
      </c>
      <c r="E76" s="35">
        <v>59999.6</v>
      </c>
      <c r="F76" s="10">
        <v>44020.1</v>
      </c>
      <c r="G76" s="11" t="e">
        <f>F76*100/#REF!</f>
        <v>#REF!</v>
      </c>
      <c r="H76" s="10">
        <f>F76*100/E76</f>
        <v>73.36732244881632</v>
      </c>
      <c r="I76" s="10">
        <f>F76*100/D76</f>
        <v>166.92490292440237</v>
      </c>
    </row>
    <row r="77" spans="1:9" ht="21" customHeight="1">
      <c r="A77" s="45" t="s">
        <v>74</v>
      </c>
      <c r="B77" s="45"/>
      <c r="C77" s="48" t="s">
        <v>19</v>
      </c>
      <c r="D77" s="49"/>
      <c r="E77" s="35">
        <v>95</v>
      </c>
      <c r="F77" s="10">
        <v>95</v>
      </c>
      <c r="G77" s="11" t="e">
        <f>F77*100/#REF!</f>
        <v>#REF!</v>
      </c>
      <c r="H77" s="10">
        <f>F77*100/E77</f>
        <v>100</v>
      </c>
      <c r="I77" s="10"/>
    </row>
    <row r="78" spans="1:9" ht="12.75">
      <c r="A78" s="39"/>
      <c r="B78" s="54"/>
      <c r="C78" s="55" t="s">
        <v>4</v>
      </c>
      <c r="D78" s="12">
        <f>D75+D64</f>
        <v>63754.2</v>
      </c>
      <c r="E78" s="12">
        <f>E75+E64</f>
        <v>103768.29999999999</v>
      </c>
      <c r="F78" s="12">
        <f>F75+F64</f>
        <v>87138.79999999999</v>
      </c>
      <c r="G78" s="13" t="e">
        <f>F78*100/#REF!</f>
        <v>#REF!</v>
      </c>
      <c r="H78" s="12">
        <f>F78*100/E78</f>
        <v>83.97439295044825</v>
      </c>
      <c r="I78" s="12">
        <f>F78*100/D78</f>
        <v>136.67930897101678</v>
      </c>
    </row>
    <row r="79" spans="1:9" ht="12.75">
      <c r="A79" s="85"/>
      <c r="B79" s="86"/>
      <c r="C79" s="86"/>
      <c r="D79" s="86"/>
      <c r="E79" s="86"/>
      <c r="F79" s="86"/>
      <c r="G79" s="86"/>
      <c r="H79" s="86"/>
      <c r="I79" s="87"/>
    </row>
    <row r="80" spans="1:9" ht="12.75">
      <c r="A80" s="80" t="s">
        <v>28</v>
      </c>
      <c r="B80" s="81"/>
      <c r="C80" s="81"/>
      <c r="D80" s="81"/>
      <c r="E80" s="81"/>
      <c r="F80" s="81"/>
      <c r="G80" s="81"/>
      <c r="H80" s="81"/>
      <c r="I80" s="82"/>
    </row>
    <row r="81" spans="1:9" ht="12.75">
      <c r="A81" s="43" t="s">
        <v>3</v>
      </c>
      <c r="B81" s="43"/>
      <c r="C81" s="56" t="s">
        <v>65</v>
      </c>
      <c r="D81" s="13">
        <f>D82+D84+D85+D86+D87+D88+D89+D90+D91+D83</f>
        <v>36893.7</v>
      </c>
      <c r="E81" s="13">
        <f>E82+E84+E85+E86+E87+E88+E89+E90+E91+E83+0.1</f>
        <v>42485.39999999999</v>
      </c>
      <c r="F81" s="13">
        <f>F82+F84+F85+F86+F87+F88+F89+F90+F91+F83</f>
        <v>39593.9</v>
      </c>
      <c r="G81" s="13" t="e">
        <f>F81*100/#REF!</f>
        <v>#REF!</v>
      </c>
      <c r="H81" s="12">
        <f aca="true" t="shared" si="9" ref="H81:H90">F81*100/E81</f>
        <v>93.19413257260145</v>
      </c>
      <c r="I81" s="12">
        <f aca="true" t="shared" si="10" ref="I81:I89">F81*100/D81</f>
        <v>107.31886473842418</v>
      </c>
    </row>
    <row r="82" spans="1:9" ht="13.5" customHeight="1">
      <c r="A82" s="39" t="s">
        <v>23</v>
      </c>
      <c r="B82" s="39"/>
      <c r="C82" s="34" t="s">
        <v>22</v>
      </c>
      <c r="D82" s="35">
        <v>23300</v>
      </c>
      <c r="E82" s="35">
        <v>28663.2</v>
      </c>
      <c r="F82" s="10">
        <v>26170.3</v>
      </c>
      <c r="G82" s="11" t="e">
        <f>F82*100/#REF!</f>
        <v>#REF!</v>
      </c>
      <c r="H82" s="10">
        <f t="shared" si="9"/>
        <v>91.30278545312456</v>
      </c>
      <c r="I82" s="10">
        <f t="shared" si="10"/>
        <v>112.31888412017167</v>
      </c>
    </row>
    <row r="83" spans="1:9" ht="14.25" customHeight="1">
      <c r="A83" s="31" t="s">
        <v>67</v>
      </c>
      <c r="B83" s="31"/>
      <c r="C83" s="34" t="s">
        <v>68</v>
      </c>
      <c r="D83" s="35">
        <v>4138.7</v>
      </c>
      <c r="E83" s="35">
        <v>4138.7</v>
      </c>
      <c r="F83" s="10">
        <v>4194.9</v>
      </c>
      <c r="G83" s="11" t="e">
        <f>F83*100/#REF!</f>
        <v>#REF!</v>
      </c>
      <c r="H83" s="10">
        <f t="shared" si="9"/>
        <v>101.35791432092202</v>
      </c>
      <c r="I83" s="10">
        <f t="shared" si="10"/>
        <v>101.35791432092202</v>
      </c>
    </row>
    <row r="84" spans="1:9" ht="18.75" customHeight="1" hidden="1">
      <c r="A84" s="31" t="s">
        <v>8</v>
      </c>
      <c r="B84" s="31"/>
      <c r="C84" s="34" t="s">
        <v>5</v>
      </c>
      <c r="D84" s="35"/>
      <c r="E84" s="35"/>
      <c r="F84" s="10"/>
      <c r="G84" s="11" t="e">
        <f>F84*100/#REF!</f>
        <v>#REF!</v>
      </c>
      <c r="H84" s="10" t="e">
        <f t="shared" si="9"/>
        <v>#DIV/0!</v>
      </c>
      <c r="I84" s="10" t="e">
        <f t="shared" si="10"/>
        <v>#DIV/0!</v>
      </c>
    </row>
    <row r="85" spans="1:9" ht="12.75">
      <c r="A85" s="31" t="s">
        <v>9</v>
      </c>
      <c r="B85" s="31"/>
      <c r="C85" s="34" t="s">
        <v>6</v>
      </c>
      <c r="D85" s="35">
        <v>1880</v>
      </c>
      <c r="E85" s="35">
        <v>1880</v>
      </c>
      <c r="F85" s="10">
        <v>2244.4</v>
      </c>
      <c r="G85" s="11" t="e">
        <f>F85*100/#REF!</f>
        <v>#REF!</v>
      </c>
      <c r="H85" s="10">
        <f t="shared" si="9"/>
        <v>119.38297872340425</v>
      </c>
      <c r="I85" s="10">
        <f t="shared" si="10"/>
        <v>119.38297872340425</v>
      </c>
    </row>
    <row r="86" spans="1:9" ht="19.5" customHeight="1" hidden="1">
      <c r="A86" s="31" t="s">
        <v>10</v>
      </c>
      <c r="B86" s="31"/>
      <c r="C86" s="34" t="s">
        <v>21</v>
      </c>
      <c r="D86" s="35"/>
      <c r="E86" s="35"/>
      <c r="F86" s="10"/>
      <c r="G86" s="11" t="e">
        <f>F86*100/#REF!</f>
        <v>#REF!</v>
      </c>
      <c r="H86" s="10" t="e">
        <f t="shared" si="9"/>
        <v>#DIV/0!</v>
      </c>
      <c r="I86" s="10" t="e">
        <f t="shared" si="10"/>
        <v>#DIV/0!</v>
      </c>
    </row>
    <row r="87" spans="1:9" ht="24">
      <c r="A87" s="36" t="s">
        <v>11</v>
      </c>
      <c r="B87" s="36"/>
      <c r="C87" s="34" t="s">
        <v>17</v>
      </c>
      <c r="D87" s="35">
        <v>6954</v>
      </c>
      <c r="E87" s="35">
        <v>6954</v>
      </c>
      <c r="F87" s="10">
        <v>6196.9</v>
      </c>
      <c r="G87" s="11" t="e">
        <f>F87*100/#REF!</f>
        <v>#REF!</v>
      </c>
      <c r="H87" s="10">
        <f t="shared" si="9"/>
        <v>89.11274086856486</v>
      </c>
      <c r="I87" s="10">
        <f t="shared" si="10"/>
        <v>89.11274086856486</v>
      </c>
    </row>
    <row r="88" spans="1:9" ht="24">
      <c r="A88" s="38" t="s">
        <v>42</v>
      </c>
      <c r="B88" s="38"/>
      <c r="C88" s="34" t="s">
        <v>43</v>
      </c>
      <c r="D88" s="35">
        <v>496</v>
      </c>
      <c r="E88" s="35">
        <v>496</v>
      </c>
      <c r="F88" s="10">
        <v>331.4</v>
      </c>
      <c r="G88" s="11" t="e">
        <f>F88*100/#REF!</f>
        <v>#REF!</v>
      </c>
      <c r="H88" s="10">
        <f t="shared" si="9"/>
        <v>66.81451612903226</v>
      </c>
      <c r="I88" s="10">
        <f t="shared" si="10"/>
        <v>66.81451612903226</v>
      </c>
    </row>
    <row r="89" spans="1:9" ht="24">
      <c r="A89" s="37" t="s">
        <v>18</v>
      </c>
      <c r="B89" s="37"/>
      <c r="C89" s="34" t="s">
        <v>15</v>
      </c>
      <c r="D89" s="35">
        <v>125</v>
      </c>
      <c r="E89" s="35">
        <v>333.7</v>
      </c>
      <c r="F89" s="10">
        <v>418.9</v>
      </c>
      <c r="G89" s="11" t="e">
        <f>F89*100/#REF!</f>
        <v>#REF!</v>
      </c>
      <c r="H89" s="10">
        <f t="shared" si="9"/>
        <v>125.53191489361703</v>
      </c>
      <c r="I89" s="10">
        <f t="shared" si="10"/>
        <v>335.12</v>
      </c>
    </row>
    <row r="90" spans="1:9" ht="15.75" customHeight="1">
      <c r="A90" s="39" t="s">
        <v>12</v>
      </c>
      <c r="B90" s="39"/>
      <c r="C90" s="34" t="s">
        <v>7</v>
      </c>
      <c r="D90" s="35"/>
      <c r="E90" s="35">
        <v>19.7</v>
      </c>
      <c r="F90" s="10">
        <v>42.1</v>
      </c>
      <c r="G90" s="11" t="e">
        <f>F90*100/#REF!</f>
        <v>#REF!</v>
      </c>
      <c r="H90" s="10">
        <f t="shared" si="9"/>
        <v>213.7055837563452</v>
      </c>
      <c r="I90" s="10"/>
    </row>
    <row r="91" spans="1:9" ht="12.75">
      <c r="A91" s="40" t="s">
        <v>39</v>
      </c>
      <c r="B91" s="41"/>
      <c r="C91" s="42" t="s">
        <v>40</v>
      </c>
      <c r="D91" s="35"/>
      <c r="E91" s="35">
        <v>0</v>
      </c>
      <c r="F91" s="10">
        <v>-5</v>
      </c>
      <c r="G91" s="11"/>
      <c r="H91" s="10"/>
      <c r="I91" s="10"/>
    </row>
    <row r="92" spans="1:9" ht="12.75">
      <c r="A92" s="43" t="s">
        <v>1</v>
      </c>
      <c r="B92" s="43"/>
      <c r="C92" s="44" t="s">
        <v>0</v>
      </c>
      <c r="D92" s="14">
        <f>D93+D94</f>
        <v>52314.9</v>
      </c>
      <c r="E92" s="14">
        <f>E93+E94</f>
        <v>88151.5</v>
      </c>
      <c r="F92" s="14">
        <f>F93+F94</f>
        <v>60500.4</v>
      </c>
      <c r="G92" s="13" t="e">
        <f>F92*100/#REF!</f>
        <v>#REF!</v>
      </c>
      <c r="H92" s="12">
        <f>F92*100/E92</f>
        <v>68.63229780548261</v>
      </c>
      <c r="I92" s="12">
        <f>F92*100/D92</f>
        <v>115.64659399138677</v>
      </c>
    </row>
    <row r="93" spans="1:9" ht="24">
      <c r="A93" s="45" t="s">
        <v>64</v>
      </c>
      <c r="B93" s="31"/>
      <c r="C93" s="46" t="s">
        <v>20</v>
      </c>
      <c r="D93" s="47">
        <v>52314.9</v>
      </c>
      <c r="E93" s="35">
        <v>88096.5</v>
      </c>
      <c r="F93" s="10">
        <v>60450.8</v>
      </c>
      <c r="G93" s="11" t="e">
        <f>F93*100/#REF!</f>
        <v>#REF!</v>
      </c>
      <c r="H93" s="10">
        <f>F93*100/E93</f>
        <v>68.61884410844925</v>
      </c>
      <c r="I93" s="10">
        <f>F93*100/D93</f>
        <v>115.55178352629939</v>
      </c>
    </row>
    <row r="94" spans="1:9" ht="15" customHeight="1">
      <c r="A94" s="45" t="s">
        <v>74</v>
      </c>
      <c r="B94" s="45"/>
      <c r="C94" s="48" t="s">
        <v>19</v>
      </c>
      <c r="D94" s="49"/>
      <c r="E94" s="35">
        <v>55</v>
      </c>
      <c r="F94" s="10">
        <v>49.6</v>
      </c>
      <c r="G94" s="11" t="e">
        <f>F94*100/#REF!</f>
        <v>#REF!</v>
      </c>
      <c r="H94" s="10">
        <f>F94*100/E94</f>
        <v>90.18181818181819</v>
      </c>
      <c r="I94" s="10"/>
    </row>
    <row r="95" spans="1:9" ht="12.75">
      <c r="A95" s="39"/>
      <c r="B95" s="54"/>
      <c r="C95" s="55" t="s">
        <v>4</v>
      </c>
      <c r="D95" s="12">
        <f>D92+D81</f>
        <v>89208.6</v>
      </c>
      <c r="E95" s="12">
        <f>E92+E81</f>
        <v>130636.9</v>
      </c>
      <c r="F95" s="12">
        <f>F92+F81</f>
        <v>100094.3</v>
      </c>
      <c r="G95" s="13" t="e">
        <f>F95*100/#REF!</f>
        <v>#REF!</v>
      </c>
      <c r="H95" s="12">
        <f>F95*100/E95</f>
        <v>76.62023517092032</v>
      </c>
      <c r="I95" s="12">
        <f>F95*100/D95</f>
        <v>112.20252307512952</v>
      </c>
    </row>
    <row r="96" spans="1:9" ht="12.75">
      <c r="A96" s="76"/>
      <c r="B96" s="77"/>
      <c r="C96" s="77"/>
      <c r="D96" s="77"/>
      <c r="E96" s="77"/>
      <c r="F96" s="77"/>
      <c r="G96" s="13"/>
      <c r="H96" s="12"/>
      <c r="I96" s="10"/>
    </row>
    <row r="97" spans="1:9" ht="12.75">
      <c r="A97" s="80" t="s">
        <v>29</v>
      </c>
      <c r="B97" s="81"/>
      <c r="C97" s="81"/>
      <c r="D97" s="81"/>
      <c r="E97" s="81"/>
      <c r="F97" s="81"/>
      <c r="G97" s="81"/>
      <c r="H97" s="81"/>
      <c r="I97" s="82"/>
    </row>
    <row r="98" spans="1:9" ht="12.75">
      <c r="A98" s="43" t="s">
        <v>3</v>
      </c>
      <c r="B98" s="43"/>
      <c r="C98" s="56" t="s">
        <v>65</v>
      </c>
      <c r="D98" s="13">
        <f>D99+D102+D106+D103+D104+D107+D105+D101+D100</f>
        <v>2809.8</v>
      </c>
      <c r="E98" s="13">
        <f>E99+E102+E106+E103+E104+E107+E105+E101+E100</f>
        <v>2835.2</v>
      </c>
      <c r="F98" s="13">
        <f>F99+F102+F106+F103+F104+F107+F105+F101+F100</f>
        <v>3526.7000000000003</v>
      </c>
      <c r="G98" s="13" t="e">
        <f>F98*100/#REF!</f>
        <v>#REF!</v>
      </c>
      <c r="H98" s="12">
        <f aca="true" t="shared" si="11" ref="H98:H106">F98*100/E98</f>
        <v>124.3898137697517</v>
      </c>
      <c r="I98" s="12">
        <f aca="true" t="shared" si="12" ref="I98:I105">F98*100/D98</f>
        <v>125.51427147839703</v>
      </c>
    </row>
    <row r="99" spans="1:9" ht="12.75">
      <c r="A99" s="39" t="s">
        <v>23</v>
      </c>
      <c r="B99" s="39"/>
      <c r="C99" s="34" t="s">
        <v>22</v>
      </c>
      <c r="D99" s="35">
        <v>1280</v>
      </c>
      <c r="E99" s="35">
        <v>1290.4</v>
      </c>
      <c r="F99" s="10">
        <v>1476.9</v>
      </c>
      <c r="G99" s="11" t="e">
        <f>F99*100/#REF!</f>
        <v>#REF!</v>
      </c>
      <c r="H99" s="10">
        <f t="shared" si="11"/>
        <v>114.45288282703036</v>
      </c>
      <c r="I99" s="10">
        <f t="shared" si="12"/>
        <v>115.3828125</v>
      </c>
    </row>
    <row r="100" spans="1:9" ht="12.75">
      <c r="A100" s="31" t="s">
        <v>67</v>
      </c>
      <c r="B100" s="31"/>
      <c r="C100" s="34" t="s">
        <v>68</v>
      </c>
      <c r="D100" s="35">
        <v>1342.3</v>
      </c>
      <c r="E100" s="35">
        <v>1342.3</v>
      </c>
      <c r="F100" s="10">
        <v>1360.5</v>
      </c>
      <c r="G100" s="11" t="e">
        <f>F100*100/#REF!</f>
        <v>#REF!</v>
      </c>
      <c r="H100" s="10">
        <f t="shared" si="11"/>
        <v>101.35588169559712</v>
      </c>
      <c r="I100" s="10">
        <f t="shared" si="12"/>
        <v>101.35588169559712</v>
      </c>
    </row>
    <row r="101" spans="1:9" ht="9.75" customHeight="1" hidden="1">
      <c r="A101" s="31" t="s">
        <v>8</v>
      </c>
      <c r="B101" s="31"/>
      <c r="C101" s="34" t="s">
        <v>5</v>
      </c>
      <c r="D101" s="35"/>
      <c r="E101" s="35"/>
      <c r="F101" s="10"/>
      <c r="G101" s="11" t="e">
        <f>F101*100/#REF!</f>
        <v>#REF!</v>
      </c>
      <c r="H101" s="10" t="e">
        <f t="shared" si="11"/>
        <v>#DIV/0!</v>
      </c>
      <c r="I101" s="10" t="e">
        <f t="shared" si="12"/>
        <v>#DIV/0!</v>
      </c>
    </row>
    <row r="102" spans="1:9" ht="12.75">
      <c r="A102" s="31" t="s">
        <v>9</v>
      </c>
      <c r="B102" s="31"/>
      <c r="C102" s="34" t="s">
        <v>6</v>
      </c>
      <c r="D102" s="35">
        <v>125</v>
      </c>
      <c r="E102" s="35">
        <v>125</v>
      </c>
      <c r="F102" s="10">
        <v>194.9</v>
      </c>
      <c r="G102" s="11" t="e">
        <f>F102*100/#REF!</f>
        <v>#REF!</v>
      </c>
      <c r="H102" s="10">
        <f t="shared" si="11"/>
        <v>155.92</v>
      </c>
      <c r="I102" s="10">
        <f t="shared" si="12"/>
        <v>155.92</v>
      </c>
    </row>
    <row r="103" spans="1:9" ht="12.75">
      <c r="A103" s="31" t="s">
        <v>10</v>
      </c>
      <c r="B103" s="31"/>
      <c r="C103" s="34" t="s">
        <v>21</v>
      </c>
      <c r="D103" s="35">
        <v>1.5</v>
      </c>
      <c r="E103" s="35">
        <v>1.5</v>
      </c>
      <c r="F103" s="10">
        <v>1.1</v>
      </c>
      <c r="G103" s="11" t="e">
        <f>F103*100/#REF!</f>
        <v>#REF!</v>
      </c>
      <c r="H103" s="10">
        <f t="shared" si="11"/>
        <v>73.33333333333334</v>
      </c>
      <c r="I103" s="10">
        <f t="shared" si="12"/>
        <v>73.33333333333334</v>
      </c>
    </row>
    <row r="104" spans="1:9" ht="24">
      <c r="A104" s="36" t="s">
        <v>11</v>
      </c>
      <c r="B104" s="36"/>
      <c r="C104" s="34" t="s">
        <v>17</v>
      </c>
      <c r="D104" s="35">
        <v>26</v>
      </c>
      <c r="E104" s="35">
        <v>26</v>
      </c>
      <c r="F104" s="10">
        <v>41.6</v>
      </c>
      <c r="G104" s="11" t="e">
        <f>F104*100/#REF!</f>
        <v>#REF!</v>
      </c>
      <c r="H104" s="10">
        <f t="shared" si="11"/>
        <v>160</v>
      </c>
      <c r="I104" s="10">
        <f t="shared" si="12"/>
        <v>160</v>
      </c>
    </row>
    <row r="105" spans="1:9" ht="24" customHeight="1">
      <c r="A105" s="38" t="s">
        <v>42</v>
      </c>
      <c r="B105" s="38"/>
      <c r="C105" s="34" t="s">
        <v>43</v>
      </c>
      <c r="D105" s="35">
        <v>35</v>
      </c>
      <c r="E105" s="35">
        <v>35</v>
      </c>
      <c r="F105" s="10">
        <v>28.3</v>
      </c>
      <c r="G105" s="11" t="e">
        <f>F105*100/#REF!</f>
        <v>#REF!</v>
      </c>
      <c r="H105" s="10">
        <f t="shared" si="11"/>
        <v>80.85714285714286</v>
      </c>
      <c r="I105" s="10">
        <f t="shared" si="12"/>
        <v>80.85714285714286</v>
      </c>
    </row>
    <row r="106" spans="1:9" ht="21" customHeight="1">
      <c r="A106" s="39" t="s">
        <v>12</v>
      </c>
      <c r="B106" s="39"/>
      <c r="C106" s="63" t="s">
        <v>7</v>
      </c>
      <c r="D106" s="35"/>
      <c r="E106" s="35">
        <v>15</v>
      </c>
      <c r="F106" s="10">
        <v>15</v>
      </c>
      <c r="G106" s="11" t="e">
        <f>F106*100/#REF!</f>
        <v>#REF!</v>
      </c>
      <c r="H106" s="10">
        <f t="shared" si="11"/>
        <v>100</v>
      </c>
      <c r="I106" s="10"/>
    </row>
    <row r="107" spans="1:9" ht="16.5" customHeight="1">
      <c r="A107" s="38" t="s">
        <v>39</v>
      </c>
      <c r="B107" s="64"/>
      <c r="C107" s="42" t="s">
        <v>40</v>
      </c>
      <c r="D107" s="35"/>
      <c r="E107" s="35">
        <v>0</v>
      </c>
      <c r="F107" s="10">
        <v>408.4</v>
      </c>
      <c r="G107" s="13"/>
      <c r="H107" s="12"/>
      <c r="I107" s="10"/>
    </row>
    <row r="108" spans="1:9" ht="12.75">
      <c r="A108" s="28" t="s">
        <v>1</v>
      </c>
      <c r="B108" s="28"/>
      <c r="C108" s="44" t="s">
        <v>0</v>
      </c>
      <c r="D108" s="14">
        <f>D109+D110</f>
        <v>21712.5</v>
      </c>
      <c r="E108" s="14">
        <f>E109+E110</f>
        <v>38866.7</v>
      </c>
      <c r="F108" s="14">
        <f>F109+F110</f>
        <v>25583.9</v>
      </c>
      <c r="G108" s="13" t="e">
        <f>F108*100/#REF!</f>
        <v>#REF!</v>
      </c>
      <c r="H108" s="12">
        <f>F108*100/E108</f>
        <v>65.82472913831121</v>
      </c>
      <c r="I108" s="12">
        <f>F108*100/D108</f>
        <v>117.83028209556707</v>
      </c>
    </row>
    <row r="109" spans="1:9" ht="27.75" customHeight="1">
      <c r="A109" s="45" t="s">
        <v>64</v>
      </c>
      <c r="B109" s="31"/>
      <c r="C109" s="46" t="s">
        <v>20</v>
      </c>
      <c r="D109" s="47">
        <v>21712.5</v>
      </c>
      <c r="E109" s="35">
        <v>38866.7</v>
      </c>
      <c r="F109" s="10">
        <v>25583.9</v>
      </c>
      <c r="G109" s="11" t="e">
        <f>F109*100/#REF!</f>
        <v>#REF!</v>
      </c>
      <c r="H109" s="10">
        <f>F109*100/E109</f>
        <v>65.82472913831121</v>
      </c>
      <c r="I109" s="10">
        <f>F109*100/D109</f>
        <v>117.83028209556707</v>
      </c>
    </row>
    <row r="110" spans="1:9" ht="18.75" customHeight="1" hidden="1">
      <c r="A110" s="45" t="s">
        <v>2</v>
      </c>
      <c r="B110" s="45"/>
      <c r="C110" s="48" t="s">
        <v>19</v>
      </c>
      <c r="D110" s="48"/>
      <c r="E110" s="35"/>
      <c r="F110" s="10"/>
      <c r="G110" s="13"/>
      <c r="H110" s="12"/>
      <c r="I110" s="10" t="e">
        <f>F110*100/D110</f>
        <v>#DIV/0!</v>
      </c>
    </row>
    <row r="111" spans="1:9" ht="12.75">
      <c r="A111" s="39"/>
      <c r="B111" s="54"/>
      <c r="C111" s="55" t="s">
        <v>4</v>
      </c>
      <c r="D111" s="12">
        <f>D108+D98</f>
        <v>24522.3</v>
      </c>
      <c r="E111" s="12">
        <f>E108+E98</f>
        <v>41701.899999999994</v>
      </c>
      <c r="F111" s="12">
        <f>F108+F98</f>
        <v>29110.600000000002</v>
      </c>
      <c r="G111" s="13" t="e">
        <f>F111*100/#REF!</f>
        <v>#REF!</v>
      </c>
      <c r="H111" s="12">
        <f>F111*100/E111</f>
        <v>69.80641169826795</v>
      </c>
      <c r="I111" s="12">
        <f>F111*100/D111</f>
        <v>118.71072452420859</v>
      </c>
    </row>
    <row r="112" spans="1:9" ht="12.75">
      <c r="A112" s="76"/>
      <c r="B112" s="77"/>
      <c r="C112" s="77"/>
      <c r="D112" s="77"/>
      <c r="E112" s="77"/>
      <c r="F112" s="77"/>
      <c r="G112" s="13"/>
      <c r="H112" s="12"/>
      <c r="I112" s="10"/>
    </row>
    <row r="113" spans="1:9" ht="12.75">
      <c r="A113" s="80" t="s">
        <v>30</v>
      </c>
      <c r="B113" s="81"/>
      <c r="C113" s="81"/>
      <c r="D113" s="81"/>
      <c r="E113" s="81"/>
      <c r="F113" s="81"/>
      <c r="G113" s="81"/>
      <c r="H113" s="81"/>
      <c r="I113" s="82"/>
    </row>
    <row r="114" spans="1:9" ht="12.75">
      <c r="A114" s="43" t="s">
        <v>3</v>
      </c>
      <c r="B114" s="43"/>
      <c r="C114" s="56" t="s">
        <v>65</v>
      </c>
      <c r="D114" s="13">
        <f>D115+D116+D117+D118+D119+D120+D121+D122+D123+D124</f>
        <v>5053.8</v>
      </c>
      <c r="E114" s="13">
        <f>E115+E116+E117+E118+E119+E120+E121+E122+E123+E124</f>
        <v>5696.099999999999</v>
      </c>
      <c r="F114" s="13">
        <f>F115+F116+F117+F118+F119+F120+F121+F122+F123+F124</f>
        <v>5135.999999999999</v>
      </c>
      <c r="G114" s="13" t="e">
        <f>G115+G116+G117+G118+G119+G120+G121+G122+G123+G124</f>
        <v>#REF!</v>
      </c>
      <c r="H114" s="12">
        <f aca="true" t="shared" si="13" ref="H114:H123">F114*100/E114</f>
        <v>90.16695633854742</v>
      </c>
      <c r="I114" s="12">
        <f>F114*100/D114</f>
        <v>101.6264988721358</v>
      </c>
    </row>
    <row r="115" spans="1:9" ht="12.75">
      <c r="A115" s="39" t="s">
        <v>23</v>
      </c>
      <c r="B115" s="39"/>
      <c r="C115" s="34" t="s">
        <v>22</v>
      </c>
      <c r="D115" s="35">
        <v>1210</v>
      </c>
      <c r="E115" s="35">
        <v>1212.7</v>
      </c>
      <c r="F115" s="10">
        <v>1231.1</v>
      </c>
      <c r="G115" s="11" t="e">
        <f>F115*100/#REF!</f>
        <v>#REF!</v>
      </c>
      <c r="H115" s="10">
        <f t="shared" si="13"/>
        <v>101.51727550094829</v>
      </c>
      <c r="I115" s="10">
        <f>F115*100/D115</f>
        <v>101.74380165289254</v>
      </c>
    </row>
    <row r="116" spans="1:9" ht="13.5" customHeight="1">
      <c r="A116" s="31" t="s">
        <v>67</v>
      </c>
      <c r="B116" s="31"/>
      <c r="C116" s="34" t="s">
        <v>68</v>
      </c>
      <c r="D116" s="35">
        <v>2908.3</v>
      </c>
      <c r="E116" s="35">
        <v>3308.3</v>
      </c>
      <c r="F116" s="10">
        <v>2947.8</v>
      </c>
      <c r="G116" s="11" t="e">
        <f>F116*100/#REF!</f>
        <v>#REF!</v>
      </c>
      <c r="H116" s="10">
        <f t="shared" si="13"/>
        <v>89.1031647674032</v>
      </c>
      <c r="I116" s="10">
        <f>F116*100/D116</f>
        <v>101.35818175566482</v>
      </c>
    </row>
    <row r="117" spans="1:9" ht="12.75">
      <c r="A117" s="31" t="s">
        <v>8</v>
      </c>
      <c r="B117" s="31"/>
      <c r="C117" s="34" t="s">
        <v>5</v>
      </c>
      <c r="D117" s="35"/>
      <c r="E117" s="35">
        <v>25.2</v>
      </c>
      <c r="F117" s="10">
        <v>25.2</v>
      </c>
      <c r="G117" s="11" t="e">
        <f>F117*100/#REF!</f>
        <v>#REF!</v>
      </c>
      <c r="H117" s="10">
        <f t="shared" si="13"/>
        <v>100</v>
      </c>
      <c r="I117" s="10"/>
    </row>
    <row r="118" spans="1:9" ht="12.75">
      <c r="A118" s="31" t="s">
        <v>9</v>
      </c>
      <c r="B118" s="31"/>
      <c r="C118" s="34" t="s">
        <v>6</v>
      </c>
      <c r="D118" s="35">
        <v>145</v>
      </c>
      <c r="E118" s="35">
        <v>145</v>
      </c>
      <c r="F118" s="10">
        <v>168.2</v>
      </c>
      <c r="G118" s="11" t="e">
        <f>F118*100/#REF!</f>
        <v>#REF!</v>
      </c>
      <c r="H118" s="10">
        <f t="shared" si="13"/>
        <v>116</v>
      </c>
      <c r="I118" s="10">
        <f>F118*100/D118</f>
        <v>116</v>
      </c>
    </row>
    <row r="119" spans="1:9" ht="12.75">
      <c r="A119" s="31" t="s">
        <v>10</v>
      </c>
      <c r="B119" s="31"/>
      <c r="C119" s="34" t="s">
        <v>21</v>
      </c>
      <c r="D119" s="35">
        <v>12</v>
      </c>
      <c r="E119" s="35">
        <v>12</v>
      </c>
      <c r="F119" s="10">
        <v>10.6</v>
      </c>
      <c r="G119" s="11" t="e">
        <f>F119*100/#REF!</f>
        <v>#REF!</v>
      </c>
      <c r="H119" s="10">
        <f t="shared" si="13"/>
        <v>88.33333333333333</v>
      </c>
      <c r="I119" s="10">
        <f>F119*100/D119</f>
        <v>88.33333333333333</v>
      </c>
    </row>
    <row r="120" spans="1:9" ht="24">
      <c r="A120" s="36" t="s">
        <v>11</v>
      </c>
      <c r="B120" s="36"/>
      <c r="C120" s="34" t="s">
        <v>17</v>
      </c>
      <c r="D120" s="35">
        <v>657.2</v>
      </c>
      <c r="E120" s="35">
        <v>733.2</v>
      </c>
      <c r="F120" s="10">
        <v>509.7</v>
      </c>
      <c r="G120" s="11" t="e">
        <f>F120*100/#REF!</f>
        <v>#REF!</v>
      </c>
      <c r="H120" s="10">
        <f t="shared" si="13"/>
        <v>69.51718494271685</v>
      </c>
      <c r="I120" s="10">
        <f>F120*100/D120</f>
        <v>77.55629945222154</v>
      </c>
    </row>
    <row r="121" spans="1:9" ht="24">
      <c r="A121" s="38" t="s">
        <v>42</v>
      </c>
      <c r="B121" s="38"/>
      <c r="C121" s="34" t="s">
        <v>43</v>
      </c>
      <c r="D121" s="35">
        <v>121.3</v>
      </c>
      <c r="E121" s="35">
        <v>193.7</v>
      </c>
      <c r="F121" s="10">
        <v>177.4</v>
      </c>
      <c r="G121" s="11" t="e">
        <f>F121*100/#REF!</f>
        <v>#REF!</v>
      </c>
      <c r="H121" s="10">
        <f t="shared" si="13"/>
        <v>91.58492514197212</v>
      </c>
      <c r="I121" s="10">
        <f>F121*100/D121</f>
        <v>146.2489694971146</v>
      </c>
    </row>
    <row r="122" spans="1:9" ht="16.5" customHeight="1">
      <c r="A122" s="37" t="s">
        <v>18</v>
      </c>
      <c r="B122" s="37"/>
      <c r="C122" s="34" t="s">
        <v>15</v>
      </c>
      <c r="D122" s="35"/>
      <c r="E122" s="35">
        <v>50</v>
      </c>
      <c r="F122" s="10">
        <v>50</v>
      </c>
      <c r="G122" s="11" t="e">
        <f>F122*100/#REF!</f>
        <v>#REF!</v>
      </c>
      <c r="H122" s="10">
        <f t="shared" si="13"/>
        <v>100</v>
      </c>
      <c r="I122" s="10"/>
    </row>
    <row r="123" spans="1:9" ht="17.25" customHeight="1">
      <c r="A123" s="39" t="s">
        <v>12</v>
      </c>
      <c r="B123" s="39"/>
      <c r="C123" s="34" t="s">
        <v>7</v>
      </c>
      <c r="D123" s="35"/>
      <c r="E123" s="35">
        <v>16</v>
      </c>
      <c r="F123" s="10">
        <v>16</v>
      </c>
      <c r="G123" s="11" t="e">
        <f>F123*100/#REF!</f>
        <v>#REF!</v>
      </c>
      <c r="H123" s="10">
        <f t="shared" si="13"/>
        <v>100</v>
      </c>
      <c r="I123" s="10"/>
    </row>
    <row r="124" spans="1:9" ht="14.25" customHeight="1">
      <c r="A124" s="37" t="s">
        <v>39</v>
      </c>
      <c r="B124" s="64"/>
      <c r="C124" s="42" t="s">
        <v>40</v>
      </c>
      <c r="D124" s="35"/>
      <c r="E124" s="35">
        <v>0</v>
      </c>
      <c r="F124" s="10"/>
      <c r="G124" s="13"/>
      <c r="H124" s="12"/>
      <c r="I124" s="10"/>
    </row>
    <row r="125" spans="1:9" ht="12.75">
      <c r="A125" s="43" t="s">
        <v>1</v>
      </c>
      <c r="B125" s="43"/>
      <c r="C125" s="44" t="s">
        <v>0</v>
      </c>
      <c r="D125" s="14">
        <f>D126</f>
        <v>29006.8</v>
      </c>
      <c r="E125" s="14">
        <f>E126</f>
        <v>51518.2</v>
      </c>
      <c r="F125" s="14">
        <f>F126</f>
        <v>40589.4</v>
      </c>
      <c r="G125" s="13" t="e">
        <f>F125*100/#REF!</f>
        <v>#REF!</v>
      </c>
      <c r="H125" s="12">
        <f>F125*100/E125</f>
        <v>78.78652592675986</v>
      </c>
      <c r="I125" s="12">
        <f>F125*100/D125</f>
        <v>139.93063695409353</v>
      </c>
    </row>
    <row r="126" spans="1:9" ht="24">
      <c r="A126" s="45" t="s">
        <v>64</v>
      </c>
      <c r="B126" s="31"/>
      <c r="C126" s="46" t="s">
        <v>20</v>
      </c>
      <c r="D126" s="47">
        <v>29006.8</v>
      </c>
      <c r="E126" s="35">
        <v>51518.2</v>
      </c>
      <c r="F126" s="10">
        <v>40589.4</v>
      </c>
      <c r="G126" s="11" t="e">
        <f>F126*100/#REF!</f>
        <v>#REF!</v>
      </c>
      <c r="H126" s="10">
        <f>F126*100/E126</f>
        <v>78.78652592675986</v>
      </c>
      <c r="I126" s="10">
        <f>F126*100/D126</f>
        <v>139.93063695409353</v>
      </c>
    </row>
    <row r="127" spans="1:9" ht="12.75">
      <c r="A127" s="39"/>
      <c r="B127" s="54"/>
      <c r="C127" s="55" t="s">
        <v>4</v>
      </c>
      <c r="D127" s="12">
        <f>D125+D114</f>
        <v>34060.6</v>
      </c>
      <c r="E127" s="12">
        <f>E125+E114</f>
        <v>57214.299999999996</v>
      </c>
      <c r="F127" s="12">
        <f>F125+F114</f>
        <v>45725.4</v>
      </c>
      <c r="G127" s="13" t="e">
        <f>F127*100/#REF!</f>
        <v>#REF!</v>
      </c>
      <c r="H127" s="12">
        <f>F127*100/E127</f>
        <v>79.91953060685879</v>
      </c>
      <c r="I127" s="12">
        <f>F127*100/D127</f>
        <v>134.24719470590654</v>
      </c>
    </row>
    <row r="128" spans="1:9" ht="12.75">
      <c r="A128" s="76"/>
      <c r="B128" s="77"/>
      <c r="C128" s="77"/>
      <c r="D128" s="77"/>
      <c r="E128" s="77"/>
      <c r="F128" s="77"/>
      <c r="G128" s="13"/>
      <c r="H128" s="12"/>
      <c r="I128" s="10"/>
    </row>
    <row r="129" spans="1:9" ht="12.75">
      <c r="A129" s="80" t="s">
        <v>31</v>
      </c>
      <c r="B129" s="81"/>
      <c r="C129" s="81"/>
      <c r="D129" s="81"/>
      <c r="E129" s="81"/>
      <c r="F129" s="81"/>
      <c r="G129" s="81"/>
      <c r="H129" s="81"/>
      <c r="I129" s="82"/>
    </row>
    <row r="130" spans="1:9" ht="12.75">
      <c r="A130" s="43" t="s">
        <v>3</v>
      </c>
      <c r="B130" s="43"/>
      <c r="C130" s="56" t="s">
        <v>65</v>
      </c>
      <c r="D130" s="13">
        <f>D131+D134+D135+D136+D138+D140+D137+D139+D132</f>
        <v>10033.1</v>
      </c>
      <c r="E130" s="13">
        <f>E131+E134+E135+E136+E138+E140+E137+E139+E132</f>
        <v>10281.6</v>
      </c>
      <c r="F130" s="13">
        <f>F131+F134+F135+F136+F138+F140+F137+F139+F132+F133</f>
        <v>10224.8</v>
      </c>
      <c r="G130" s="13" t="e">
        <f>F130*100/#REF!</f>
        <v>#REF!</v>
      </c>
      <c r="H130" s="12">
        <f>F130*100/E130</f>
        <v>99.44755680049796</v>
      </c>
      <c r="I130" s="12">
        <f>F130*100/D130</f>
        <v>101.91067566355362</v>
      </c>
    </row>
    <row r="131" spans="1:9" ht="12.75">
      <c r="A131" s="39" t="s">
        <v>23</v>
      </c>
      <c r="B131" s="39"/>
      <c r="C131" s="34" t="s">
        <v>22</v>
      </c>
      <c r="D131" s="35">
        <v>2950</v>
      </c>
      <c r="E131" s="35">
        <v>2950</v>
      </c>
      <c r="F131" s="10">
        <v>2660.3</v>
      </c>
      <c r="G131" s="11" t="e">
        <f>F131*100/#REF!</f>
        <v>#REF!</v>
      </c>
      <c r="H131" s="10">
        <f>F131*100/E131</f>
        <v>90.17966101694915</v>
      </c>
      <c r="I131" s="10">
        <f>F131*100/D131</f>
        <v>90.17966101694915</v>
      </c>
    </row>
    <row r="132" spans="1:9" ht="12.75">
      <c r="A132" s="31" t="s">
        <v>67</v>
      </c>
      <c r="B132" s="31"/>
      <c r="C132" s="34" t="s">
        <v>68</v>
      </c>
      <c r="D132" s="35">
        <v>6359.1</v>
      </c>
      <c r="E132" s="35">
        <v>6359.1</v>
      </c>
      <c r="F132" s="10">
        <v>6445.4</v>
      </c>
      <c r="G132" s="11" t="e">
        <f>F132*100/#REF!</f>
        <v>#REF!</v>
      </c>
      <c r="H132" s="10">
        <f>F132*100/E132</f>
        <v>101.35711028290166</v>
      </c>
      <c r="I132" s="10">
        <f>F132*100/D132</f>
        <v>101.35711028290166</v>
      </c>
    </row>
    <row r="133" spans="1:9" ht="12.75">
      <c r="A133" s="31" t="s">
        <v>8</v>
      </c>
      <c r="B133" s="31"/>
      <c r="C133" s="34" t="s">
        <v>5</v>
      </c>
      <c r="D133" s="35"/>
      <c r="E133" s="35"/>
      <c r="F133" s="10">
        <v>0.3</v>
      </c>
      <c r="G133" s="11"/>
      <c r="H133" s="10"/>
      <c r="I133" s="10"/>
    </row>
    <row r="134" spans="1:9" ht="12.75">
      <c r="A134" s="31" t="s">
        <v>9</v>
      </c>
      <c r="B134" s="31"/>
      <c r="C134" s="34" t="s">
        <v>6</v>
      </c>
      <c r="D134" s="35">
        <v>394</v>
      </c>
      <c r="E134" s="35">
        <v>394</v>
      </c>
      <c r="F134" s="10">
        <v>528.6</v>
      </c>
      <c r="G134" s="11" t="e">
        <f>F134*100/#REF!</f>
        <v>#REF!</v>
      </c>
      <c r="H134" s="10">
        <f>F134*100/E134</f>
        <v>134.16243654822335</v>
      </c>
      <c r="I134" s="10">
        <f>F134*100/D134</f>
        <v>134.16243654822335</v>
      </c>
    </row>
    <row r="135" spans="1:9" ht="12.75">
      <c r="A135" s="31" t="s">
        <v>10</v>
      </c>
      <c r="B135" s="31"/>
      <c r="C135" s="34" t="s">
        <v>21</v>
      </c>
      <c r="D135" s="35">
        <v>10</v>
      </c>
      <c r="E135" s="35">
        <v>15</v>
      </c>
      <c r="F135" s="10">
        <v>21.4</v>
      </c>
      <c r="G135" s="11" t="e">
        <f>F135*100/#REF!</f>
        <v>#REF!</v>
      </c>
      <c r="H135" s="10">
        <f>F135*100/E135</f>
        <v>142.66666666666666</v>
      </c>
      <c r="I135" s="10">
        <f>F135*100/D135</f>
        <v>214</v>
      </c>
    </row>
    <row r="136" spans="1:9" ht="24">
      <c r="A136" s="36" t="s">
        <v>11</v>
      </c>
      <c r="B136" s="36"/>
      <c r="C136" s="34" t="s">
        <v>17</v>
      </c>
      <c r="D136" s="35">
        <v>220</v>
      </c>
      <c r="E136" s="35">
        <v>444.3</v>
      </c>
      <c r="F136" s="10">
        <v>448.1</v>
      </c>
      <c r="G136" s="11" t="e">
        <f>F136*100/#REF!</f>
        <v>#REF!</v>
      </c>
      <c r="H136" s="10">
        <f>F136*100/E136</f>
        <v>100.85527796533873</v>
      </c>
      <c r="I136" s="10">
        <f>F136*100/D136</f>
        <v>203.6818181818182</v>
      </c>
    </row>
    <row r="137" spans="1:9" ht="24">
      <c r="A137" s="38" t="s">
        <v>42</v>
      </c>
      <c r="B137" s="38"/>
      <c r="C137" s="34" t="s">
        <v>43</v>
      </c>
      <c r="D137" s="35">
        <v>100</v>
      </c>
      <c r="E137" s="35">
        <v>119.2</v>
      </c>
      <c r="F137" s="10">
        <v>108.2</v>
      </c>
      <c r="G137" s="11" t="e">
        <f>F137*100/#REF!</f>
        <v>#REF!</v>
      </c>
      <c r="H137" s="10">
        <f>F137*100/E137</f>
        <v>90.7718120805369</v>
      </c>
      <c r="I137" s="10">
        <f>F137*100/D137</f>
        <v>108.2</v>
      </c>
    </row>
    <row r="138" spans="1:9" ht="17.25" customHeight="1" hidden="1">
      <c r="A138" s="38" t="s">
        <v>18</v>
      </c>
      <c r="B138" s="38"/>
      <c r="C138" s="34" t="s">
        <v>15</v>
      </c>
      <c r="D138" s="35">
        <v>0</v>
      </c>
      <c r="E138" s="35"/>
      <c r="F138" s="10"/>
      <c r="G138" s="11" t="e">
        <f>F138*100/#REF!</f>
        <v>#REF!</v>
      </c>
      <c r="H138" s="10" t="e">
        <f>F138*100/E138</f>
        <v>#DIV/0!</v>
      </c>
      <c r="I138" s="10"/>
    </row>
    <row r="139" spans="1:9" ht="21" customHeight="1">
      <c r="A139" s="39" t="s">
        <v>12</v>
      </c>
      <c r="B139" s="39"/>
      <c r="C139" s="34" t="s">
        <v>7</v>
      </c>
      <c r="D139" s="35"/>
      <c r="E139" s="35">
        <v>0</v>
      </c>
      <c r="F139" s="10">
        <v>25</v>
      </c>
      <c r="G139" s="11"/>
      <c r="H139" s="10"/>
      <c r="I139" s="10"/>
    </row>
    <row r="140" spans="1:9" ht="18" customHeight="1">
      <c r="A140" s="38" t="s">
        <v>39</v>
      </c>
      <c r="B140" s="64"/>
      <c r="C140" s="42" t="s">
        <v>40</v>
      </c>
      <c r="D140" s="35"/>
      <c r="E140" s="35">
        <v>0</v>
      </c>
      <c r="F140" s="9">
        <v>-12.5</v>
      </c>
      <c r="G140" s="11"/>
      <c r="H140" s="10"/>
      <c r="I140" s="10"/>
    </row>
    <row r="141" spans="1:9" ht="18" customHeight="1">
      <c r="A141" s="28" t="s">
        <v>1</v>
      </c>
      <c r="B141" s="28"/>
      <c r="C141" s="44" t="s">
        <v>0</v>
      </c>
      <c r="D141" s="14">
        <f>D142+D143+D144</f>
        <v>42946.5</v>
      </c>
      <c r="E141" s="14">
        <f>E142+E143+E144</f>
        <v>69098.7</v>
      </c>
      <c r="F141" s="14">
        <f>F142+F143+F144</f>
        <v>47177.5</v>
      </c>
      <c r="G141" s="13" t="e">
        <f>F141*100/#REF!</f>
        <v>#REF!</v>
      </c>
      <c r="H141" s="12">
        <f>F141*100/E141</f>
        <v>68.27552472043614</v>
      </c>
      <c r="I141" s="12">
        <f>F141*100/D141</f>
        <v>109.85179234629132</v>
      </c>
    </row>
    <row r="142" spans="1:9" ht="24">
      <c r="A142" s="45" t="s">
        <v>64</v>
      </c>
      <c r="B142" s="31"/>
      <c r="C142" s="46" t="s">
        <v>20</v>
      </c>
      <c r="D142" s="47">
        <v>42946.5</v>
      </c>
      <c r="E142" s="35">
        <v>69098.7</v>
      </c>
      <c r="F142" s="10">
        <v>47056.1</v>
      </c>
      <c r="G142" s="11" t="e">
        <f>F142*100/#REF!</f>
        <v>#REF!</v>
      </c>
      <c r="H142" s="10">
        <f>F142*100/E142</f>
        <v>68.09983400556017</v>
      </c>
      <c r="I142" s="10">
        <f>F142*100/D142</f>
        <v>109.56911506176289</v>
      </c>
    </row>
    <row r="143" spans="1:9" ht="14.25" customHeight="1">
      <c r="A143" s="45" t="s">
        <v>2</v>
      </c>
      <c r="B143" s="45"/>
      <c r="C143" s="48" t="s">
        <v>19</v>
      </c>
      <c r="D143" s="48"/>
      <c r="E143" s="35"/>
      <c r="F143" s="10">
        <v>121.4</v>
      </c>
      <c r="G143" s="11"/>
      <c r="H143" s="10"/>
      <c r="I143" s="10"/>
    </row>
    <row r="144" spans="1:9" ht="12" customHeight="1" hidden="1">
      <c r="A144" s="45" t="s">
        <v>63</v>
      </c>
      <c r="B144" s="51"/>
      <c r="C144" s="52" t="s">
        <v>60</v>
      </c>
      <c r="D144" s="48"/>
      <c r="E144" s="35"/>
      <c r="F144" s="10"/>
      <c r="G144" s="11"/>
      <c r="H144" s="10"/>
      <c r="I144" s="10"/>
    </row>
    <row r="145" spans="1:9" ht="12.75">
      <c r="A145" s="39"/>
      <c r="B145" s="54"/>
      <c r="C145" s="55" t="s">
        <v>4</v>
      </c>
      <c r="D145" s="12">
        <f>D141+D130</f>
        <v>52979.6</v>
      </c>
      <c r="E145" s="12">
        <f>E141+E130</f>
        <v>79380.3</v>
      </c>
      <c r="F145" s="12">
        <f>F141+F130</f>
        <v>57402.3</v>
      </c>
      <c r="G145" s="13" t="e">
        <f>F145*100/#REF!</f>
        <v>#REF!</v>
      </c>
      <c r="H145" s="12">
        <f>F145*100/E145</f>
        <v>72.31302980714358</v>
      </c>
      <c r="I145" s="12">
        <f>F145*100/D145</f>
        <v>108.34793014669798</v>
      </c>
    </row>
    <row r="146" spans="1:9" ht="12.75">
      <c r="A146" s="83"/>
      <c r="B146" s="84"/>
      <c r="C146" s="84"/>
      <c r="D146" s="84"/>
      <c r="E146" s="84"/>
      <c r="F146" s="84"/>
      <c r="G146" s="13"/>
      <c r="H146" s="12"/>
      <c r="I146" s="10"/>
    </row>
    <row r="147" spans="1:9" ht="12.75">
      <c r="A147" s="80" t="s">
        <v>32</v>
      </c>
      <c r="B147" s="81"/>
      <c r="C147" s="81"/>
      <c r="D147" s="81"/>
      <c r="E147" s="81"/>
      <c r="F147" s="81"/>
      <c r="G147" s="81"/>
      <c r="H147" s="81"/>
      <c r="I147" s="82"/>
    </row>
    <row r="148" spans="1:9" ht="12.75">
      <c r="A148" s="43" t="s">
        <v>3</v>
      </c>
      <c r="B148" s="43"/>
      <c r="C148" s="56" t="s">
        <v>65</v>
      </c>
      <c r="D148" s="13">
        <f>D149+D152+D154+D156+D153+D157+D155+D158+D151+D150</f>
        <v>20058.2</v>
      </c>
      <c r="E148" s="13">
        <f>E149+E152+E154+E156+E153+E157+E155+E158+E151+E150</f>
        <v>20058.2</v>
      </c>
      <c r="F148" s="13">
        <f>F149+F152+F154+F156+F153+F157+F155+F158+F151+F150</f>
        <v>19432.4</v>
      </c>
      <c r="G148" s="13" t="e">
        <f>F148*100/#REF!</f>
        <v>#REF!</v>
      </c>
      <c r="H148" s="12">
        <f aca="true" t="shared" si="14" ref="H148:H154">F148*100/E148</f>
        <v>96.88007897019673</v>
      </c>
      <c r="I148" s="12">
        <f aca="true" t="shared" si="15" ref="I148:I154">F148*100/D148</f>
        <v>96.88007897019673</v>
      </c>
    </row>
    <row r="149" spans="1:9" ht="12.75">
      <c r="A149" s="39" t="s">
        <v>23</v>
      </c>
      <c r="B149" s="39"/>
      <c r="C149" s="34" t="s">
        <v>22</v>
      </c>
      <c r="D149" s="35">
        <v>13450</v>
      </c>
      <c r="E149" s="47">
        <v>13450</v>
      </c>
      <c r="F149" s="10">
        <v>12424.2</v>
      </c>
      <c r="G149" s="11" t="e">
        <f>F149*100/#REF!</f>
        <v>#REF!</v>
      </c>
      <c r="H149" s="10">
        <f t="shared" si="14"/>
        <v>92.3732342007435</v>
      </c>
      <c r="I149" s="10">
        <f t="shared" si="15"/>
        <v>92.3732342007435</v>
      </c>
    </row>
    <row r="150" spans="1:9" ht="12.75">
      <c r="A150" s="31" t="s">
        <v>67</v>
      </c>
      <c r="B150" s="31"/>
      <c r="C150" s="34" t="s">
        <v>68</v>
      </c>
      <c r="D150" s="35">
        <v>4776.3</v>
      </c>
      <c r="E150" s="47">
        <v>4776.3</v>
      </c>
      <c r="F150" s="10">
        <v>4841.2</v>
      </c>
      <c r="G150" s="11" t="e">
        <f>F150*100/#REF!</f>
        <v>#REF!</v>
      </c>
      <c r="H150" s="10">
        <f t="shared" si="14"/>
        <v>101.35879237066348</v>
      </c>
      <c r="I150" s="10">
        <f t="shared" si="15"/>
        <v>101.35879237066348</v>
      </c>
    </row>
    <row r="151" spans="1:9" ht="12.75" customHeight="1">
      <c r="A151" s="31" t="s">
        <v>8</v>
      </c>
      <c r="B151" s="31"/>
      <c r="C151" s="34" t="s">
        <v>5</v>
      </c>
      <c r="D151" s="35">
        <v>10</v>
      </c>
      <c r="E151" s="47">
        <v>10</v>
      </c>
      <c r="F151" s="10">
        <v>11.2</v>
      </c>
      <c r="G151" s="11" t="e">
        <f>F151*100/#REF!</f>
        <v>#REF!</v>
      </c>
      <c r="H151" s="10">
        <f t="shared" si="14"/>
        <v>112</v>
      </c>
      <c r="I151" s="10">
        <f t="shared" si="15"/>
        <v>112</v>
      </c>
    </row>
    <row r="152" spans="1:9" ht="12.75">
      <c r="A152" s="31" t="s">
        <v>9</v>
      </c>
      <c r="B152" s="31"/>
      <c r="C152" s="34" t="s">
        <v>6</v>
      </c>
      <c r="D152" s="35">
        <v>1510</v>
      </c>
      <c r="E152" s="47">
        <v>1425</v>
      </c>
      <c r="F152" s="10">
        <v>1845.3</v>
      </c>
      <c r="G152" s="11" t="e">
        <f>F152*100/#REF!</f>
        <v>#REF!</v>
      </c>
      <c r="H152" s="10">
        <f t="shared" si="14"/>
        <v>129.49473684210525</v>
      </c>
      <c r="I152" s="10">
        <f t="shared" si="15"/>
        <v>122.20529801324503</v>
      </c>
    </row>
    <row r="153" spans="1:9" ht="12.75">
      <c r="A153" s="31" t="s">
        <v>10</v>
      </c>
      <c r="B153" s="31"/>
      <c r="C153" s="34" t="s">
        <v>21</v>
      </c>
      <c r="D153" s="35">
        <v>145.1</v>
      </c>
      <c r="E153" s="47">
        <v>145.1</v>
      </c>
      <c r="F153" s="10">
        <v>75</v>
      </c>
      <c r="G153" s="11" t="e">
        <f>F153*100/#REF!</f>
        <v>#REF!</v>
      </c>
      <c r="H153" s="10">
        <f t="shared" si="14"/>
        <v>51.688490696071675</v>
      </c>
      <c r="I153" s="10">
        <f t="shared" si="15"/>
        <v>51.688490696071675</v>
      </c>
    </row>
    <row r="154" spans="1:9" ht="24">
      <c r="A154" s="36" t="s">
        <v>11</v>
      </c>
      <c r="B154" s="36"/>
      <c r="C154" s="34" t="s">
        <v>17</v>
      </c>
      <c r="D154" s="35">
        <v>166.8</v>
      </c>
      <c r="E154" s="47">
        <v>116.8</v>
      </c>
      <c r="F154" s="10">
        <v>96</v>
      </c>
      <c r="G154" s="11" t="e">
        <f>F154*100/#REF!</f>
        <v>#REF!</v>
      </c>
      <c r="H154" s="10">
        <f t="shared" si="14"/>
        <v>82.19178082191782</v>
      </c>
      <c r="I154" s="10">
        <f t="shared" si="15"/>
        <v>57.55395683453237</v>
      </c>
    </row>
    <row r="155" spans="1:9" ht="25.5" customHeight="1">
      <c r="A155" s="38" t="s">
        <v>42</v>
      </c>
      <c r="B155" s="38"/>
      <c r="C155" s="34" t="s">
        <v>43</v>
      </c>
      <c r="D155" s="35"/>
      <c r="E155" s="47">
        <v>70</v>
      </c>
      <c r="F155" s="10">
        <v>111.5</v>
      </c>
      <c r="G155" s="11"/>
      <c r="H155" s="10"/>
      <c r="I155" s="10"/>
    </row>
    <row r="156" spans="1:9" ht="16.5" customHeight="1" hidden="1">
      <c r="A156" s="37" t="s">
        <v>18</v>
      </c>
      <c r="B156" s="37"/>
      <c r="C156" s="34" t="s">
        <v>15</v>
      </c>
      <c r="D156" s="35"/>
      <c r="E156" s="47"/>
      <c r="F156" s="10"/>
      <c r="G156" s="11"/>
      <c r="H156" s="10"/>
      <c r="I156" s="10"/>
    </row>
    <row r="157" spans="1:9" ht="17.25" customHeight="1">
      <c r="A157" s="39" t="s">
        <v>12</v>
      </c>
      <c r="B157" s="39"/>
      <c r="C157" s="34" t="s">
        <v>7</v>
      </c>
      <c r="D157" s="35"/>
      <c r="E157" s="47">
        <v>65</v>
      </c>
      <c r="F157" s="10">
        <v>65</v>
      </c>
      <c r="G157" s="11"/>
      <c r="H157" s="10"/>
      <c r="I157" s="10"/>
    </row>
    <row r="158" spans="1:9" ht="16.5" customHeight="1">
      <c r="A158" s="37" t="s">
        <v>39</v>
      </c>
      <c r="B158" s="57"/>
      <c r="C158" s="42" t="s">
        <v>40</v>
      </c>
      <c r="D158" s="35"/>
      <c r="E158" s="47">
        <v>0</v>
      </c>
      <c r="F158" s="10">
        <v>-37</v>
      </c>
      <c r="G158" s="13"/>
      <c r="H158" s="12"/>
      <c r="I158" s="10"/>
    </row>
    <row r="159" spans="1:9" ht="12.75">
      <c r="A159" s="43" t="s">
        <v>1</v>
      </c>
      <c r="B159" s="43"/>
      <c r="C159" s="44" t="s">
        <v>0</v>
      </c>
      <c r="D159" s="14">
        <f>D160+D161</f>
        <v>29590.9</v>
      </c>
      <c r="E159" s="14">
        <f>E160+E161</f>
        <v>56054.5</v>
      </c>
      <c r="F159" s="14">
        <f>F160+F161</f>
        <v>29583.3</v>
      </c>
      <c r="G159" s="13" t="e">
        <f>F159*100/#REF!</f>
        <v>#REF!</v>
      </c>
      <c r="H159" s="12">
        <f>F159*100/E159</f>
        <v>52.775959111222114</v>
      </c>
      <c r="I159" s="12">
        <f>F159*100/D159</f>
        <v>99.97431642836142</v>
      </c>
    </row>
    <row r="160" spans="1:9" ht="24">
      <c r="A160" s="45" t="s">
        <v>64</v>
      </c>
      <c r="B160" s="31"/>
      <c r="C160" s="46" t="s">
        <v>20</v>
      </c>
      <c r="D160" s="47">
        <v>29590.9</v>
      </c>
      <c r="E160" s="47">
        <v>56054.5</v>
      </c>
      <c r="F160" s="10">
        <v>29583.3</v>
      </c>
      <c r="G160" s="11" t="e">
        <f>F160*100/#REF!</f>
        <v>#REF!</v>
      </c>
      <c r="H160" s="10">
        <f>F160*100/E160</f>
        <v>52.775959111222114</v>
      </c>
      <c r="I160" s="10">
        <f>F160*100/D160</f>
        <v>99.97431642836142</v>
      </c>
    </row>
    <row r="161" spans="1:9" ht="18.75" customHeight="1" hidden="1">
      <c r="A161" s="45" t="s">
        <v>2</v>
      </c>
      <c r="B161" s="45"/>
      <c r="C161" s="48" t="s">
        <v>19</v>
      </c>
      <c r="D161" s="48"/>
      <c r="E161" s="47"/>
      <c r="F161" s="10"/>
      <c r="G161" s="11"/>
      <c r="H161" s="10"/>
      <c r="I161" s="10" t="e">
        <f>F161*100/D161</f>
        <v>#DIV/0!</v>
      </c>
    </row>
    <row r="162" spans="1:9" ht="12.75">
      <c r="A162" s="39"/>
      <c r="B162" s="54"/>
      <c r="C162" s="55" t="s">
        <v>4</v>
      </c>
      <c r="D162" s="12">
        <f>D159+D148</f>
        <v>49649.100000000006</v>
      </c>
      <c r="E162" s="12">
        <f>E159+E148</f>
        <v>76112.7</v>
      </c>
      <c r="F162" s="12">
        <f>F159+F148-0.1</f>
        <v>49015.6</v>
      </c>
      <c r="G162" s="13" t="e">
        <f>F162*100/#REF!</f>
        <v>#REF!</v>
      </c>
      <c r="H162" s="12">
        <f>F162*100/E162</f>
        <v>64.39871401224762</v>
      </c>
      <c r="I162" s="12">
        <f>F162*100/D162</f>
        <v>98.72404535026817</v>
      </c>
    </row>
    <row r="163" spans="1:9" ht="12.75">
      <c r="A163" s="76"/>
      <c r="B163" s="77"/>
      <c r="C163" s="77"/>
      <c r="D163" s="77"/>
      <c r="E163" s="77"/>
      <c r="F163" s="77"/>
      <c r="G163" s="13"/>
      <c r="H163" s="12"/>
      <c r="I163" s="10"/>
    </row>
    <row r="164" spans="1:9" ht="12.75">
      <c r="A164" s="80" t="s">
        <v>33</v>
      </c>
      <c r="B164" s="81"/>
      <c r="C164" s="81"/>
      <c r="D164" s="81"/>
      <c r="E164" s="81"/>
      <c r="F164" s="81"/>
      <c r="G164" s="81"/>
      <c r="H164" s="81"/>
      <c r="I164" s="82"/>
    </row>
    <row r="165" spans="1:9" ht="12.75">
      <c r="A165" s="43" t="s">
        <v>3</v>
      </c>
      <c r="B165" s="43"/>
      <c r="C165" s="56" t="s">
        <v>65</v>
      </c>
      <c r="D165" s="13">
        <f>D166+D169+D170+D171+D173+D174+D175+D172+D167+D168</f>
        <v>6717.4</v>
      </c>
      <c r="E165" s="13">
        <f>E166+E169+E170+E171+E173+E174+E175+E172+E167+E168</f>
        <v>7218.699999999999</v>
      </c>
      <c r="F165" s="13">
        <f>F166+F169+F170+F171+F173+F174+F175+F172+F167+F168</f>
        <v>7117.1</v>
      </c>
      <c r="G165" s="13" t="e">
        <f>F165*100/#REF!</f>
        <v>#REF!</v>
      </c>
      <c r="H165" s="12">
        <f aca="true" t="shared" si="16" ref="H165:H174">F165*100/E165</f>
        <v>98.59254436394366</v>
      </c>
      <c r="I165" s="12">
        <f>F165*100/D165</f>
        <v>105.95021883466818</v>
      </c>
    </row>
    <row r="166" spans="1:9" ht="12.75">
      <c r="A166" s="39" t="s">
        <v>23</v>
      </c>
      <c r="B166" s="39"/>
      <c r="C166" s="34" t="s">
        <v>22</v>
      </c>
      <c r="D166" s="35">
        <v>2900</v>
      </c>
      <c r="E166" s="47">
        <v>2900</v>
      </c>
      <c r="F166" s="10">
        <v>2635.1</v>
      </c>
      <c r="G166" s="11" t="e">
        <f>F166*100/#REF!</f>
        <v>#REF!</v>
      </c>
      <c r="H166" s="10">
        <f t="shared" si="16"/>
        <v>90.86551724137931</v>
      </c>
      <c r="I166" s="10">
        <f>F166*100/D166</f>
        <v>90.86551724137931</v>
      </c>
    </row>
    <row r="167" spans="1:9" ht="12.75">
      <c r="A167" s="31" t="s">
        <v>67</v>
      </c>
      <c r="B167" s="31"/>
      <c r="C167" s="34" t="s">
        <v>68</v>
      </c>
      <c r="D167" s="35">
        <v>2746.1</v>
      </c>
      <c r="E167" s="47">
        <v>2746.1</v>
      </c>
      <c r="F167" s="10">
        <v>2783.4</v>
      </c>
      <c r="G167" s="11" t="e">
        <f>F167*100/#REF!</f>
        <v>#REF!</v>
      </c>
      <c r="H167" s="10">
        <f t="shared" si="16"/>
        <v>101.35828993845819</v>
      </c>
      <c r="I167" s="10">
        <f>F167*100/D167</f>
        <v>101.35828993845819</v>
      </c>
    </row>
    <row r="168" spans="1:9" ht="15" customHeight="1">
      <c r="A168" s="31" t="s">
        <v>8</v>
      </c>
      <c r="B168" s="31"/>
      <c r="C168" s="34" t="s">
        <v>5</v>
      </c>
      <c r="D168" s="35">
        <v>2</v>
      </c>
      <c r="E168" s="47">
        <v>2</v>
      </c>
      <c r="F168" s="10">
        <v>0</v>
      </c>
      <c r="G168" s="11"/>
      <c r="H168" s="10">
        <f t="shared" si="16"/>
        <v>0</v>
      </c>
      <c r="I168" s="10"/>
    </row>
    <row r="169" spans="1:9" ht="12.75">
      <c r="A169" s="31" t="s">
        <v>9</v>
      </c>
      <c r="B169" s="31"/>
      <c r="C169" s="34" t="s">
        <v>6</v>
      </c>
      <c r="D169" s="35">
        <v>686</v>
      </c>
      <c r="E169" s="47">
        <v>686</v>
      </c>
      <c r="F169" s="10">
        <v>602</v>
      </c>
      <c r="G169" s="11" t="e">
        <f>F169*100/#REF!</f>
        <v>#REF!</v>
      </c>
      <c r="H169" s="10">
        <f t="shared" si="16"/>
        <v>87.75510204081633</v>
      </c>
      <c r="I169" s="10">
        <f>F169*100/D169</f>
        <v>87.75510204081633</v>
      </c>
    </row>
    <row r="170" spans="1:9" ht="12.75">
      <c r="A170" s="31" t="s">
        <v>10</v>
      </c>
      <c r="B170" s="31"/>
      <c r="C170" s="34" t="s">
        <v>21</v>
      </c>
      <c r="D170" s="35">
        <v>35</v>
      </c>
      <c r="E170" s="47">
        <v>35</v>
      </c>
      <c r="F170" s="10">
        <v>23.5</v>
      </c>
      <c r="G170" s="11" t="e">
        <f>F170*100/#REF!</f>
        <v>#REF!</v>
      </c>
      <c r="H170" s="10">
        <f t="shared" si="16"/>
        <v>67.14285714285714</v>
      </c>
      <c r="I170" s="10">
        <f>F170*100/D170</f>
        <v>67.14285714285714</v>
      </c>
    </row>
    <row r="171" spans="1:9" ht="24">
      <c r="A171" s="36" t="s">
        <v>11</v>
      </c>
      <c r="B171" s="36"/>
      <c r="C171" s="34" t="s">
        <v>17</v>
      </c>
      <c r="D171" s="35">
        <v>246.3</v>
      </c>
      <c r="E171" s="47">
        <v>673</v>
      </c>
      <c r="F171" s="10">
        <v>852.8</v>
      </c>
      <c r="G171" s="11" t="e">
        <f>F171*100/#REF!</f>
        <v>#REF!</v>
      </c>
      <c r="H171" s="10">
        <f t="shared" si="16"/>
        <v>126.71619613670134</v>
      </c>
      <c r="I171" s="10">
        <f>F171*100/D171</f>
        <v>346.2444173771823</v>
      </c>
    </row>
    <row r="172" spans="1:9" ht="23.25" customHeight="1">
      <c r="A172" s="38" t="s">
        <v>42</v>
      </c>
      <c r="B172" s="38"/>
      <c r="C172" s="34" t="s">
        <v>43</v>
      </c>
      <c r="D172" s="35">
        <v>102</v>
      </c>
      <c r="E172" s="47">
        <v>120.4</v>
      </c>
      <c r="F172" s="10">
        <v>121.2</v>
      </c>
      <c r="G172" s="11" t="e">
        <f>F172*100/#REF!</f>
        <v>#REF!</v>
      </c>
      <c r="H172" s="10">
        <f t="shared" si="16"/>
        <v>100.66445182724252</v>
      </c>
      <c r="I172" s="10">
        <f>F172*100/D172</f>
        <v>118.82352941176471</v>
      </c>
    </row>
    <row r="173" spans="1:9" ht="20.25" customHeight="1">
      <c r="A173" s="37" t="s">
        <v>18</v>
      </c>
      <c r="B173" s="37"/>
      <c r="C173" s="34" t="s">
        <v>15</v>
      </c>
      <c r="D173" s="35"/>
      <c r="E173" s="47">
        <v>14.8</v>
      </c>
      <c r="F173" s="10">
        <v>14.8</v>
      </c>
      <c r="G173" s="11" t="e">
        <f>F173*100/#REF!</f>
        <v>#REF!</v>
      </c>
      <c r="H173" s="10">
        <f t="shared" si="16"/>
        <v>100</v>
      </c>
      <c r="I173" s="10"/>
    </row>
    <row r="174" spans="1:9" ht="17.25" customHeight="1">
      <c r="A174" s="39" t="s">
        <v>12</v>
      </c>
      <c r="B174" s="39"/>
      <c r="C174" s="34" t="s">
        <v>7</v>
      </c>
      <c r="D174" s="35"/>
      <c r="E174" s="47">
        <v>41.4</v>
      </c>
      <c r="F174" s="10">
        <v>84.3</v>
      </c>
      <c r="G174" s="11" t="e">
        <f>F174*100/#REF!</f>
        <v>#REF!</v>
      </c>
      <c r="H174" s="10">
        <f t="shared" si="16"/>
        <v>203.6231884057971</v>
      </c>
      <c r="I174" s="10"/>
    </row>
    <row r="175" spans="1:9" ht="14.25" customHeight="1">
      <c r="A175" s="59" t="s">
        <v>39</v>
      </c>
      <c r="B175" s="41"/>
      <c r="C175" s="42" t="s">
        <v>40</v>
      </c>
      <c r="D175" s="35"/>
      <c r="E175" s="47">
        <v>0</v>
      </c>
      <c r="F175" s="10"/>
      <c r="G175" s="13"/>
      <c r="H175" s="12"/>
      <c r="I175" s="10"/>
    </row>
    <row r="176" spans="1:9" ht="12.75">
      <c r="A176" s="43" t="s">
        <v>1</v>
      </c>
      <c r="B176" s="43"/>
      <c r="C176" s="44" t="s">
        <v>0</v>
      </c>
      <c r="D176" s="14">
        <f>D177+D178</f>
        <v>24541.8</v>
      </c>
      <c r="E176" s="14">
        <f>E177+E178</f>
        <v>36018.9</v>
      </c>
      <c r="F176" s="14">
        <f>F177+F178</f>
        <v>34112.6</v>
      </c>
      <c r="G176" s="13" t="e">
        <f>F176*100/#REF!</f>
        <v>#REF!</v>
      </c>
      <c r="H176" s="12">
        <f>F176*100/E176</f>
        <v>94.70750078431045</v>
      </c>
      <c r="I176" s="12">
        <f>F176*100/D176</f>
        <v>138.99795451026412</v>
      </c>
    </row>
    <row r="177" spans="1:9" ht="23.25" customHeight="1">
      <c r="A177" s="45" t="s">
        <v>64</v>
      </c>
      <c r="B177" s="31"/>
      <c r="C177" s="46" t="s">
        <v>20</v>
      </c>
      <c r="D177" s="47">
        <v>24541.8</v>
      </c>
      <c r="E177" s="47">
        <v>35968.9</v>
      </c>
      <c r="F177" s="10">
        <v>34037.6</v>
      </c>
      <c r="G177" s="11" t="e">
        <f>F177*100/#REF!</f>
        <v>#REF!</v>
      </c>
      <c r="H177" s="10">
        <f>F177*100/E177</f>
        <v>94.63063924668255</v>
      </c>
      <c r="I177" s="10">
        <f>F177*100/D177</f>
        <v>138.69235345410686</v>
      </c>
    </row>
    <row r="178" spans="1:9" ht="19.5" customHeight="1">
      <c r="A178" s="45" t="s">
        <v>74</v>
      </c>
      <c r="B178" s="45"/>
      <c r="C178" s="48" t="s">
        <v>19</v>
      </c>
      <c r="D178" s="49"/>
      <c r="E178" s="47">
        <v>50</v>
      </c>
      <c r="F178" s="10">
        <v>75</v>
      </c>
      <c r="G178" s="11" t="e">
        <f>F178*100/#REF!</f>
        <v>#REF!</v>
      </c>
      <c r="H178" s="10">
        <f>F178*100/E178</f>
        <v>150</v>
      </c>
      <c r="I178" s="10"/>
    </row>
    <row r="179" spans="1:9" ht="12.75">
      <c r="A179" s="39"/>
      <c r="B179" s="54"/>
      <c r="C179" s="55" t="s">
        <v>4</v>
      </c>
      <c r="D179" s="12">
        <f>D176+D165</f>
        <v>31259.199999999997</v>
      </c>
      <c r="E179" s="12">
        <f>E176+E165</f>
        <v>43237.6</v>
      </c>
      <c r="F179" s="12">
        <f>F176+F165</f>
        <v>41229.7</v>
      </c>
      <c r="G179" s="13" t="e">
        <f>F179*100/#REF!</f>
        <v>#REF!</v>
      </c>
      <c r="H179" s="12">
        <f>F179*100/E179</f>
        <v>95.35612522434177</v>
      </c>
      <c r="I179" s="12">
        <f>F179*100/D179</f>
        <v>131.89620975584788</v>
      </c>
    </row>
    <row r="180" spans="1:9" ht="12.75">
      <c r="A180" s="76"/>
      <c r="B180" s="77"/>
      <c r="C180" s="77"/>
      <c r="D180" s="77"/>
      <c r="E180" s="77"/>
      <c r="F180" s="77"/>
      <c r="G180" s="13"/>
      <c r="H180" s="12"/>
      <c r="I180" s="10"/>
    </row>
    <row r="181" spans="1:9" ht="12.75">
      <c r="A181" s="80" t="s">
        <v>34</v>
      </c>
      <c r="B181" s="81"/>
      <c r="C181" s="81"/>
      <c r="D181" s="81"/>
      <c r="E181" s="81"/>
      <c r="F181" s="81"/>
      <c r="G181" s="81"/>
      <c r="H181" s="81"/>
      <c r="I181" s="82"/>
    </row>
    <row r="182" spans="1:9" ht="12.75">
      <c r="A182" s="43" t="s">
        <v>3</v>
      </c>
      <c r="B182" s="43"/>
      <c r="C182" s="56" t="s">
        <v>65</v>
      </c>
      <c r="D182" s="13">
        <f>D183+D185+D186+D187+D188+D190+D192+D191+D189+D184</f>
        <v>24972.1</v>
      </c>
      <c r="E182" s="13">
        <f>E183+E185+E186+E187+E188+E190+E192+E191+E189+E184</f>
        <v>28773.6</v>
      </c>
      <c r="F182" s="13">
        <f>F183+F185+F186+F187+F188+F190+F192+F191+F189+F184</f>
        <v>27032.1</v>
      </c>
      <c r="G182" s="13" t="e">
        <f>F182*100/#REF!</f>
        <v>#REF!</v>
      </c>
      <c r="H182" s="12">
        <f>F182*100/E182</f>
        <v>93.94757694553341</v>
      </c>
      <c r="I182" s="12">
        <f>F182*100/D182</f>
        <v>108.24920611402325</v>
      </c>
    </row>
    <row r="183" spans="1:9" ht="12.75">
      <c r="A183" s="39" t="s">
        <v>23</v>
      </c>
      <c r="B183" s="39"/>
      <c r="C183" s="34" t="s">
        <v>22</v>
      </c>
      <c r="D183" s="35">
        <v>16900</v>
      </c>
      <c r="E183" s="47">
        <v>17582.1</v>
      </c>
      <c r="F183" s="10">
        <v>16382.7</v>
      </c>
      <c r="G183" s="11" t="e">
        <f>F183*100/#REF!</f>
        <v>#REF!</v>
      </c>
      <c r="H183" s="10">
        <f>F183*100/E183</f>
        <v>93.17828928285017</v>
      </c>
      <c r="I183" s="10">
        <f>F183*100/D183</f>
        <v>96.93905325443787</v>
      </c>
    </row>
    <row r="184" spans="1:9" ht="12.75">
      <c r="A184" s="31" t="s">
        <v>67</v>
      </c>
      <c r="B184" s="31"/>
      <c r="C184" s="34" t="s">
        <v>68</v>
      </c>
      <c r="D184" s="35">
        <v>4105.1</v>
      </c>
      <c r="E184" s="47">
        <v>4105.1</v>
      </c>
      <c r="F184" s="10">
        <v>4160.9</v>
      </c>
      <c r="G184" s="11" t="e">
        <f>F184*100/#REF!</f>
        <v>#REF!</v>
      </c>
      <c r="H184" s="10">
        <f>F184*100/E184</f>
        <v>101.35928479208786</v>
      </c>
      <c r="I184" s="10">
        <f>F184*100/D184</f>
        <v>101.35928479208786</v>
      </c>
    </row>
    <row r="185" spans="1:9" ht="16.5" customHeight="1">
      <c r="A185" s="31" t="s">
        <v>8</v>
      </c>
      <c r="B185" s="31"/>
      <c r="C185" s="34" t="s">
        <v>5</v>
      </c>
      <c r="D185" s="35"/>
      <c r="E185" s="47">
        <v>0.9</v>
      </c>
      <c r="F185" s="10">
        <v>0.9</v>
      </c>
      <c r="G185" s="11"/>
      <c r="H185" s="10"/>
      <c r="I185" s="10"/>
    </row>
    <row r="186" spans="1:9" ht="12.75">
      <c r="A186" s="31" t="s">
        <v>9</v>
      </c>
      <c r="B186" s="31"/>
      <c r="C186" s="34" t="s">
        <v>6</v>
      </c>
      <c r="D186" s="35">
        <v>2860</v>
      </c>
      <c r="E186" s="47">
        <v>2860</v>
      </c>
      <c r="F186" s="10">
        <v>2462.9</v>
      </c>
      <c r="G186" s="11" t="e">
        <f>F186*100/#REF!</f>
        <v>#REF!</v>
      </c>
      <c r="H186" s="10">
        <f aca="true" t="shared" si="17" ref="H186:H191">F186*100/E186</f>
        <v>86.11538461538461</v>
      </c>
      <c r="I186" s="10">
        <f>F186*100/D186</f>
        <v>86.11538461538461</v>
      </c>
    </row>
    <row r="187" spans="1:9" ht="12.75">
      <c r="A187" s="31" t="s">
        <v>10</v>
      </c>
      <c r="B187" s="31"/>
      <c r="C187" s="34" t="s">
        <v>21</v>
      </c>
      <c r="D187" s="35">
        <v>182</v>
      </c>
      <c r="E187" s="47">
        <v>182</v>
      </c>
      <c r="F187" s="10">
        <v>152.6</v>
      </c>
      <c r="G187" s="11" t="e">
        <f>F187*100/#REF!</f>
        <v>#REF!</v>
      </c>
      <c r="H187" s="10">
        <f t="shared" si="17"/>
        <v>83.84615384615384</v>
      </c>
      <c r="I187" s="10">
        <f>F187*100/D187</f>
        <v>83.84615384615384</v>
      </c>
    </row>
    <row r="188" spans="1:9" ht="24">
      <c r="A188" s="36" t="s">
        <v>11</v>
      </c>
      <c r="B188" s="36"/>
      <c r="C188" s="34" t="s">
        <v>17</v>
      </c>
      <c r="D188" s="35">
        <v>760</v>
      </c>
      <c r="E188" s="47">
        <v>840</v>
      </c>
      <c r="F188" s="10">
        <v>692.8</v>
      </c>
      <c r="G188" s="11" t="e">
        <f>F188*100/#REF!</f>
        <v>#REF!</v>
      </c>
      <c r="H188" s="10">
        <f t="shared" si="17"/>
        <v>82.47619047619048</v>
      </c>
      <c r="I188" s="10">
        <f>F188*100/D188</f>
        <v>91.15789473684211</v>
      </c>
    </row>
    <row r="189" spans="1:9" ht="24">
      <c r="A189" s="37" t="s">
        <v>42</v>
      </c>
      <c r="B189" s="38"/>
      <c r="C189" s="34" t="s">
        <v>43</v>
      </c>
      <c r="D189" s="35">
        <v>165</v>
      </c>
      <c r="E189" s="47">
        <v>196.8</v>
      </c>
      <c r="F189" s="10">
        <v>172.6</v>
      </c>
      <c r="G189" s="11" t="e">
        <f>F189*100/#REF!</f>
        <v>#REF!</v>
      </c>
      <c r="H189" s="10">
        <f t="shared" si="17"/>
        <v>87.70325203252033</v>
      </c>
      <c r="I189" s="10">
        <f>F189*100/D189</f>
        <v>104.60606060606061</v>
      </c>
    </row>
    <row r="190" spans="1:9" ht="24" customHeight="1">
      <c r="A190" s="37" t="s">
        <v>18</v>
      </c>
      <c r="B190" s="38"/>
      <c r="C190" s="34" t="s">
        <v>15</v>
      </c>
      <c r="D190" s="35"/>
      <c r="E190" s="47">
        <v>2920</v>
      </c>
      <c r="F190" s="10">
        <v>2920</v>
      </c>
      <c r="G190" s="11" t="e">
        <f>F190*100/#REF!</f>
        <v>#REF!</v>
      </c>
      <c r="H190" s="10">
        <f t="shared" si="17"/>
        <v>100</v>
      </c>
      <c r="I190" s="10"/>
    </row>
    <row r="191" spans="1:9" ht="18" customHeight="1">
      <c r="A191" s="39" t="s">
        <v>12</v>
      </c>
      <c r="B191" s="39"/>
      <c r="C191" s="34" t="s">
        <v>7</v>
      </c>
      <c r="D191" s="35"/>
      <c r="E191" s="47">
        <v>86.7</v>
      </c>
      <c r="F191" s="10">
        <v>86.7</v>
      </c>
      <c r="G191" s="11" t="e">
        <f>F191*100/#REF!</f>
        <v>#REF!</v>
      </c>
      <c r="H191" s="10">
        <f t="shared" si="17"/>
        <v>100</v>
      </c>
      <c r="I191" s="10"/>
    </row>
    <row r="192" spans="1:9" ht="15" customHeight="1">
      <c r="A192" s="59" t="s">
        <v>39</v>
      </c>
      <c r="B192" s="41"/>
      <c r="C192" s="42" t="s">
        <v>40</v>
      </c>
      <c r="D192" s="35"/>
      <c r="E192" s="47">
        <v>0</v>
      </c>
      <c r="F192" s="10"/>
      <c r="G192" s="13"/>
      <c r="H192" s="12"/>
      <c r="I192" s="10"/>
    </row>
    <row r="193" spans="1:9" ht="12.75">
      <c r="A193" s="28" t="s">
        <v>1</v>
      </c>
      <c r="B193" s="43"/>
      <c r="C193" s="44" t="s">
        <v>0</v>
      </c>
      <c r="D193" s="30">
        <f>D194</f>
        <v>25429.7</v>
      </c>
      <c r="E193" s="30">
        <f>E194</f>
        <v>40410.2</v>
      </c>
      <c r="F193" s="30">
        <f>F194</f>
        <v>38241.9</v>
      </c>
      <c r="G193" s="13" t="e">
        <f>F193*100/#REF!</f>
        <v>#REF!</v>
      </c>
      <c r="H193" s="12">
        <f>F193*100/E193</f>
        <v>94.63427550469932</v>
      </c>
      <c r="I193" s="12">
        <f>F193*100/D193</f>
        <v>150.38282008832192</v>
      </c>
    </row>
    <row r="194" spans="1:9" ht="24">
      <c r="A194" s="65" t="s">
        <v>64</v>
      </c>
      <c r="B194" s="31"/>
      <c r="C194" s="46" t="s">
        <v>20</v>
      </c>
      <c r="D194" s="47">
        <v>25429.7</v>
      </c>
      <c r="E194" s="47">
        <v>40410.2</v>
      </c>
      <c r="F194" s="10">
        <v>38241.9</v>
      </c>
      <c r="G194" s="11" t="e">
        <f>F194*100/#REF!</f>
        <v>#REF!</v>
      </c>
      <c r="H194" s="10">
        <f>F194*100/E194</f>
        <v>94.63427550469932</v>
      </c>
      <c r="I194" s="10">
        <f>F194*100/D194</f>
        <v>150.38282008832192</v>
      </c>
    </row>
    <row r="195" spans="1:9" ht="12.75">
      <c r="A195" s="39"/>
      <c r="B195" s="54"/>
      <c r="C195" s="55" t="s">
        <v>4</v>
      </c>
      <c r="D195" s="12">
        <f>D193+D182</f>
        <v>50401.8</v>
      </c>
      <c r="E195" s="12">
        <f>E193+E182</f>
        <v>69183.79999999999</v>
      </c>
      <c r="F195" s="12">
        <f>F193+F182+0.1</f>
        <v>65274.1</v>
      </c>
      <c r="G195" s="13" t="e">
        <f>F195*100/#REF!</f>
        <v>#REF!</v>
      </c>
      <c r="H195" s="12">
        <f>F195*100/E195</f>
        <v>94.34882154492816</v>
      </c>
      <c r="I195" s="12">
        <f>F195*100/D195</f>
        <v>129.50747790753505</v>
      </c>
    </row>
    <row r="196" spans="1:9" ht="12.75">
      <c r="A196" s="76"/>
      <c r="B196" s="77"/>
      <c r="C196" s="77"/>
      <c r="D196" s="77"/>
      <c r="E196" s="77"/>
      <c r="F196" s="77"/>
      <c r="G196" s="13"/>
      <c r="H196" s="12"/>
      <c r="I196" s="10"/>
    </row>
    <row r="197" spans="1:9" ht="12.75">
      <c r="A197" s="80" t="s">
        <v>35</v>
      </c>
      <c r="B197" s="81"/>
      <c r="C197" s="81"/>
      <c r="D197" s="81"/>
      <c r="E197" s="81"/>
      <c r="F197" s="81"/>
      <c r="G197" s="81"/>
      <c r="H197" s="81"/>
      <c r="I197" s="82"/>
    </row>
    <row r="198" spans="1:9" ht="12.75">
      <c r="A198" s="43" t="s">
        <v>3</v>
      </c>
      <c r="B198" s="43"/>
      <c r="C198" s="56" t="s">
        <v>65</v>
      </c>
      <c r="D198" s="13">
        <f>D199+D202+D204+D205+D203+D206+D207+D201+D200</f>
        <v>5052.299999999999</v>
      </c>
      <c r="E198" s="13">
        <f>E199+E202+E204+E205+E203+E206+E207+E201+E200</f>
        <v>5206.7</v>
      </c>
      <c r="F198" s="13">
        <f>F199+F202+F204+F205+F203+F206+F207+F201+F200</f>
        <v>5199.5</v>
      </c>
      <c r="G198" s="13" t="e">
        <f>F198*100/#REF!</f>
        <v>#REF!</v>
      </c>
      <c r="H198" s="12">
        <f aca="true" t="shared" si="18" ref="H198:H205">F198*100/E198</f>
        <v>99.86171663433653</v>
      </c>
      <c r="I198" s="12">
        <f aca="true" t="shared" si="19" ref="I198:I204">F198*100/D198</f>
        <v>102.91352453338085</v>
      </c>
    </row>
    <row r="199" spans="1:9" ht="12.75">
      <c r="A199" s="39" t="s">
        <v>23</v>
      </c>
      <c r="B199" s="39"/>
      <c r="C199" s="34" t="s">
        <v>22</v>
      </c>
      <c r="D199" s="35">
        <v>1250</v>
      </c>
      <c r="E199" s="47">
        <v>1250</v>
      </c>
      <c r="F199" s="10">
        <v>1114.8</v>
      </c>
      <c r="G199" s="11" t="e">
        <f>F199*100/#REF!</f>
        <v>#REF!</v>
      </c>
      <c r="H199" s="10">
        <f t="shared" si="18"/>
        <v>89.184</v>
      </c>
      <c r="I199" s="10">
        <f t="shared" si="19"/>
        <v>89.184</v>
      </c>
    </row>
    <row r="200" spans="1:9" ht="12.75">
      <c r="A200" s="31" t="s">
        <v>67</v>
      </c>
      <c r="B200" s="31"/>
      <c r="C200" s="34" t="s">
        <v>68</v>
      </c>
      <c r="D200" s="35">
        <v>3417.2</v>
      </c>
      <c r="E200" s="47">
        <v>3417.2</v>
      </c>
      <c r="F200" s="10">
        <v>3463.6</v>
      </c>
      <c r="G200" s="11" t="e">
        <f>F200*100/#REF!</f>
        <v>#REF!</v>
      </c>
      <c r="H200" s="10">
        <f t="shared" si="18"/>
        <v>101.35783682547115</v>
      </c>
      <c r="I200" s="10">
        <f t="shared" si="19"/>
        <v>101.35783682547115</v>
      </c>
    </row>
    <row r="201" spans="1:9" ht="12.75">
      <c r="A201" s="31" t="s">
        <v>8</v>
      </c>
      <c r="B201" s="66" t="s">
        <v>53</v>
      </c>
      <c r="C201" s="34" t="s">
        <v>5</v>
      </c>
      <c r="D201" s="35">
        <v>7</v>
      </c>
      <c r="E201" s="47">
        <v>42.4</v>
      </c>
      <c r="F201" s="10">
        <v>42.7</v>
      </c>
      <c r="G201" s="11" t="e">
        <f>F201*100/#REF!</f>
        <v>#REF!</v>
      </c>
      <c r="H201" s="10">
        <f t="shared" si="18"/>
        <v>100.70754716981132</v>
      </c>
      <c r="I201" s="10">
        <f t="shared" si="19"/>
        <v>610</v>
      </c>
    </row>
    <row r="202" spans="1:9" ht="12.75">
      <c r="A202" s="31" t="s">
        <v>9</v>
      </c>
      <c r="B202" s="31"/>
      <c r="C202" s="34" t="s">
        <v>6</v>
      </c>
      <c r="D202" s="35">
        <v>225</v>
      </c>
      <c r="E202" s="47">
        <v>225</v>
      </c>
      <c r="F202" s="10">
        <v>272.5</v>
      </c>
      <c r="G202" s="11" t="e">
        <f>F202*100/#REF!</f>
        <v>#REF!</v>
      </c>
      <c r="H202" s="10">
        <f t="shared" si="18"/>
        <v>121.11111111111111</v>
      </c>
      <c r="I202" s="10">
        <f t="shared" si="19"/>
        <v>121.11111111111111</v>
      </c>
    </row>
    <row r="203" spans="1:9" ht="12.75">
      <c r="A203" s="31" t="s">
        <v>10</v>
      </c>
      <c r="B203" s="31"/>
      <c r="C203" s="34" t="s">
        <v>21</v>
      </c>
      <c r="D203" s="35">
        <v>18</v>
      </c>
      <c r="E203" s="47">
        <v>18</v>
      </c>
      <c r="F203" s="10">
        <v>11.4</v>
      </c>
      <c r="G203" s="11" t="e">
        <f>F203*100/#REF!</f>
        <v>#REF!</v>
      </c>
      <c r="H203" s="10">
        <f t="shared" si="18"/>
        <v>63.333333333333336</v>
      </c>
      <c r="I203" s="10">
        <f t="shared" si="19"/>
        <v>63.333333333333336</v>
      </c>
    </row>
    <row r="204" spans="1:9" ht="24">
      <c r="A204" s="36" t="s">
        <v>11</v>
      </c>
      <c r="B204" s="36"/>
      <c r="C204" s="34" t="s">
        <v>17</v>
      </c>
      <c r="D204" s="35">
        <v>135.1</v>
      </c>
      <c r="E204" s="47">
        <v>135.1</v>
      </c>
      <c r="F204" s="10">
        <v>121.5</v>
      </c>
      <c r="G204" s="11" t="e">
        <f>F204*100/#REF!</f>
        <v>#REF!</v>
      </c>
      <c r="H204" s="10">
        <f t="shared" si="18"/>
        <v>89.93338267949667</v>
      </c>
      <c r="I204" s="10">
        <f t="shared" si="19"/>
        <v>89.93338267949667</v>
      </c>
    </row>
    <row r="205" spans="1:9" ht="27" customHeight="1">
      <c r="A205" s="37" t="s">
        <v>18</v>
      </c>
      <c r="B205" s="37"/>
      <c r="C205" s="34" t="s">
        <v>15</v>
      </c>
      <c r="D205" s="35"/>
      <c r="E205" s="47">
        <v>119</v>
      </c>
      <c r="F205" s="10">
        <v>119</v>
      </c>
      <c r="G205" s="11" t="e">
        <f>F205*100/#REF!</f>
        <v>#REF!</v>
      </c>
      <c r="H205" s="10">
        <f t="shared" si="18"/>
        <v>100</v>
      </c>
      <c r="I205" s="10"/>
    </row>
    <row r="206" spans="1:9" ht="13.5" customHeight="1">
      <c r="A206" s="37" t="s">
        <v>12</v>
      </c>
      <c r="B206" s="57"/>
      <c r="C206" s="34" t="s">
        <v>7</v>
      </c>
      <c r="D206" s="35"/>
      <c r="E206" s="47">
        <v>0</v>
      </c>
      <c r="F206" s="10">
        <v>54</v>
      </c>
      <c r="G206" s="11"/>
      <c r="H206" s="10"/>
      <c r="I206" s="10"/>
    </row>
    <row r="207" spans="1:9" ht="13.5" customHeight="1">
      <c r="A207" s="59" t="s">
        <v>39</v>
      </c>
      <c r="B207" s="41"/>
      <c r="C207" s="42" t="s">
        <v>40</v>
      </c>
      <c r="D207" s="35"/>
      <c r="E207" s="47">
        <v>0</v>
      </c>
      <c r="F207" s="10"/>
      <c r="G207" s="11"/>
      <c r="H207" s="10"/>
      <c r="I207" s="10"/>
    </row>
    <row r="208" spans="1:9" ht="12.75">
      <c r="A208" s="43" t="s">
        <v>1</v>
      </c>
      <c r="B208" s="43"/>
      <c r="C208" s="44" t="s">
        <v>0</v>
      </c>
      <c r="D208" s="14">
        <f>D209+D210</f>
        <v>25551.8</v>
      </c>
      <c r="E208" s="14">
        <f>E209+E210</f>
        <v>43352.6</v>
      </c>
      <c r="F208" s="14">
        <f>F209+F210</f>
        <v>33666</v>
      </c>
      <c r="G208" s="13" t="e">
        <f>F208*100/#REF!</f>
        <v>#REF!</v>
      </c>
      <c r="H208" s="12">
        <f>F208*100/E208</f>
        <v>77.65624207083313</v>
      </c>
      <c r="I208" s="12">
        <f>F208*100/D208</f>
        <v>131.7558841255802</v>
      </c>
    </row>
    <row r="209" spans="1:9" ht="24">
      <c r="A209" s="45" t="s">
        <v>64</v>
      </c>
      <c r="B209" s="31"/>
      <c r="C209" s="46" t="s">
        <v>20</v>
      </c>
      <c r="D209" s="47">
        <v>25551.8</v>
      </c>
      <c r="E209" s="47">
        <v>43352.6</v>
      </c>
      <c r="F209" s="10">
        <v>33636</v>
      </c>
      <c r="G209" s="11" t="e">
        <f>F209*100/#REF!</f>
        <v>#REF!</v>
      </c>
      <c r="H209" s="10">
        <f>F209*100/E209</f>
        <v>77.58704206898778</v>
      </c>
      <c r="I209" s="10">
        <f>F209*100/D209</f>
        <v>131.63847556727902</v>
      </c>
    </row>
    <row r="210" spans="1:9" ht="12.75">
      <c r="A210" s="45" t="s">
        <v>74</v>
      </c>
      <c r="B210" s="45"/>
      <c r="C210" s="48" t="s">
        <v>19</v>
      </c>
      <c r="D210" s="47"/>
      <c r="E210" s="47"/>
      <c r="F210" s="10">
        <v>30</v>
      </c>
      <c r="G210" s="11"/>
      <c r="H210" s="10"/>
      <c r="I210" s="10"/>
    </row>
    <row r="211" spans="1:9" ht="12.75">
      <c r="A211" s="39"/>
      <c r="B211" s="54"/>
      <c r="C211" s="55" t="s">
        <v>4</v>
      </c>
      <c r="D211" s="12">
        <f>D208+D198</f>
        <v>30604.1</v>
      </c>
      <c r="E211" s="12">
        <f>E208+E198</f>
        <v>48559.299999999996</v>
      </c>
      <c r="F211" s="12">
        <f>F208+F198</f>
        <v>38865.5</v>
      </c>
      <c r="G211" s="13" t="e">
        <f>F211*100/#REF!</f>
        <v>#REF!</v>
      </c>
      <c r="H211" s="12">
        <f>F211*100/E211</f>
        <v>80.03719163991245</v>
      </c>
      <c r="I211" s="12">
        <f>F211*100/D211</f>
        <v>126.9944223159642</v>
      </c>
    </row>
    <row r="212" spans="1:9" ht="12.75">
      <c r="A212" s="76"/>
      <c r="B212" s="77"/>
      <c r="C212" s="77"/>
      <c r="D212" s="77"/>
      <c r="E212" s="77"/>
      <c r="F212" s="77"/>
      <c r="G212" s="13"/>
      <c r="H212" s="12"/>
      <c r="I212" s="10"/>
    </row>
    <row r="213" spans="1:9" ht="12.75">
      <c r="A213" s="80" t="s">
        <v>36</v>
      </c>
      <c r="B213" s="81"/>
      <c r="C213" s="81"/>
      <c r="D213" s="81"/>
      <c r="E213" s="81"/>
      <c r="F213" s="81"/>
      <c r="G213" s="81"/>
      <c r="H213" s="81"/>
      <c r="I213" s="82"/>
    </row>
    <row r="214" spans="1:9" ht="12.75">
      <c r="A214" s="43" t="s">
        <v>3</v>
      </c>
      <c r="B214" s="67"/>
      <c r="C214" s="56" t="s">
        <v>65</v>
      </c>
      <c r="D214" s="13">
        <f>D215+D217+D218+D219+D221+D222+D224+D226+D223+D220+D227+D225+D216</f>
        <v>978570.1</v>
      </c>
      <c r="E214" s="13">
        <f>E215+E217+E218+E219+E221+E222+E224+E226+E223+E220+E227+E225+E216</f>
        <v>1074765.8</v>
      </c>
      <c r="F214" s="13">
        <f>F215+F217+F218+F219+F221+F222+F224+F226+F223+F220+F227+F225+F216</f>
        <v>1026533.5</v>
      </c>
      <c r="G214" s="13" t="e">
        <f>F214*100/#REF!</f>
        <v>#REF!</v>
      </c>
      <c r="H214" s="12">
        <f aca="true" t="shared" si="20" ref="H214:H219">F214*100/E214</f>
        <v>95.51229672548196</v>
      </c>
      <c r="I214" s="12">
        <f aca="true" t="shared" si="21" ref="I214:I226">F214*100/D214</f>
        <v>104.90137599748859</v>
      </c>
    </row>
    <row r="215" spans="1:9" ht="12.75">
      <c r="A215" s="39" t="s">
        <v>23</v>
      </c>
      <c r="B215" s="68" t="s">
        <v>52</v>
      </c>
      <c r="C215" s="34" t="s">
        <v>22</v>
      </c>
      <c r="D215" s="10">
        <f aca="true" t="shared" si="22" ref="D215:F216">D9+D31+D47+D65+D82+D99+D115+D131+D149+D166+D183+D199</f>
        <v>706575.5</v>
      </c>
      <c r="E215" s="10">
        <f t="shared" si="22"/>
        <v>753589.0999999999</v>
      </c>
      <c r="F215" s="10">
        <f t="shared" si="22"/>
        <v>681499.5000000001</v>
      </c>
      <c r="G215" s="11" t="e">
        <f>F215*100/#REF!</f>
        <v>#REF!</v>
      </c>
      <c r="H215" s="10">
        <f t="shared" si="20"/>
        <v>90.43383191184695</v>
      </c>
      <c r="I215" s="10">
        <f t="shared" si="21"/>
        <v>96.45105158613624</v>
      </c>
    </row>
    <row r="216" spans="1:9" ht="12.75">
      <c r="A216" s="31" t="s">
        <v>67</v>
      </c>
      <c r="B216" s="31"/>
      <c r="C216" s="34" t="s">
        <v>68</v>
      </c>
      <c r="D216" s="10">
        <f t="shared" si="22"/>
        <v>46940.7</v>
      </c>
      <c r="E216" s="10">
        <f t="shared" si="22"/>
        <v>47899.399999999994</v>
      </c>
      <c r="F216" s="10">
        <f t="shared" si="22"/>
        <v>47578.299999999996</v>
      </c>
      <c r="G216" s="11" t="e">
        <f>F216*100/#REF!</f>
        <v>#REF!</v>
      </c>
      <c r="H216" s="10">
        <f t="shared" si="20"/>
        <v>99.32963669691063</v>
      </c>
      <c r="I216" s="10">
        <f t="shared" si="21"/>
        <v>101.35830952670072</v>
      </c>
    </row>
    <row r="217" spans="1:9" ht="12.75">
      <c r="A217" s="31" t="s">
        <v>8</v>
      </c>
      <c r="B217" s="66" t="s">
        <v>53</v>
      </c>
      <c r="C217" s="34" t="s">
        <v>5</v>
      </c>
      <c r="D217" s="10">
        <f>D11+D49+D67+D117+D133+D151+D168+D185+D201</f>
        <v>45460</v>
      </c>
      <c r="E217" s="10">
        <f>E11+E49+E67+E117+E133+E151+E168+E185+E201</f>
        <v>47130.5</v>
      </c>
      <c r="F217" s="10">
        <f>F11+F49+F67+F201+F151+F185+F84+F101+F168+F117+F133-0.1</f>
        <v>47876.6</v>
      </c>
      <c r="G217" s="11" t="e">
        <f>F217*100/#REF!</f>
        <v>#REF!</v>
      </c>
      <c r="H217" s="10">
        <f t="shared" si="20"/>
        <v>101.58305131496589</v>
      </c>
      <c r="I217" s="10">
        <f t="shared" si="21"/>
        <v>105.3158820941487</v>
      </c>
    </row>
    <row r="218" spans="1:9" ht="12.75">
      <c r="A218" s="31" t="s">
        <v>9</v>
      </c>
      <c r="B218" s="66" t="s">
        <v>54</v>
      </c>
      <c r="C218" s="34" t="s">
        <v>6</v>
      </c>
      <c r="D218" s="10">
        <f>D12+D33+D50+D68+D85+D102+D118+D134+D152+D169+D186+D202</f>
        <v>21147.7</v>
      </c>
      <c r="E218" s="10">
        <f>E12+E33+E50+E68+E85+E102+E118+E134+E152+E169+E186+E202</f>
        <v>24411</v>
      </c>
      <c r="F218" s="10">
        <f>F12+F33+F50+F68+F85+F102+F118+F134+F152+F169+F186+F202+0.1</f>
        <v>24074.600000000002</v>
      </c>
      <c r="G218" s="11" t="e">
        <f>F218*100/#REF!</f>
        <v>#REF!</v>
      </c>
      <c r="H218" s="10">
        <f t="shared" si="20"/>
        <v>98.62193273524231</v>
      </c>
      <c r="I218" s="10">
        <f t="shared" si="21"/>
        <v>113.84027577467053</v>
      </c>
    </row>
    <row r="219" spans="1:9" ht="12.75">
      <c r="A219" s="31" t="s">
        <v>10</v>
      </c>
      <c r="B219" s="66" t="s">
        <v>47</v>
      </c>
      <c r="C219" s="34" t="s">
        <v>21</v>
      </c>
      <c r="D219" s="10">
        <f>D13+D34+D69+D103+D119+D135+D153+D170+D187+D203</f>
        <v>3579.3999999999996</v>
      </c>
      <c r="E219" s="10">
        <f>E13+E34+E69+E103+E119+E135+E153+E170+E187+E203</f>
        <v>3779.2999999999997</v>
      </c>
      <c r="F219" s="10">
        <f>F13+F34+F51+F69+F86+F103+F119+F135+F153+F170+F187+F203</f>
        <v>3841.1</v>
      </c>
      <c r="G219" s="11" t="e">
        <f>F219*100/#REF!</f>
        <v>#REF!</v>
      </c>
      <c r="H219" s="10">
        <f t="shared" si="20"/>
        <v>101.63522345407881</v>
      </c>
      <c r="I219" s="10">
        <f t="shared" si="21"/>
        <v>107.31128122031626</v>
      </c>
    </row>
    <row r="220" spans="1:9" ht="24" hidden="1">
      <c r="A220" s="31" t="s">
        <v>37</v>
      </c>
      <c r="B220" s="66" t="s">
        <v>55</v>
      </c>
      <c r="C220" s="34" t="s">
        <v>38</v>
      </c>
      <c r="D220" s="15">
        <f>D14</f>
        <v>0</v>
      </c>
      <c r="E220" s="15">
        <f>E14</f>
        <v>0</v>
      </c>
      <c r="F220" s="15">
        <f>F14</f>
        <v>0</v>
      </c>
      <c r="G220" s="11"/>
      <c r="H220" s="10"/>
      <c r="I220" s="10" t="e">
        <f t="shared" si="21"/>
        <v>#DIV/0!</v>
      </c>
    </row>
    <row r="221" spans="1:9" ht="24">
      <c r="A221" s="36" t="s">
        <v>11</v>
      </c>
      <c r="B221" s="69" t="s">
        <v>46</v>
      </c>
      <c r="C221" s="34" t="s">
        <v>17</v>
      </c>
      <c r="D221" s="10">
        <f>D15+D35+D52+D70+D87+D104+D120+D136+D154+D171+D188+D204</f>
        <v>116967.7</v>
      </c>
      <c r="E221" s="10">
        <f>E15+E35+E52+E70+E87+E104+E120+E136+E154+E171+E188+E204</f>
        <v>135894.4</v>
      </c>
      <c r="F221" s="10">
        <f>F15+F35+F52+F70+F87+F104+F120+F136+F154+F171+F188+F204</f>
        <v>139860.4</v>
      </c>
      <c r="G221" s="11" t="e">
        <f>F221*100/#REF!</f>
        <v>#REF!</v>
      </c>
      <c r="H221" s="10">
        <f aca="true" t="shared" si="23" ref="H221:H226">F221*100/E221</f>
        <v>102.91844255539596</v>
      </c>
      <c r="I221" s="10">
        <f t="shared" si="21"/>
        <v>119.5718134151565</v>
      </c>
    </row>
    <row r="222" spans="1:9" ht="12.75">
      <c r="A222" s="37" t="s">
        <v>14</v>
      </c>
      <c r="B222" s="70" t="s">
        <v>45</v>
      </c>
      <c r="C222" s="34" t="s">
        <v>13</v>
      </c>
      <c r="D222" s="10">
        <f>D16</f>
        <v>4251.8</v>
      </c>
      <c r="E222" s="10">
        <f>E16</f>
        <v>5000.9</v>
      </c>
      <c r="F222" s="10">
        <f>F16</f>
        <v>5938.6</v>
      </c>
      <c r="G222" s="11" t="e">
        <f>F222*100/#REF!</f>
        <v>#REF!</v>
      </c>
      <c r="H222" s="10">
        <f t="shared" si="23"/>
        <v>118.75062488752026</v>
      </c>
      <c r="I222" s="10">
        <f t="shared" si="21"/>
        <v>139.67260924784796</v>
      </c>
    </row>
    <row r="223" spans="1:9" ht="24">
      <c r="A223" s="38" t="s">
        <v>42</v>
      </c>
      <c r="B223" s="71" t="s">
        <v>56</v>
      </c>
      <c r="C223" s="34" t="s">
        <v>43</v>
      </c>
      <c r="D223" s="16">
        <f>D17+D36+D53+D88+D105+D121+D137+D155+D172+D189</f>
        <v>15872.999999999998</v>
      </c>
      <c r="E223" s="16">
        <f>E17+E36+E53+E88+E105+E121+E137+E155+E172+E189</f>
        <v>17581.7</v>
      </c>
      <c r="F223" s="16">
        <f>F17+F88+F53+F105+F137+F155+F172+F189+F121+F71+F36</f>
        <v>26412.500000000004</v>
      </c>
      <c r="G223" s="11" t="e">
        <f>F223*100/#REF!</f>
        <v>#REF!</v>
      </c>
      <c r="H223" s="10">
        <f t="shared" si="23"/>
        <v>150.22722489861619</v>
      </c>
      <c r="I223" s="10">
        <f t="shared" si="21"/>
        <v>166.39891639891644</v>
      </c>
    </row>
    <row r="224" spans="1:9" ht="24">
      <c r="A224" s="38" t="s">
        <v>18</v>
      </c>
      <c r="B224" s="71" t="s">
        <v>51</v>
      </c>
      <c r="C224" s="34" t="s">
        <v>15</v>
      </c>
      <c r="D224" s="10">
        <f>D18+D37+D54+D72+D89+D122+D173+D190+D205</f>
        <v>17538</v>
      </c>
      <c r="E224" s="10">
        <f>E18+E37+E54+E72+E89+E122+E173+E190+E205</f>
        <v>26279.4</v>
      </c>
      <c r="F224" s="10">
        <f>F18+F37+F54+F72+F89+F122+F156+F173+F190+F205+F138</f>
        <v>24774.7</v>
      </c>
      <c r="G224" s="11" t="e">
        <f>F224*100/#REF!</f>
        <v>#REF!</v>
      </c>
      <c r="H224" s="10">
        <f t="shared" si="23"/>
        <v>94.27422239472742</v>
      </c>
      <c r="I224" s="10">
        <f t="shared" si="21"/>
        <v>141.2629718325921</v>
      </c>
    </row>
    <row r="225" spans="1:9" ht="12.75">
      <c r="A225" s="38" t="s">
        <v>58</v>
      </c>
      <c r="B225" s="38"/>
      <c r="C225" s="34" t="s">
        <v>59</v>
      </c>
      <c r="D225" s="10">
        <f>D19</f>
        <v>6</v>
      </c>
      <c r="E225" s="10">
        <f>E19</f>
        <v>9</v>
      </c>
      <c r="F225" s="10">
        <f>F19</f>
        <v>9</v>
      </c>
      <c r="G225" s="11" t="e">
        <f>F225*100/#REF!</f>
        <v>#REF!</v>
      </c>
      <c r="H225" s="10">
        <f t="shared" si="23"/>
        <v>100</v>
      </c>
      <c r="I225" s="10">
        <f t="shared" si="21"/>
        <v>150</v>
      </c>
    </row>
    <row r="226" spans="1:9" ht="12.75">
      <c r="A226" s="39" t="s">
        <v>12</v>
      </c>
      <c r="B226" s="68" t="s">
        <v>48</v>
      </c>
      <c r="C226" s="34" t="s">
        <v>7</v>
      </c>
      <c r="D226" s="10">
        <f>D20+D55+D73+D90+D106+D123+D139+D157+D174+D191+D206</f>
        <v>230.29999999999998</v>
      </c>
      <c r="E226" s="10">
        <f>E20+E55+E73+E90+E106+E123+E139+E157+E174+E191+E206</f>
        <v>13178.300000000001</v>
      </c>
      <c r="F226" s="10">
        <f>F20+F191+F206+F73+F139+F55+F157+F90+F174+F106+F38+F123+0.1</f>
        <v>24309.1</v>
      </c>
      <c r="G226" s="11" t="e">
        <f>F226*100/#REF!</f>
        <v>#REF!</v>
      </c>
      <c r="H226" s="10">
        <f t="shared" si="23"/>
        <v>184.46309463284337</v>
      </c>
      <c r="I226" s="10">
        <f t="shared" si="21"/>
        <v>10555.405992184109</v>
      </c>
    </row>
    <row r="227" spans="1:9" ht="12.75">
      <c r="A227" s="40" t="s">
        <v>39</v>
      </c>
      <c r="B227" s="72" t="s">
        <v>55</v>
      </c>
      <c r="C227" s="42" t="s">
        <v>40</v>
      </c>
      <c r="D227" s="10">
        <f>D21+D39+D56+D74+D91+D107+D124+D140+D158+D175+D192+D207</f>
        <v>0</v>
      </c>
      <c r="E227" s="10">
        <f>E21+E39+E56+E74+E91+E107+E124+E140+E158+E175+E192+E207</f>
        <v>12.8</v>
      </c>
      <c r="F227" s="10">
        <f>F21+F39+F56+F74+F91+F107+F124+F140+F158+F175+F192+F207+0.1</f>
        <v>359.1</v>
      </c>
      <c r="G227" s="11"/>
      <c r="H227" s="10"/>
      <c r="I227" s="10"/>
    </row>
    <row r="228" spans="1:9" ht="12.75">
      <c r="A228" s="43" t="s">
        <v>1</v>
      </c>
      <c r="B228" s="67"/>
      <c r="C228" s="44" t="s">
        <v>0</v>
      </c>
      <c r="D228" s="14">
        <f>D229+D230+D231</f>
        <v>2676706.5</v>
      </c>
      <c r="E228" s="14">
        <f>E229+E230+E231</f>
        <v>2868115.3</v>
      </c>
      <c r="F228" s="14">
        <f>F229+F230+F231-0.1</f>
        <v>2446880.6</v>
      </c>
      <c r="G228" s="13" t="e">
        <f>F228*100/#REF!</f>
        <v>#REF!</v>
      </c>
      <c r="H228" s="12">
        <f>F228*100/E228</f>
        <v>85.3131880716232</v>
      </c>
      <c r="I228" s="12">
        <f>F228*100/D228</f>
        <v>91.41385504910606</v>
      </c>
    </row>
    <row r="229" spans="1:9" ht="24">
      <c r="A229" s="45" t="s">
        <v>64</v>
      </c>
      <c r="B229" s="66" t="s">
        <v>49</v>
      </c>
      <c r="C229" s="46" t="s">
        <v>20</v>
      </c>
      <c r="D229" s="9">
        <f>D23-16095.4</f>
        <v>2676706.5</v>
      </c>
      <c r="E229" s="9">
        <f>E23-16018</f>
        <v>2839633.8</v>
      </c>
      <c r="F229" s="9">
        <f>F23-11470.7</f>
        <v>2423379.4</v>
      </c>
      <c r="G229" s="11" t="e">
        <f>F229*100/#REF!</f>
        <v>#REF!</v>
      </c>
      <c r="H229" s="10">
        <f>F229*100/E229</f>
        <v>85.34126477857815</v>
      </c>
      <c r="I229" s="10">
        <f>F229*100/D229</f>
        <v>90.53586562441568</v>
      </c>
    </row>
    <row r="230" spans="1:9" ht="12.75">
      <c r="A230" s="45" t="s">
        <v>74</v>
      </c>
      <c r="B230" s="45" t="s">
        <v>50</v>
      </c>
      <c r="C230" s="48" t="s">
        <v>19</v>
      </c>
      <c r="D230" s="10">
        <f>D24+D77+D94+D178+D210+D143</f>
        <v>0</v>
      </c>
      <c r="E230" s="10">
        <f>E24+E77+E94+E178+E210+E143</f>
        <v>30200</v>
      </c>
      <c r="F230" s="10">
        <f>F24+F77+F94+F178+F210+F143-0.1</f>
        <v>35826.6</v>
      </c>
      <c r="G230" s="10" t="e">
        <f>G24+G77+G94+G178+G210</f>
        <v>#REF!</v>
      </c>
      <c r="H230" s="10">
        <f>F230*100/E230</f>
        <v>118.63112582781457</v>
      </c>
      <c r="I230" s="10"/>
    </row>
    <row r="231" spans="1:9" ht="36">
      <c r="A231" s="45" t="s">
        <v>63</v>
      </c>
      <c r="B231" s="50"/>
      <c r="C231" s="52" t="s">
        <v>60</v>
      </c>
      <c r="D231" s="10">
        <f>D26</f>
        <v>0</v>
      </c>
      <c r="E231" s="10">
        <f>E26</f>
        <v>-1718.5</v>
      </c>
      <c r="F231" s="10">
        <f>F26</f>
        <v>-12325.3</v>
      </c>
      <c r="G231" s="11" t="e">
        <f>F231*100/#REF!</f>
        <v>#REF!</v>
      </c>
      <c r="H231" s="10">
        <f>F231*100/E231</f>
        <v>717.2126854815245</v>
      </c>
      <c r="I231" s="10"/>
    </row>
    <row r="232" spans="1:9" ht="12.75">
      <c r="A232" s="39"/>
      <c r="B232" s="54"/>
      <c r="C232" s="55" t="s">
        <v>4</v>
      </c>
      <c r="D232" s="12">
        <f>D228+D214</f>
        <v>3655276.6</v>
      </c>
      <c r="E232" s="12">
        <f>E228+E214</f>
        <v>3942881.0999999996</v>
      </c>
      <c r="F232" s="12">
        <f>F228+F214</f>
        <v>3473414.1</v>
      </c>
      <c r="G232" s="13" t="e">
        <f>F232*100/#REF!</f>
        <v>#REF!</v>
      </c>
      <c r="H232" s="12">
        <f>F232*100/E232</f>
        <v>88.09330060701045</v>
      </c>
      <c r="I232" s="12">
        <f>F232*100/D232</f>
        <v>95.02465832544655</v>
      </c>
    </row>
    <row r="233" spans="3:5" ht="12.75">
      <c r="C233" s="5"/>
      <c r="D233" s="5"/>
      <c r="E233" s="5"/>
    </row>
    <row r="234" spans="3:6" ht="12.75">
      <c r="C234" s="6" t="s">
        <v>57</v>
      </c>
      <c r="D234" s="6"/>
      <c r="E234" s="6"/>
      <c r="F234" s="4"/>
    </row>
    <row r="235" spans="3:6" ht="12.75" hidden="1">
      <c r="C235" s="6"/>
      <c r="D235" s="6"/>
      <c r="E235" s="6"/>
      <c r="F235" s="3"/>
    </row>
    <row r="236" spans="1:6" ht="12.75" hidden="1">
      <c r="A236" s="2"/>
      <c r="C236" s="6"/>
      <c r="D236" s="6"/>
      <c r="E236" s="6"/>
      <c r="F236" s="4"/>
    </row>
    <row r="237" spans="3:6" ht="12.75" hidden="1">
      <c r="C237" s="7"/>
      <c r="D237" s="7"/>
      <c r="E237" s="7"/>
      <c r="F237" s="4"/>
    </row>
    <row r="238" spans="3:6" ht="12.75" hidden="1">
      <c r="C238" s="7"/>
      <c r="D238" s="7"/>
      <c r="E238" s="7"/>
      <c r="F238" s="4"/>
    </row>
    <row r="239" spans="1:6" ht="12.75" hidden="1">
      <c r="A239" s="2" t="e">
        <f>#REF!+#REF!</f>
        <v>#REF!</v>
      </c>
      <c r="C239" s="8"/>
      <c r="D239" s="8"/>
      <c r="E239" s="8"/>
      <c r="F239" s="4"/>
    </row>
    <row r="240" spans="1:6" ht="12.75" hidden="1">
      <c r="A240" s="2" t="e">
        <f>#REF!+#REF!</f>
        <v>#REF!</v>
      </c>
      <c r="C240" s="7"/>
      <c r="D240" s="7"/>
      <c r="E240" s="7"/>
      <c r="F240" s="4"/>
    </row>
    <row r="241" spans="1:6" ht="12.75" hidden="1">
      <c r="A241" s="2" t="e">
        <f>#REF!+#REF!</f>
        <v>#REF!</v>
      </c>
      <c r="C241" s="6"/>
      <c r="D241" s="6"/>
      <c r="E241" s="6"/>
      <c r="F241" s="4"/>
    </row>
    <row r="242" spans="1:6" ht="12.75" hidden="1">
      <c r="A242" s="2" t="e">
        <f>#REF!+#REF!</f>
        <v>#REF!</v>
      </c>
      <c r="C242" s="6"/>
      <c r="D242" s="6"/>
      <c r="E242" s="6"/>
      <c r="F242" s="4"/>
    </row>
    <row r="243" spans="3:6" ht="12.75" hidden="1">
      <c r="C243" s="6"/>
      <c r="D243" s="6"/>
      <c r="E243" s="6"/>
      <c r="F243" s="4"/>
    </row>
    <row r="244" spans="3:6" ht="12.75" hidden="1">
      <c r="C244" s="5"/>
      <c r="D244" s="5"/>
      <c r="E244" s="5"/>
      <c r="F244" s="4"/>
    </row>
    <row r="245" spans="3:6" ht="12.75">
      <c r="C245" s="5"/>
      <c r="D245" s="5"/>
      <c r="E245" s="5"/>
      <c r="F245" s="17"/>
    </row>
    <row r="246" spans="3:6" ht="12.75">
      <c r="C246" s="5"/>
      <c r="D246" s="5"/>
      <c r="E246" s="5"/>
      <c r="F246" s="4"/>
    </row>
    <row r="247" spans="3:6" ht="12.75">
      <c r="C247" s="5"/>
      <c r="D247" s="17"/>
      <c r="E247" s="17"/>
      <c r="F247" s="17"/>
    </row>
    <row r="248" spans="4:6" ht="12.75">
      <c r="D248" s="2">
        <f>D41+D58+D76+D93+D109+D126+D142+D160+D177+D194+D209</f>
        <v>301082.69999999995</v>
      </c>
      <c r="E248" s="2">
        <f>E41+E58+E76+E93+E109+E126+E142+E160+E177+E194+E209</f>
        <v>515710.10000000003</v>
      </c>
      <c r="F248" s="2"/>
    </row>
    <row r="249" ht="12.75">
      <c r="F249" s="4"/>
    </row>
    <row r="250" ht="12.75">
      <c r="F250" s="4"/>
    </row>
    <row r="251" spans="3:6" ht="12.75">
      <c r="C251" s="5"/>
      <c r="D251" s="5"/>
      <c r="E251" s="5"/>
      <c r="F251" s="4"/>
    </row>
    <row r="252" spans="3:6" ht="12.75">
      <c r="C252" s="5"/>
      <c r="D252" s="5"/>
      <c r="E252" s="5"/>
      <c r="F252" s="4"/>
    </row>
    <row r="253" spans="3:6" ht="12.75">
      <c r="C253" s="5"/>
      <c r="D253" s="5"/>
      <c r="E253" s="5"/>
      <c r="F253" s="4"/>
    </row>
    <row r="254" spans="3:6" ht="12.75">
      <c r="C254" s="5"/>
      <c r="D254" s="5"/>
      <c r="E254" s="5"/>
      <c r="F254" s="4"/>
    </row>
    <row r="255" spans="3:6" ht="12.75">
      <c r="C255" s="5"/>
      <c r="D255" s="5"/>
      <c r="E255" s="5"/>
      <c r="F255" s="3"/>
    </row>
    <row r="256" spans="3:6" ht="12.75">
      <c r="C256" s="5"/>
      <c r="D256" s="5"/>
      <c r="E256" s="5"/>
      <c r="F256" s="4"/>
    </row>
    <row r="257" spans="3:6" ht="12.75">
      <c r="C257" s="5"/>
      <c r="D257" s="5"/>
      <c r="E257" s="5"/>
      <c r="F257" s="4"/>
    </row>
  </sheetData>
  <sheetProtection password="CF7A" sheet="1"/>
  <mergeCells count="33">
    <mergeCell ref="A212:F212"/>
    <mergeCell ref="A196:F196"/>
    <mergeCell ref="A163:F163"/>
    <mergeCell ref="A128:F128"/>
    <mergeCell ref="A97:I97"/>
    <mergeCell ref="A80:I80"/>
    <mergeCell ref="A1:I1"/>
    <mergeCell ref="A213:I213"/>
    <mergeCell ref="A197:I197"/>
    <mergeCell ref="A181:I181"/>
    <mergeCell ref="A164:I164"/>
    <mergeCell ref="A147:I147"/>
    <mergeCell ref="A129:I129"/>
    <mergeCell ref="A7:I7"/>
    <mergeCell ref="A62:F62"/>
    <mergeCell ref="G4:G6"/>
    <mergeCell ref="A180:F180"/>
    <mergeCell ref="A146:F146"/>
    <mergeCell ref="A79:I79"/>
    <mergeCell ref="A63:I63"/>
    <mergeCell ref="A113:I113"/>
    <mergeCell ref="I4:I6"/>
    <mergeCell ref="D4:D6"/>
    <mergeCell ref="E4:E6"/>
    <mergeCell ref="H4:H6"/>
    <mergeCell ref="A112:F112"/>
    <mergeCell ref="A2:F2"/>
    <mergeCell ref="A96:F96"/>
    <mergeCell ref="C44:F44"/>
    <mergeCell ref="A45:I45"/>
    <mergeCell ref="A29:I29"/>
    <mergeCell ref="F4:F6"/>
    <mergeCell ref="A28:F28"/>
  </mergeCells>
  <printOptions/>
  <pageMargins left="0" right="0" top="0.15748031496062992" bottom="0.15748031496062992" header="0.15748031496062992" footer="0.1968503937007874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PageLayoutView="0" workbookViewId="0" topLeftCell="A113">
      <selection activeCell="G124" sqref="G124"/>
    </sheetView>
  </sheetViews>
  <sheetFormatPr defaultColWidth="9.00390625" defaultRowHeight="12.75"/>
  <cols>
    <col min="1" max="1" width="9.25390625" style="0" bestFit="1" customWidth="1"/>
    <col min="2" max="2" width="37.25390625" style="0" customWidth="1"/>
    <col min="3" max="4" width="14.25390625" style="0" bestFit="1" customWidth="1"/>
    <col min="5" max="5" width="12.75390625" style="0" customWidth="1"/>
    <col min="6" max="6" width="12.375" style="0" bestFit="1" customWidth="1"/>
    <col min="7" max="7" width="16.875" style="0" customWidth="1"/>
    <col min="8" max="8" width="11.75390625" style="0" customWidth="1"/>
    <col min="9" max="9" width="14.25390625" style="0" bestFit="1" customWidth="1"/>
    <col min="10" max="10" width="18.25390625" style="0" customWidth="1"/>
    <col min="11" max="11" width="12.875" style="0" customWidth="1"/>
  </cols>
  <sheetData>
    <row r="1" spans="1:11" s="161" customFormat="1" ht="15" customHeight="1">
      <c r="A1" s="160" t="s">
        <v>77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61" customFormat="1" ht="15.75" thickBot="1">
      <c r="A2" s="162"/>
      <c r="B2" s="163"/>
      <c r="C2" s="164"/>
      <c r="D2" s="165"/>
      <c r="E2" s="166"/>
      <c r="F2" s="167"/>
      <c r="G2" s="167"/>
      <c r="H2" s="168"/>
      <c r="I2" s="169"/>
      <c r="J2" s="170"/>
      <c r="K2" s="171"/>
    </row>
    <row r="3" spans="1:11" s="161" customFormat="1" ht="13.5" customHeight="1">
      <c r="A3" s="89" t="s">
        <v>78</v>
      </c>
      <c r="B3" s="90" t="s">
        <v>79</v>
      </c>
      <c r="C3" s="91" t="s">
        <v>80</v>
      </c>
      <c r="D3" s="91"/>
      <c r="E3" s="91"/>
      <c r="F3" s="92" t="s">
        <v>81</v>
      </c>
      <c r="G3" s="92"/>
      <c r="H3" s="92"/>
      <c r="I3" s="93" t="s">
        <v>82</v>
      </c>
      <c r="J3" s="93"/>
      <c r="K3" s="94"/>
    </row>
    <row r="4" spans="1:11" s="161" customFormat="1" ht="19.5" customHeight="1">
      <c r="A4" s="95"/>
      <c r="B4" s="96"/>
      <c r="C4" s="97" t="s">
        <v>83</v>
      </c>
      <c r="D4" s="97" t="s">
        <v>84</v>
      </c>
      <c r="E4" s="98" t="s">
        <v>85</v>
      </c>
      <c r="F4" s="97" t="s">
        <v>83</v>
      </c>
      <c r="G4" s="97" t="s">
        <v>84</v>
      </c>
      <c r="H4" s="99" t="s">
        <v>85</v>
      </c>
      <c r="I4" s="100" t="s">
        <v>83</v>
      </c>
      <c r="J4" s="101" t="s">
        <v>86</v>
      </c>
      <c r="K4" s="102" t="s">
        <v>85</v>
      </c>
    </row>
    <row r="5" spans="1:11" s="161" customFormat="1" ht="16.5" customHeight="1">
      <c r="A5" s="95"/>
      <c r="B5" s="96"/>
      <c r="C5" s="103"/>
      <c r="D5" s="97"/>
      <c r="E5" s="159"/>
      <c r="F5" s="103"/>
      <c r="G5" s="97"/>
      <c r="H5" s="104"/>
      <c r="I5" s="105"/>
      <c r="J5" s="101"/>
      <c r="K5" s="106"/>
    </row>
    <row r="6" spans="1:11" s="161" customFormat="1" ht="12.75" customHeight="1">
      <c r="A6" s="95"/>
      <c r="B6" s="107" t="s">
        <v>87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1:11" s="161" customFormat="1" ht="9.75" customHeight="1">
      <c r="A7" s="95"/>
      <c r="B7" s="107"/>
      <c r="C7" s="107"/>
      <c r="D7" s="107"/>
      <c r="E7" s="107"/>
      <c r="F7" s="107"/>
      <c r="G7" s="107"/>
      <c r="H7" s="107"/>
      <c r="I7" s="107"/>
      <c r="J7" s="107"/>
      <c r="K7" s="108"/>
    </row>
    <row r="8" spans="1:11" s="161" customFormat="1" ht="0.75" customHeight="1" hidden="1">
      <c r="A8" s="95"/>
      <c r="B8" s="107"/>
      <c r="C8" s="107"/>
      <c r="D8" s="107"/>
      <c r="E8" s="107"/>
      <c r="F8" s="107"/>
      <c r="G8" s="107"/>
      <c r="H8" s="107"/>
      <c r="I8" s="107"/>
      <c r="J8" s="107"/>
      <c r="K8" s="108"/>
    </row>
    <row r="9" spans="1:11" s="161" customFormat="1" ht="15">
      <c r="A9" s="109" t="s">
        <v>88</v>
      </c>
      <c r="B9" s="110" t="s">
        <v>89</v>
      </c>
      <c r="C9" s="111">
        <f>SUM(C10:C17)</f>
        <v>402748.5</v>
      </c>
      <c r="D9" s="111">
        <f>SUM(D10:D17)</f>
        <v>355564.2</v>
      </c>
      <c r="E9" s="111">
        <f>D9/C9*100</f>
        <v>88.28442564031896</v>
      </c>
      <c r="F9" s="111">
        <f>F10+F11+F12+F13+F14+F16+F17+F15</f>
        <v>206511.5</v>
      </c>
      <c r="G9" s="111">
        <f>SUM(G10:G17)</f>
        <v>182416.40000000002</v>
      </c>
      <c r="H9" s="112">
        <f>G9/F9*100</f>
        <v>88.3323204760994</v>
      </c>
      <c r="I9" s="111">
        <f>SUM(I10:I17)</f>
        <v>608174.8</v>
      </c>
      <c r="J9" s="111">
        <f>SUM(J10:J17)</f>
        <v>536979</v>
      </c>
      <c r="K9" s="113">
        <f>J9/I9*100</f>
        <v>88.29353008378511</v>
      </c>
    </row>
    <row r="10" spans="1:12" s="161" customFormat="1" ht="42.75" customHeight="1">
      <c r="A10" s="114" t="s">
        <v>90</v>
      </c>
      <c r="B10" s="115" t="s">
        <v>91</v>
      </c>
      <c r="C10" s="116">
        <v>4507.4</v>
      </c>
      <c r="D10" s="116">
        <v>3847.3</v>
      </c>
      <c r="E10" s="117">
        <f>D10/C10*100</f>
        <v>85.35519368150155</v>
      </c>
      <c r="F10" s="118">
        <v>45895.1</v>
      </c>
      <c r="G10" s="118">
        <v>41013.3</v>
      </c>
      <c r="H10" s="119">
        <f>G10/F10*100</f>
        <v>89.36313462657235</v>
      </c>
      <c r="I10" s="120">
        <f>C10+F10</f>
        <v>50402.5</v>
      </c>
      <c r="J10" s="121">
        <f>D10+G10</f>
        <v>44860.600000000006</v>
      </c>
      <c r="K10" s="122">
        <f aca="true" t="shared" si="0" ref="K10:K90">J10/I10*100</f>
        <v>89.00471206785379</v>
      </c>
      <c r="L10" s="172"/>
    </row>
    <row r="11" spans="1:12" s="161" customFormat="1" ht="51.75" customHeight="1">
      <c r="A11" s="114" t="s">
        <v>92</v>
      </c>
      <c r="B11" s="115" t="s">
        <v>93</v>
      </c>
      <c r="C11" s="116">
        <v>8526.1</v>
      </c>
      <c r="D11" s="116">
        <v>7257.2</v>
      </c>
      <c r="E11" s="117">
        <f aca="true" t="shared" si="1" ref="E11:E19">D11/C11*100</f>
        <v>85.11746284936841</v>
      </c>
      <c r="F11" s="118">
        <v>0</v>
      </c>
      <c r="G11" s="118"/>
      <c r="H11" s="119">
        <v>0</v>
      </c>
      <c r="I11" s="120">
        <f>C11+F11</f>
        <v>8526.1</v>
      </c>
      <c r="J11" s="121">
        <f>D11+G11</f>
        <v>7257.2</v>
      </c>
      <c r="K11" s="122">
        <f t="shared" si="0"/>
        <v>85.11746284936841</v>
      </c>
      <c r="L11" s="172"/>
    </row>
    <row r="12" spans="1:12" s="161" customFormat="1" ht="42" customHeight="1">
      <c r="A12" s="114" t="s">
        <v>94</v>
      </c>
      <c r="B12" s="115" t="s">
        <v>95</v>
      </c>
      <c r="C12" s="116">
        <v>155514</v>
      </c>
      <c r="D12" s="116">
        <v>136369.2</v>
      </c>
      <c r="E12" s="117">
        <f t="shared" si="1"/>
        <v>87.6893398665072</v>
      </c>
      <c r="F12" s="118">
        <v>122024.2</v>
      </c>
      <c r="G12" s="118">
        <v>109433.4</v>
      </c>
      <c r="H12" s="119">
        <f>G12/F12*100</f>
        <v>89.68171887215814</v>
      </c>
      <c r="I12" s="120">
        <f>C12+F12</f>
        <v>277538.2</v>
      </c>
      <c r="J12" s="121">
        <f>D12+G12</f>
        <v>245802.6</v>
      </c>
      <c r="K12" s="122">
        <f t="shared" si="0"/>
        <v>88.56532181876224</v>
      </c>
      <c r="L12" s="172"/>
    </row>
    <row r="13" spans="1:12" s="161" customFormat="1" ht="22.5" customHeight="1">
      <c r="A13" s="114" t="s">
        <v>96</v>
      </c>
      <c r="B13" s="115" t="s">
        <v>97</v>
      </c>
      <c r="C13" s="116">
        <v>11.3</v>
      </c>
      <c r="D13" s="116">
        <v>3</v>
      </c>
      <c r="E13" s="117">
        <f t="shared" si="1"/>
        <v>26.54867256637168</v>
      </c>
      <c r="F13" s="118">
        <v>0</v>
      </c>
      <c r="G13" s="118"/>
      <c r="H13" s="119">
        <v>0</v>
      </c>
      <c r="I13" s="120">
        <f>C13+F13</f>
        <v>11.3</v>
      </c>
      <c r="J13" s="121">
        <f>D13+G13</f>
        <v>3</v>
      </c>
      <c r="K13" s="122">
        <f t="shared" si="0"/>
        <v>26.54867256637168</v>
      </c>
      <c r="L13" s="172"/>
    </row>
    <row r="14" spans="1:12" s="161" customFormat="1" ht="33.75" customHeight="1">
      <c r="A14" s="114" t="s">
        <v>98</v>
      </c>
      <c r="B14" s="115" t="s">
        <v>99</v>
      </c>
      <c r="C14" s="116">
        <v>31772.5</v>
      </c>
      <c r="D14" s="116">
        <v>29648.9</v>
      </c>
      <c r="E14" s="117">
        <f t="shared" si="1"/>
        <v>93.3162325910772</v>
      </c>
      <c r="F14" s="118">
        <v>0</v>
      </c>
      <c r="G14" s="118"/>
      <c r="H14" s="119">
        <v>0</v>
      </c>
      <c r="I14" s="120">
        <f>C14+F14</f>
        <v>31772.5</v>
      </c>
      <c r="J14" s="123">
        <f>D14+G14</f>
        <v>29648.9</v>
      </c>
      <c r="K14" s="122">
        <f t="shared" si="0"/>
        <v>93.3162325910772</v>
      </c>
      <c r="L14" s="172"/>
    </row>
    <row r="15" spans="1:12" s="161" customFormat="1" ht="44.25" customHeight="1">
      <c r="A15" s="114" t="s">
        <v>100</v>
      </c>
      <c r="B15" s="115" t="s">
        <v>101</v>
      </c>
      <c r="C15" s="116"/>
      <c r="D15" s="116"/>
      <c r="E15" s="117"/>
      <c r="F15" s="118">
        <v>332</v>
      </c>
      <c r="G15" s="118">
        <v>288.2</v>
      </c>
      <c r="H15" s="119">
        <f>G15/F15*100</f>
        <v>86.80722891566265</v>
      </c>
      <c r="I15" s="120">
        <f>C15+F15</f>
        <v>332</v>
      </c>
      <c r="J15" s="121">
        <f>D15+G15</f>
        <v>288.2</v>
      </c>
      <c r="K15" s="122">
        <f t="shared" si="0"/>
        <v>86.80722891566265</v>
      </c>
      <c r="L15" s="172"/>
    </row>
    <row r="16" spans="1:12" s="161" customFormat="1" ht="22.5" customHeight="1">
      <c r="A16" s="124" t="s">
        <v>102</v>
      </c>
      <c r="B16" s="115" t="s">
        <v>103</v>
      </c>
      <c r="C16" s="116">
        <v>5000</v>
      </c>
      <c r="D16" s="116">
        <v>0</v>
      </c>
      <c r="E16" s="117">
        <f t="shared" si="1"/>
        <v>0</v>
      </c>
      <c r="F16" s="118">
        <v>754.2</v>
      </c>
      <c r="G16" s="118"/>
      <c r="H16" s="119">
        <f>G16/F16*100</f>
        <v>0</v>
      </c>
      <c r="I16" s="120">
        <f>C16+F16</f>
        <v>5754.2</v>
      </c>
      <c r="J16" s="121">
        <f>D16+G16</f>
        <v>0</v>
      </c>
      <c r="K16" s="122">
        <f t="shared" si="0"/>
        <v>0</v>
      </c>
      <c r="L16" s="172"/>
    </row>
    <row r="17" spans="1:12" s="161" customFormat="1" ht="32.25" customHeight="1">
      <c r="A17" s="114" t="s">
        <v>104</v>
      </c>
      <c r="B17" s="115" t="s">
        <v>105</v>
      </c>
      <c r="C17" s="116">
        <f>197417.2</f>
        <v>197417.2</v>
      </c>
      <c r="D17" s="116">
        <v>178438.6</v>
      </c>
      <c r="E17" s="117">
        <f t="shared" si="1"/>
        <v>90.38655193164527</v>
      </c>
      <c r="F17" s="118">
        <v>37506</v>
      </c>
      <c r="G17" s="118">
        <v>31681.5</v>
      </c>
      <c r="H17" s="119">
        <f>G17/F17*100</f>
        <v>84.47048472244441</v>
      </c>
      <c r="I17" s="125">
        <f>C17+F17-1085.2</f>
        <v>233838</v>
      </c>
      <c r="J17" s="126">
        <f>D17+G17-1001.6</f>
        <v>209118.5</v>
      </c>
      <c r="K17" s="122">
        <f t="shared" si="0"/>
        <v>89.42879258289928</v>
      </c>
      <c r="L17" s="172"/>
    </row>
    <row r="18" spans="1:12" s="161" customFormat="1" ht="23.25" customHeight="1">
      <c r="A18" s="109" t="s">
        <v>106</v>
      </c>
      <c r="B18" s="110" t="s">
        <v>107</v>
      </c>
      <c r="C18" s="111">
        <f aca="true" t="shared" si="2" ref="C18:J18">C19</f>
        <v>3702</v>
      </c>
      <c r="D18" s="111">
        <f t="shared" si="2"/>
        <v>2940.5</v>
      </c>
      <c r="E18" s="111">
        <f t="shared" si="2"/>
        <v>79.430037817396</v>
      </c>
      <c r="F18" s="111">
        <f t="shared" si="2"/>
        <v>3702</v>
      </c>
      <c r="G18" s="111">
        <f t="shared" si="2"/>
        <v>2939.5</v>
      </c>
      <c r="H18" s="127">
        <f t="shared" si="2"/>
        <v>79.40302539168017</v>
      </c>
      <c r="I18" s="111">
        <f t="shared" si="2"/>
        <v>3702</v>
      </c>
      <c r="J18" s="111">
        <f t="shared" si="2"/>
        <v>2939.5</v>
      </c>
      <c r="K18" s="128">
        <f t="shared" si="0"/>
        <v>79.40302539168017</v>
      </c>
      <c r="L18" s="172"/>
    </row>
    <row r="19" spans="1:12" s="161" customFormat="1" ht="23.25" customHeight="1">
      <c r="A19" s="114" t="s">
        <v>108</v>
      </c>
      <c r="B19" s="115" t="s">
        <v>109</v>
      </c>
      <c r="C19" s="116">
        <v>3702</v>
      </c>
      <c r="D19" s="116">
        <v>2940.5</v>
      </c>
      <c r="E19" s="117">
        <f t="shared" si="1"/>
        <v>79.430037817396</v>
      </c>
      <c r="F19" s="118">
        <v>3702</v>
      </c>
      <c r="G19" s="118">
        <v>2939.5</v>
      </c>
      <c r="H19" s="119">
        <f>G19/F19*100</f>
        <v>79.40302539168017</v>
      </c>
      <c r="I19" s="126">
        <f>C19+F19-3702</f>
        <v>3702</v>
      </c>
      <c r="J19" s="126">
        <f>D19+G19-2940.5</f>
        <v>2939.5</v>
      </c>
      <c r="K19" s="122">
        <f t="shared" si="0"/>
        <v>79.40302539168017</v>
      </c>
      <c r="L19" s="172"/>
    </row>
    <row r="20" spans="1:12" s="161" customFormat="1" ht="12.75" customHeight="1">
      <c r="A20" s="129" t="s">
        <v>110</v>
      </c>
      <c r="B20" s="130" t="s">
        <v>111</v>
      </c>
      <c r="C20" s="131">
        <f>C23+C24+C22</f>
        <v>18422.8</v>
      </c>
      <c r="D20" s="131">
        <f>D23+D24+D22</f>
        <v>15211.599999999999</v>
      </c>
      <c r="E20" s="131">
        <f>D20/C20*100</f>
        <v>82.56942484312916</v>
      </c>
      <c r="F20" s="131">
        <f>F23+F24+F22</f>
        <v>4628</v>
      </c>
      <c r="G20" s="131">
        <f>G23+G24+G22</f>
        <v>3305.4</v>
      </c>
      <c r="H20" s="131">
        <f>G20/F20*100</f>
        <v>71.4217804667243</v>
      </c>
      <c r="I20" s="131">
        <f>I23+I24+I22</f>
        <v>21382.199999999997</v>
      </c>
      <c r="J20" s="131">
        <f>SUM(J22:J24)</f>
        <v>17275.9</v>
      </c>
      <c r="K20" s="131">
        <f>J20/I20*100</f>
        <v>80.79570858003387</v>
      </c>
      <c r="L20" s="172"/>
    </row>
    <row r="21" spans="1:12" s="161" customFormat="1" ht="36" customHeight="1">
      <c r="A21" s="129"/>
      <c r="B21" s="130"/>
      <c r="C21" s="131"/>
      <c r="D21" s="131"/>
      <c r="E21" s="131"/>
      <c r="F21" s="131"/>
      <c r="G21" s="131"/>
      <c r="H21" s="131"/>
      <c r="I21" s="131"/>
      <c r="J21" s="131"/>
      <c r="K21" s="131"/>
      <c r="L21" s="172"/>
    </row>
    <row r="22" spans="1:12" s="161" customFormat="1" ht="15">
      <c r="A22" s="124" t="s">
        <v>112</v>
      </c>
      <c r="B22" s="115" t="s">
        <v>113</v>
      </c>
      <c r="C22" s="116">
        <v>6929.4</v>
      </c>
      <c r="D22" s="116">
        <v>5462.7</v>
      </c>
      <c r="E22" s="117">
        <f aca="true" t="shared" si="3" ref="E22:E101">D22/C22*100</f>
        <v>78.83366525240281</v>
      </c>
      <c r="F22" s="118">
        <v>874</v>
      </c>
      <c r="G22" s="118">
        <v>656.1</v>
      </c>
      <c r="H22" s="119">
        <f>G22/F22*100</f>
        <v>75.06864988558353</v>
      </c>
      <c r="I22" s="126">
        <f>C22+F22-874</f>
        <v>6929.4</v>
      </c>
      <c r="J22" s="126">
        <f>D22+G22-664.8</f>
        <v>5454</v>
      </c>
      <c r="K22" s="122">
        <f>J22/I22*100</f>
        <v>78.708113256559</v>
      </c>
      <c r="L22" s="172"/>
    </row>
    <row r="23" spans="1:12" s="161" customFormat="1" ht="39.75" customHeight="1">
      <c r="A23" s="114" t="s">
        <v>114</v>
      </c>
      <c r="B23" s="115" t="s">
        <v>115</v>
      </c>
      <c r="C23" s="116">
        <v>11096.9</v>
      </c>
      <c r="D23" s="116">
        <v>9500</v>
      </c>
      <c r="E23" s="117">
        <f t="shared" si="3"/>
        <v>85.60949454352117</v>
      </c>
      <c r="F23" s="118">
        <v>3391.5</v>
      </c>
      <c r="G23" s="118">
        <v>2391.8</v>
      </c>
      <c r="H23" s="119">
        <f>G23/F23*100</f>
        <v>70.52336724163351</v>
      </c>
      <c r="I23" s="126">
        <f>C23+F23-545.7</f>
        <v>13942.699999999999</v>
      </c>
      <c r="J23" s="126">
        <f>D23+G23-327.4</f>
        <v>11564.4</v>
      </c>
      <c r="K23" s="122">
        <f>J23/I23*100</f>
        <v>82.94232824345357</v>
      </c>
      <c r="L23" s="172"/>
    </row>
    <row r="24" spans="1:12" s="161" customFormat="1" ht="55.5" customHeight="1">
      <c r="A24" s="124" t="s">
        <v>116</v>
      </c>
      <c r="B24" s="115" t="s">
        <v>117</v>
      </c>
      <c r="C24" s="116">
        <v>396.5</v>
      </c>
      <c r="D24" s="116">
        <v>248.9</v>
      </c>
      <c r="E24" s="117">
        <f t="shared" si="3"/>
        <v>62.774274905422445</v>
      </c>
      <c r="F24" s="118">
        <v>362.5</v>
      </c>
      <c r="G24" s="118">
        <v>257.5</v>
      </c>
      <c r="H24" s="119">
        <f>G24/F24*100</f>
        <v>71.03448275862068</v>
      </c>
      <c r="I24" s="126">
        <f>C24+F24-248.9</f>
        <v>510.1</v>
      </c>
      <c r="J24" s="126">
        <f>D24+G24-248.9</f>
        <v>257.5</v>
      </c>
      <c r="K24" s="122">
        <f>J24/I24*100</f>
        <v>50.48029798078808</v>
      </c>
      <c r="L24" s="172"/>
    </row>
    <row r="25" spans="1:12" s="161" customFormat="1" ht="22.5" customHeight="1">
      <c r="A25" s="109" t="s">
        <v>118</v>
      </c>
      <c r="B25" s="110" t="s">
        <v>119</v>
      </c>
      <c r="C25" s="111">
        <f>SUM(C26:C46)</f>
        <v>215140.87</v>
      </c>
      <c r="D25" s="111">
        <f>SUM(D26:D46)</f>
        <v>187321.61</v>
      </c>
      <c r="E25" s="111">
        <f>D25/C25*100</f>
        <v>87.06928162928781</v>
      </c>
      <c r="F25" s="111">
        <f>SUM(F26:F46)</f>
        <v>111552.70000000001</v>
      </c>
      <c r="G25" s="111">
        <f>SUM(G26:G46)</f>
        <v>88498.80000000002</v>
      </c>
      <c r="H25" s="112">
        <f>G25/F25*100</f>
        <v>79.33362437663992</v>
      </c>
      <c r="I25" s="111">
        <f>SUM(I26:I46)</f>
        <v>290037.2699999999</v>
      </c>
      <c r="J25" s="111">
        <f>SUM(J26:J46)</f>
        <v>246171.50999999998</v>
      </c>
      <c r="K25" s="132">
        <f t="shared" si="0"/>
        <v>84.87581958001469</v>
      </c>
      <c r="L25" s="172"/>
    </row>
    <row r="26" spans="1:12" s="161" customFormat="1" ht="72.75" customHeight="1">
      <c r="A26" s="124" t="s">
        <v>120</v>
      </c>
      <c r="B26" s="133" t="s">
        <v>121</v>
      </c>
      <c r="C26" s="116">
        <v>19016.5</v>
      </c>
      <c r="D26" s="116">
        <v>17483.3</v>
      </c>
      <c r="E26" s="117">
        <f t="shared" si="3"/>
        <v>91.93752793626587</v>
      </c>
      <c r="F26" s="116">
        <v>13683.5</v>
      </c>
      <c r="G26" s="118">
        <v>12922.7</v>
      </c>
      <c r="H26" s="119">
        <f>G26/F26*100</f>
        <v>94.4400190009866</v>
      </c>
      <c r="I26" s="126">
        <f>C26+F26-13301.3</f>
        <v>19398.7</v>
      </c>
      <c r="J26" s="126">
        <f>D26+G26-13095.4</f>
        <v>17310.6</v>
      </c>
      <c r="K26" s="122">
        <f t="shared" si="0"/>
        <v>89.23587663090825</v>
      </c>
      <c r="L26" s="172"/>
    </row>
    <row r="27" spans="1:12" s="161" customFormat="1" ht="24" customHeight="1">
      <c r="A27" s="114" t="s">
        <v>122</v>
      </c>
      <c r="B27" s="115" t="s">
        <v>123</v>
      </c>
      <c r="C27" s="116">
        <v>52133.4</v>
      </c>
      <c r="D27" s="116">
        <v>50359.2</v>
      </c>
      <c r="E27" s="117">
        <f t="shared" si="3"/>
        <v>96.59680742096238</v>
      </c>
      <c r="F27" s="118">
        <v>0</v>
      </c>
      <c r="G27" s="118"/>
      <c r="H27" s="119">
        <v>0</v>
      </c>
      <c r="I27" s="121">
        <f>C27+F27</f>
        <v>52133.4</v>
      </c>
      <c r="J27" s="121">
        <f>D27+G27</f>
        <v>50359.2</v>
      </c>
      <c r="K27" s="122">
        <f t="shared" si="0"/>
        <v>96.59680742096238</v>
      </c>
      <c r="L27" s="172"/>
    </row>
    <row r="28" spans="1:12" s="161" customFormat="1" ht="21" customHeight="1">
      <c r="A28" s="114" t="s">
        <v>124</v>
      </c>
      <c r="B28" s="115" t="s">
        <v>125</v>
      </c>
      <c r="C28" s="116">
        <v>7000</v>
      </c>
      <c r="D28" s="116">
        <v>4383.7</v>
      </c>
      <c r="E28" s="117">
        <f t="shared" si="3"/>
        <v>62.62428571428571</v>
      </c>
      <c r="F28" s="118">
        <v>0</v>
      </c>
      <c r="G28" s="118"/>
      <c r="H28" s="119">
        <v>0</v>
      </c>
      <c r="I28" s="120">
        <f>C28+F28</f>
        <v>7000</v>
      </c>
      <c r="J28" s="121">
        <f>D28+G28</f>
        <v>4383.7</v>
      </c>
      <c r="K28" s="122">
        <f t="shared" si="0"/>
        <v>62.62428571428571</v>
      </c>
      <c r="L28" s="172"/>
    </row>
    <row r="29" spans="1:12" s="161" customFormat="1" ht="30" customHeight="1">
      <c r="A29" s="114" t="s">
        <v>124</v>
      </c>
      <c r="B29" s="115" t="s">
        <v>126</v>
      </c>
      <c r="C29" s="116">
        <v>18607</v>
      </c>
      <c r="D29" s="116">
        <v>16670</v>
      </c>
      <c r="E29" s="117">
        <f t="shared" si="3"/>
        <v>89.58993927016714</v>
      </c>
      <c r="F29" s="118">
        <v>16444.1</v>
      </c>
      <c r="G29" s="118">
        <v>12251.3</v>
      </c>
      <c r="H29" s="119">
        <f>G29/F29*100</f>
        <v>74.50270917836794</v>
      </c>
      <c r="I29" s="126">
        <f>C29+F29-2107</f>
        <v>32944.1</v>
      </c>
      <c r="J29" s="126">
        <f>D29+G29-1264.2</f>
        <v>27657.1</v>
      </c>
      <c r="K29" s="122">
        <f t="shared" si="0"/>
        <v>83.95160286667416</v>
      </c>
      <c r="L29" s="172"/>
    </row>
    <row r="30" spans="1:12" s="161" customFormat="1" ht="20.25" customHeight="1">
      <c r="A30" s="114" t="s">
        <v>124</v>
      </c>
      <c r="B30" s="115" t="s">
        <v>127</v>
      </c>
      <c r="C30" s="116">
        <v>21500</v>
      </c>
      <c r="D30" s="116">
        <v>21500</v>
      </c>
      <c r="E30" s="117">
        <f t="shared" si="3"/>
        <v>100</v>
      </c>
      <c r="F30" s="118">
        <v>0</v>
      </c>
      <c r="G30" s="118"/>
      <c r="H30" s="119">
        <v>0</v>
      </c>
      <c r="I30" s="120">
        <f>C30+F30</f>
        <v>21500</v>
      </c>
      <c r="J30" s="121">
        <f>D30+G30</f>
        <v>21500</v>
      </c>
      <c r="K30" s="122">
        <f t="shared" si="0"/>
        <v>100</v>
      </c>
      <c r="L30" s="172"/>
    </row>
    <row r="31" spans="1:12" s="161" customFormat="1" ht="45" customHeight="1">
      <c r="A31" s="114" t="s">
        <v>128</v>
      </c>
      <c r="B31" s="134" t="s">
        <v>129</v>
      </c>
      <c r="C31" s="116">
        <v>2396</v>
      </c>
      <c r="D31" s="116">
        <v>2160.7</v>
      </c>
      <c r="E31" s="117">
        <f t="shared" si="3"/>
        <v>90.17946577629381</v>
      </c>
      <c r="F31" s="118">
        <v>631.9</v>
      </c>
      <c r="G31" s="118">
        <v>577.3</v>
      </c>
      <c r="H31" s="119">
        <f aca="true" t="shared" si="4" ref="H31:H40">G31/F31*100</f>
        <v>91.35939230890963</v>
      </c>
      <c r="I31" s="120">
        <f>C31+F31</f>
        <v>3027.9</v>
      </c>
      <c r="J31" s="121">
        <f>D31+G31</f>
        <v>2738</v>
      </c>
      <c r="K31" s="122">
        <f t="shared" si="0"/>
        <v>90.42570758611579</v>
      </c>
      <c r="L31" s="172"/>
    </row>
    <row r="32" spans="1:12" s="161" customFormat="1" ht="69" customHeight="1">
      <c r="A32" s="124" t="s">
        <v>128</v>
      </c>
      <c r="B32" s="134" t="s">
        <v>130</v>
      </c>
      <c r="C32" s="116">
        <v>54977.7</v>
      </c>
      <c r="D32" s="116">
        <v>50235.4</v>
      </c>
      <c r="E32" s="117">
        <f t="shared" si="3"/>
        <v>91.37413896907293</v>
      </c>
      <c r="F32" s="118">
        <v>14267</v>
      </c>
      <c r="G32" s="118">
        <v>8707.9</v>
      </c>
      <c r="H32" s="119">
        <f t="shared" si="4"/>
        <v>61.03525618560314</v>
      </c>
      <c r="I32" s="126">
        <f>C32+F32-14267</f>
        <v>54977.7</v>
      </c>
      <c r="J32" s="126">
        <f>D32+G32-9524.7</f>
        <v>49418.600000000006</v>
      </c>
      <c r="K32" s="122">
        <f t="shared" si="0"/>
        <v>89.88844567888437</v>
      </c>
      <c r="L32" s="172"/>
    </row>
    <row r="33" spans="1:12" s="161" customFormat="1" ht="72.75" customHeight="1">
      <c r="A33" s="124" t="s">
        <v>128</v>
      </c>
      <c r="B33" s="115" t="s">
        <v>131</v>
      </c>
      <c r="C33" s="116">
        <f>6738.5+133+67.4</f>
        <v>6938.9</v>
      </c>
      <c r="D33" s="116">
        <v>3936.7</v>
      </c>
      <c r="E33" s="117">
        <f t="shared" si="3"/>
        <v>56.73377624695557</v>
      </c>
      <c r="F33" s="118">
        <v>2300</v>
      </c>
      <c r="G33" s="118">
        <v>1881</v>
      </c>
      <c r="H33" s="119">
        <f t="shared" si="4"/>
        <v>81.78260869565217</v>
      </c>
      <c r="I33" s="126">
        <f>C33+F33-2300</f>
        <v>6938.9</v>
      </c>
      <c r="J33" s="126">
        <f>D33+G33-1672</f>
        <v>4145.7</v>
      </c>
      <c r="K33" s="122">
        <f t="shared" si="0"/>
        <v>59.7457810315756</v>
      </c>
      <c r="L33" s="172"/>
    </row>
    <row r="34" spans="1:12" s="161" customFormat="1" ht="94.5" customHeight="1">
      <c r="A34" s="124" t="s">
        <v>128</v>
      </c>
      <c r="B34" s="115" t="s">
        <v>132</v>
      </c>
      <c r="C34" s="116">
        <v>99</v>
      </c>
      <c r="D34" s="116">
        <v>99</v>
      </c>
      <c r="E34" s="117">
        <f t="shared" si="3"/>
        <v>100</v>
      </c>
      <c r="F34" s="118"/>
      <c r="G34" s="118"/>
      <c r="H34" s="119"/>
      <c r="I34" s="121">
        <f>C34+F34</f>
        <v>99</v>
      </c>
      <c r="J34" s="121">
        <f>D34+G34</f>
        <v>99</v>
      </c>
      <c r="K34" s="122">
        <f t="shared" si="0"/>
        <v>100</v>
      </c>
      <c r="L34" s="172"/>
    </row>
    <row r="35" spans="1:12" s="161" customFormat="1" ht="108" customHeight="1">
      <c r="A35" s="124" t="s">
        <v>128</v>
      </c>
      <c r="B35" s="115" t="s">
        <v>133</v>
      </c>
      <c r="C35" s="116">
        <v>3500</v>
      </c>
      <c r="D35" s="116">
        <v>3500</v>
      </c>
      <c r="E35" s="117">
        <f t="shared" si="3"/>
        <v>100</v>
      </c>
      <c r="F35" s="118">
        <v>3500</v>
      </c>
      <c r="G35" s="118">
        <v>3500</v>
      </c>
      <c r="H35" s="119">
        <f t="shared" si="4"/>
        <v>100</v>
      </c>
      <c r="I35" s="126">
        <f>C35+F35-3500</f>
        <v>3500</v>
      </c>
      <c r="J35" s="126">
        <f>D35+G35-3500</f>
        <v>3500</v>
      </c>
      <c r="K35" s="122">
        <f t="shared" si="0"/>
        <v>100</v>
      </c>
      <c r="L35" s="172"/>
    </row>
    <row r="36" spans="1:12" s="161" customFormat="1" ht="60.75" customHeight="1">
      <c r="A36" s="124" t="s">
        <v>128</v>
      </c>
      <c r="B36" s="115" t="s">
        <v>134</v>
      </c>
      <c r="C36" s="116">
        <v>0</v>
      </c>
      <c r="D36" s="116"/>
      <c r="E36" s="117" t="e">
        <f>D36/C36*100</f>
        <v>#DIV/0!</v>
      </c>
      <c r="F36" s="118">
        <v>4282.1</v>
      </c>
      <c r="G36" s="118">
        <v>3018.9</v>
      </c>
      <c r="H36" s="119">
        <f t="shared" si="4"/>
        <v>70.50045538404054</v>
      </c>
      <c r="I36" s="120">
        <f>C36+F36</f>
        <v>4282.1</v>
      </c>
      <c r="J36" s="121">
        <f>D36+G36</f>
        <v>3018.9</v>
      </c>
      <c r="K36" s="122">
        <f t="shared" si="0"/>
        <v>70.50045538404054</v>
      </c>
      <c r="L36" s="172"/>
    </row>
    <row r="37" spans="1:12" s="161" customFormat="1" ht="42.75" customHeight="1">
      <c r="A37" s="124" t="s">
        <v>128</v>
      </c>
      <c r="B37" s="115" t="s">
        <v>135</v>
      </c>
      <c r="C37" s="116"/>
      <c r="D37" s="116"/>
      <c r="E37" s="116" t="e">
        <f t="shared" si="3"/>
        <v>#DIV/0!</v>
      </c>
      <c r="F37" s="118">
        <f>2090.5+4500</f>
        <v>6590.5</v>
      </c>
      <c r="G37" s="118">
        <v>5824.9</v>
      </c>
      <c r="H37" s="119">
        <f t="shared" si="4"/>
        <v>88.38327896214247</v>
      </c>
      <c r="I37" s="120">
        <f>C37+F37</f>
        <v>6590.5</v>
      </c>
      <c r="J37" s="121">
        <f>D37+G37</f>
        <v>5824.9</v>
      </c>
      <c r="K37" s="122">
        <f t="shared" si="0"/>
        <v>88.38327896214247</v>
      </c>
      <c r="L37" s="172"/>
    </row>
    <row r="38" spans="1:12" s="161" customFormat="1" ht="56.25" customHeight="1">
      <c r="A38" s="124" t="s">
        <v>128</v>
      </c>
      <c r="B38" s="115" t="s">
        <v>136</v>
      </c>
      <c r="C38" s="116"/>
      <c r="D38" s="116"/>
      <c r="E38" s="117"/>
      <c r="F38" s="118">
        <v>42698</v>
      </c>
      <c r="G38" s="118">
        <v>34039.1</v>
      </c>
      <c r="H38" s="119">
        <f t="shared" si="4"/>
        <v>79.72059581245023</v>
      </c>
      <c r="I38" s="120">
        <f>C38+F38</f>
        <v>42698</v>
      </c>
      <c r="J38" s="121">
        <f>D38+G38</f>
        <v>34039.1</v>
      </c>
      <c r="K38" s="122">
        <f t="shared" si="0"/>
        <v>79.72059581245023</v>
      </c>
      <c r="L38" s="172"/>
    </row>
    <row r="39" spans="1:12" s="161" customFormat="1" ht="27" customHeight="1">
      <c r="A39" s="114" t="s">
        <v>137</v>
      </c>
      <c r="B39" s="115" t="s">
        <v>138</v>
      </c>
      <c r="C39" s="116">
        <v>4234.5</v>
      </c>
      <c r="D39" s="116">
        <v>3313.8</v>
      </c>
      <c r="E39" s="117">
        <f t="shared" si="3"/>
        <v>78.25717321997875</v>
      </c>
      <c r="F39" s="118">
        <v>5878.6</v>
      </c>
      <c r="G39" s="118">
        <v>5183.1</v>
      </c>
      <c r="H39" s="118">
        <f t="shared" si="4"/>
        <v>88.1689517912428</v>
      </c>
      <c r="I39" s="120">
        <f>C39+F39</f>
        <v>10113.1</v>
      </c>
      <c r="J39" s="121">
        <f>D39+G39</f>
        <v>8496.900000000001</v>
      </c>
      <c r="K39" s="122">
        <f t="shared" si="0"/>
        <v>84.018747960566</v>
      </c>
      <c r="L39" s="172"/>
    </row>
    <row r="40" spans="1:12" s="161" customFormat="1" ht="64.5" customHeight="1">
      <c r="A40" s="114" t="s">
        <v>139</v>
      </c>
      <c r="B40" s="134" t="s">
        <v>140</v>
      </c>
      <c r="C40" s="116">
        <f>1181+1480.17</f>
        <v>2661.17</v>
      </c>
      <c r="D40" s="116">
        <v>2030.6</v>
      </c>
      <c r="E40" s="116">
        <f t="shared" si="3"/>
        <v>76.30478323444198</v>
      </c>
      <c r="F40" s="118">
        <v>1181</v>
      </c>
      <c r="G40" s="118">
        <v>592.6</v>
      </c>
      <c r="H40" s="118">
        <f t="shared" si="4"/>
        <v>50.17781541066893</v>
      </c>
      <c r="I40" s="126">
        <f>C40+F40-1181</f>
        <v>2661.17</v>
      </c>
      <c r="J40" s="126">
        <f>D40+G40-592.6</f>
        <v>2030.6</v>
      </c>
      <c r="K40" s="122">
        <f t="shared" si="0"/>
        <v>76.30478323444198</v>
      </c>
      <c r="L40" s="172"/>
    </row>
    <row r="41" spans="1:12" s="161" customFormat="1" ht="48.75" customHeight="1">
      <c r="A41" s="114" t="s">
        <v>139</v>
      </c>
      <c r="B41" s="134" t="s">
        <v>141</v>
      </c>
      <c r="C41" s="116">
        <f>10687.6+562.5</f>
        <v>11250.1</v>
      </c>
      <c r="D41" s="116">
        <v>2066</v>
      </c>
      <c r="E41" s="116">
        <f t="shared" si="3"/>
        <v>18.364281206389276</v>
      </c>
      <c r="F41" s="118"/>
      <c r="G41" s="118"/>
      <c r="H41" s="118"/>
      <c r="I41" s="120">
        <f>C41+F41</f>
        <v>11250.1</v>
      </c>
      <c r="J41" s="121">
        <f>D41+G41</f>
        <v>2066</v>
      </c>
      <c r="K41" s="122">
        <f t="shared" si="0"/>
        <v>18.364281206389276</v>
      </c>
      <c r="L41" s="172"/>
    </row>
    <row r="42" spans="1:12" s="161" customFormat="1" ht="105.75" customHeight="1">
      <c r="A42" s="114" t="s">
        <v>139</v>
      </c>
      <c r="B42" s="134" t="s">
        <v>142</v>
      </c>
      <c r="C42" s="116">
        <f>2392.8+1117+63</f>
        <v>3572.8</v>
      </c>
      <c r="D42" s="118">
        <f>1117+2392.75+50.86</f>
        <v>3560.61</v>
      </c>
      <c r="E42" s="117">
        <f t="shared" si="3"/>
        <v>99.65881101656964</v>
      </c>
      <c r="F42" s="118">
        <v>0</v>
      </c>
      <c r="G42" s="118"/>
      <c r="H42" s="118">
        <v>0</v>
      </c>
      <c r="I42" s="120">
        <f>C42+F42</f>
        <v>3572.8</v>
      </c>
      <c r="J42" s="121">
        <f>D42+G42</f>
        <v>3560.61</v>
      </c>
      <c r="K42" s="122">
        <f t="shared" si="0"/>
        <v>99.65881101656964</v>
      </c>
      <c r="L42" s="172"/>
    </row>
    <row r="43" spans="1:12" s="161" customFormat="1" ht="130.5" customHeight="1">
      <c r="A43" s="124" t="s">
        <v>139</v>
      </c>
      <c r="B43" s="134" t="s">
        <v>143</v>
      </c>
      <c r="C43" s="116">
        <f>4319.9+637+427.2</f>
        <v>5384.099999999999</v>
      </c>
      <c r="D43" s="118">
        <v>4502.5</v>
      </c>
      <c r="E43" s="116">
        <f t="shared" si="3"/>
        <v>83.62586133244183</v>
      </c>
      <c r="F43" s="118"/>
      <c r="G43" s="118"/>
      <c r="H43" s="118"/>
      <c r="I43" s="120">
        <f>C43+F43</f>
        <v>5384.099999999999</v>
      </c>
      <c r="J43" s="121">
        <f>D43+G43</f>
        <v>4502.5</v>
      </c>
      <c r="K43" s="122">
        <f t="shared" si="0"/>
        <v>83.62586133244183</v>
      </c>
      <c r="L43" s="172"/>
    </row>
    <row r="44" spans="1:12" s="161" customFormat="1" ht="49.5" customHeight="1">
      <c r="A44" s="124" t="s">
        <v>139</v>
      </c>
      <c r="B44" s="134" t="s">
        <v>144</v>
      </c>
      <c r="C44" s="116">
        <f>1472.6+178.6</f>
        <v>1651.1999999999998</v>
      </c>
      <c r="D44" s="118">
        <v>1503</v>
      </c>
      <c r="E44" s="116">
        <f t="shared" si="3"/>
        <v>91.02470930232559</v>
      </c>
      <c r="F44" s="118">
        <v>0</v>
      </c>
      <c r="G44" s="118"/>
      <c r="H44" s="118">
        <v>0</v>
      </c>
      <c r="I44" s="120">
        <f>C44+F44</f>
        <v>1651.1999999999998</v>
      </c>
      <c r="J44" s="121">
        <f>D44+G44</f>
        <v>1503</v>
      </c>
      <c r="K44" s="122">
        <f t="shared" si="0"/>
        <v>91.02470930232559</v>
      </c>
      <c r="L44" s="172"/>
    </row>
    <row r="45" spans="1:12" s="161" customFormat="1" ht="58.5" customHeight="1">
      <c r="A45" s="124" t="s">
        <v>139</v>
      </c>
      <c r="B45" s="134" t="s">
        <v>145</v>
      </c>
      <c r="C45" s="116">
        <v>218.5</v>
      </c>
      <c r="D45" s="118">
        <v>17.1</v>
      </c>
      <c r="E45" s="116">
        <f>D45/C45*100</f>
        <v>7.82608695652174</v>
      </c>
      <c r="F45" s="118"/>
      <c r="G45" s="118"/>
      <c r="H45" s="118">
        <v>0</v>
      </c>
      <c r="I45" s="120">
        <f>C45+F45</f>
        <v>218.5</v>
      </c>
      <c r="J45" s="121">
        <f>D45+G45</f>
        <v>17.1</v>
      </c>
      <c r="K45" s="122">
        <f t="shared" si="0"/>
        <v>7.82608695652174</v>
      </c>
      <c r="L45" s="172"/>
    </row>
    <row r="46" spans="1:12" s="161" customFormat="1" ht="57" customHeight="1">
      <c r="A46" s="124" t="s">
        <v>139</v>
      </c>
      <c r="B46" s="134" t="s">
        <v>146</v>
      </c>
      <c r="C46" s="116">
        <v>0</v>
      </c>
      <c r="D46" s="118">
        <v>0</v>
      </c>
      <c r="E46" s="116" t="e">
        <f t="shared" si="3"/>
        <v>#DIV/0!</v>
      </c>
      <c r="F46" s="118">
        <v>96</v>
      </c>
      <c r="G46" s="118"/>
      <c r="H46" s="118">
        <v>0</v>
      </c>
      <c r="I46" s="120">
        <f>C46+F46</f>
        <v>96</v>
      </c>
      <c r="J46" s="121">
        <f>D46+G46</f>
        <v>0</v>
      </c>
      <c r="K46" s="122">
        <f t="shared" si="0"/>
        <v>0</v>
      </c>
      <c r="L46" s="172"/>
    </row>
    <row r="47" spans="1:12" s="161" customFormat="1" ht="34.5" customHeight="1">
      <c r="A47" s="109" t="s">
        <v>147</v>
      </c>
      <c r="B47" s="110" t="s">
        <v>148</v>
      </c>
      <c r="C47" s="111">
        <f>SUM(C48:C77)</f>
        <v>519535.1</v>
      </c>
      <c r="D47" s="111">
        <f>SUM(D48:D77)</f>
        <v>254063.99999999997</v>
      </c>
      <c r="E47" s="111">
        <f t="shared" si="3"/>
        <v>48.90218196999586</v>
      </c>
      <c r="F47" s="135">
        <f>SUM(F48:F77)</f>
        <v>283285.2</v>
      </c>
      <c r="G47" s="135">
        <f>SUM(G48:G77)</f>
        <v>149008.3</v>
      </c>
      <c r="H47" s="135">
        <f>G47/F47*100</f>
        <v>52.600100534726124</v>
      </c>
      <c r="I47" s="111">
        <f>SUM(I48:I77)</f>
        <v>629109.6</v>
      </c>
      <c r="J47" s="111">
        <f>SUM(J48:J77)</f>
        <v>342625.6</v>
      </c>
      <c r="K47" s="113">
        <f t="shared" si="0"/>
        <v>54.46198881721086</v>
      </c>
      <c r="L47" s="172"/>
    </row>
    <row r="48" spans="1:12" s="161" customFormat="1" ht="76.5" customHeight="1">
      <c r="A48" s="114" t="s">
        <v>149</v>
      </c>
      <c r="B48" s="115" t="s">
        <v>150</v>
      </c>
      <c r="C48" s="116">
        <f>60687.6+163523.1+8697.9+5181.2</f>
        <v>238089.80000000002</v>
      </c>
      <c r="D48" s="116">
        <v>107636.9</v>
      </c>
      <c r="E48" s="117">
        <f t="shared" si="3"/>
        <v>45.20853056283805</v>
      </c>
      <c r="F48" s="118">
        <v>0</v>
      </c>
      <c r="G48" s="118">
        <v>0</v>
      </c>
      <c r="H48" s="119">
        <v>0</v>
      </c>
      <c r="I48" s="120">
        <f>C48+F48</f>
        <v>238089.80000000002</v>
      </c>
      <c r="J48" s="121">
        <f>D48+G48</f>
        <v>107636.9</v>
      </c>
      <c r="K48" s="122">
        <f t="shared" si="0"/>
        <v>45.20853056283805</v>
      </c>
      <c r="L48" s="172"/>
    </row>
    <row r="49" spans="1:12" s="161" customFormat="1" ht="64.5" customHeight="1">
      <c r="A49" s="114" t="s">
        <v>149</v>
      </c>
      <c r="B49" s="115" t="s">
        <v>151</v>
      </c>
      <c r="C49" s="116">
        <v>1740</v>
      </c>
      <c r="D49" s="116">
        <v>1615</v>
      </c>
      <c r="E49" s="117">
        <f t="shared" si="3"/>
        <v>92.81609195402298</v>
      </c>
      <c r="F49" s="118"/>
      <c r="G49" s="118"/>
      <c r="H49" s="119"/>
      <c r="I49" s="120">
        <f>C49+F49</f>
        <v>1740</v>
      </c>
      <c r="J49" s="121">
        <f>D49+G49</f>
        <v>1615</v>
      </c>
      <c r="K49" s="122">
        <f t="shared" si="0"/>
        <v>92.81609195402298</v>
      </c>
      <c r="L49" s="172"/>
    </row>
    <row r="50" spans="1:12" s="161" customFormat="1" ht="56.25" customHeight="1">
      <c r="A50" s="114" t="s">
        <v>149</v>
      </c>
      <c r="B50" s="115" t="s">
        <v>152</v>
      </c>
      <c r="C50" s="116">
        <v>0</v>
      </c>
      <c r="D50" s="116">
        <v>0</v>
      </c>
      <c r="E50" s="117" t="e">
        <f t="shared" si="3"/>
        <v>#DIV/0!</v>
      </c>
      <c r="F50" s="118"/>
      <c r="G50" s="118"/>
      <c r="H50" s="119"/>
      <c r="I50" s="120">
        <f>C50+F50</f>
        <v>0</v>
      </c>
      <c r="J50" s="121">
        <f>D50+G50</f>
        <v>0</v>
      </c>
      <c r="K50" s="122" t="e">
        <f t="shared" si="0"/>
        <v>#DIV/0!</v>
      </c>
      <c r="L50" s="172"/>
    </row>
    <row r="51" spans="1:12" s="161" customFormat="1" ht="52.5" customHeight="1">
      <c r="A51" s="114" t="s">
        <v>149</v>
      </c>
      <c r="B51" s="115" t="s">
        <v>153</v>
      </c>
      <c r="C51" s="116">
        <v>410</v>
      </c>
      <c r="D51" s="116">
        <v>410</v>
      </c>
      <c r="E51" s="117">
        <f t="shared" si="3"/>
        <v>100</v>
      </c>
      <c r="F51" s="118"/>
      <c r="G51" s="118"/>
      <c r="H51" s="119"/>
      <c r="I51" s="120">
        <f>C51+F51</f>
        <v>410</v>
      </c>
      <c r="J51" s="121">
        <f>D51+G51</f>
        <v>410</v>
      </c>
      <c r="K51" s="122">
        <f t="shared" si="0"/>
        <v>100</v>
      </c>
      <c r="L51" s="172"/>
    </row>
    <row r="52" spans="1:12" s="161" customFormat="1" ht="62.25" customHeight="1">
      <c r="A52" s="114" t="s">
        <v>149</v>
      </c>
      <c r="B52" s="115" t="s">
        <v>154</v>
      </c>
      <c r="C52" s="116">
        <v>94.1</v>
      </c>
      <c r="D52" s="116">
        <v>94.1</v>
      </c>
      <c r="E52" s="117">
        <f t="shared" si="3"/>
        <v>100</v>
      </c>
      <c r="F52" s="118"/>
      <c r="G52" s="118"/>
      <c r="H52" s="119"/>
      <c r="I52" s="120">
        <f>C52+F52</f>
        <v>94.1</v>
      </c>
      <c r="J52" s="121">
        <f>D52+G52</f>
        <v>94.1</v>
      </c>
      <c r="K52" s="122">
        <f t="shared" si="0"/>
        <v>100</v>
      </c>
      <c r="L52" s="172"/>
    </row>
    <row r="53" spans="1:12" s="161" customFormat="1" ht="57.75" customHeight="1">
      <c r="A53" s="124" t="s">
        <v>149</v>
      </c>
      <c r="B53" s="115" t="s">
        <v>155</v>
      </c>
      <c r="C53" s="116">
        <v>698.4</v>
      </c>
      <c r="D53" s="116">
        <v>698.4</v>
      </c>
      <c r="E53" s="117">
        <f t="shared" si="3"/>
        <v>100</v>
      </c>
      <c r="F53" s="118">
        <v>26473</v>
      </c>
      <c r="G53" s="118">
        <v>20809.7</v>
      </c>
      <c r="H53" s="119">
        <f>G53/F53*100</f>
        <v>78.60726022740151</v>
      </c>
      <c r="I53" s="120">
        <f>C53+F53</f>
        <v>27171.4</v>
      </c>
      <c r="J53" s="121">
        <f>D53+G53</f>
        <v>21508.100000000002</v>
      </c>
      <c r="K53" s="122">
        <f t="shared" si="0"/>
        <v>79.15712845123917</v>
      </c>
      <c r="L53" s="172"/>
    </row>
    <row r="54" spans="1:12" s="161" customFormat="1" ht="204" customHeight="1">
      <c r="A54" s="136" t="s">
        <v>156</v>
      </c>
      <c r="B54" s="115" t="s">
        <v>157</v>
      </c>
      <c r="C54" s="116">
        <v>25827.2</v>
      </c>
      <c r="D54" s="116">
        <v>19325.6</v>
      </c>
      <c r="E54" s="117">
        <f t="shared" si="3"/>
        <v>74.82653946227232</v>
      </c>
      <c r="F54" s="118"/>
      <c r="G54" s="118"/>
      <c r="H54" s="119"/>
      <c r="I54" s="120">
        <f>C54+F54</f>
        <v>25827.2</v>
      </c>
      <c r="J54" s="121">
        <f>D54+G54</f>
        <v>19325.6</v>
      </c>
      <c r="K54" s="122">
        <f t="shared" si="0"/>
        <v>74.82653946227232</v>
      </c>
      <c r="L54" s="172"/>
    </row>
    <row r="55" spans="1:12" s="161" customFormat="1" ht="195.75" customHeight="1">
      <c r="A55" s="114" t="s">
        <v>156</v>
      </c>
      <c r="B55" s="115" t="s">
        <v>158</v>
      </c>
      <c r="C55" s="116">
        <v>19992.8</v>
      </c>
      <c r="D55" s="116">
        <v>19992.9</v>
      </c>
      <c r="E55" s="117">
        <f t="shared" si="3"/>
        <v>100.00050018006483</v>
      </c>
      <c r="F55" s="118"/>
      <c r="G55" s="118"/>
      <c r="H55" s="119"/>
      <c r="I55" s="120">
        <f>C55+F55</f>
        <v>19992.8</v>
      </c>
      <c r="J55" s="121">
        <f>D55+G55</f>
        <v>19992.9</v>
      </c>
      <c r="K55" s="122">
        <f t="shared" si="0"/>
        <v>100.00050018006483</v>
      </c>
      <c r="L55" s="172"/>
    </row>
    <row r="56" spans="1:12" s="161" customFormat="1" ht="172.5" customHeight="1">
      <c r="A56" s="124" t="s">
        <v>156</v>
      </c>
      <c r="B56" s="115" t="s">
        <v>159</v>
      </c>
      <c r="C56" s="116">
        <v>5190.3</v>
      </c>
      <c r="D56" s="116">
        <v>4514.4</v>
      </c>
      <c r="E56" s="117">
        <f t="shared" si="3"/>
        <v>86.97763135078897</v>
      </c>
      <c r="F56" s="118"/>
      <c r="G56" s="118"/>
      <c r="H56" s="119"/>
      <c r="I56" s="120">
        <f>C56+F56</f>
        <v>5190.3</v>
      </c>
      <c r="J56" s="121">
        <f>D56+G56</f>
        <v>4514.4</v>
      </c>
      <c r="K56" s="122">
        <f t="shared" si="0"/>
        <v>86.97763135078897</v>
      </c>
      <c r="L56" s="172"/>
    </row>
    <row r="57" spans="1:12" s="161" customFormat="1" ht="134.25" customHeight="1">
      <c r="A57" s="124" t="s">
        <v>156</v>
      </c>
      <c r="B57" s="115" t="s">
        <v>160</v>
      </c>
      <c r="C57" s="116">
        <v>8541</v>
      </c>
      <c r="D57" s="116">
        <v>6771.6</v>
      </c>
      <c r="E57" s="117">
        <f t="shared" si="3"/>
        <v>79.28345626975765</v>
      </c>
      <c r="F57" s="118"/>
      <c r="G57" s="118"/>
      <c r="H57" s="119"/>
      <c r="I57" s="120">
        <f>C57+F57</f>
        <v>8541</v>
      </c>
      <c r="J57" s="121">
        <f>D57+G57</f>
        <v>6771.6</v>
      </c>
      <c r="K57" s="122">
        <f t="shared" si="0"/>
        <v>79.28345626975765</v>
      </c>
      <c r="L57" s="172"/>
    </row>
    <row r="58" spans="1:12" s="161" customFormat="1" ht="292.5" customHeight="1">
      <c r="A58" s="114" t="s">
        <v>156</v>
      </c>
      <c r="B58" s="115" t="s">
        <v>161</v>
      </c>
      <c r="C58" s="116">
        <v>39230.3</v>
      </c>
      <c r="D58" s="116">
        <v>33184.5</v>
      </c>
      <c r="E58" s="117">
        <f>D58/C58*100</f>
        <v>84.58895292669186</v>
      </c>
      <c r="F58" s="118"/>
      <c r="G58" s="118"/>
      <c r="H58" s="119"/>
      <c r="I58" s="120">
        <f>C58+F58</f>
        <v>39230.3</v>
      </c>
      <c r="J58" s="121">
        <f>D58+G58</f>
        <v>33184.5</v>
      </c>
      <c r="K58" s="122">
        <f>J58/I58*100</f>
        <v>84.58895292669186</v>
      </c>
      <c r="L58" s="172"/>
    </row>
    <row r="59" spans="1:12" s="161" customFormat="1" ht="206.25" customHeight="1">
      <c r="A59" s="124" t="s">
        <v>156</v>
      </c>
      <c r="B59" s="134" t="s">
        <v>162</v>
      </c>
      <c r="C59" s="116">
        <v>50640.9</v>
      </c>
      <c r="D59" s="116">
        <v>20190.4</v>
      </c>
      <c r="E59" s="117">
        <f t="shared" si="3"/>
        <v>39.86974955026471</v>
      </c>
      <c r="F59" s="118">
        <f>38363.5+3917.9</f>
        <v>42281.4</v>
      </c>
      <c r="G59" s="118">
        <v>19094.3</v>
      </c>
      <c r="H59" s="119">
        <f>G59/F59*100</f>
        <v>45.16004673449791</v>
      </c>
      <c r="I59" s="126">
        <f>C59+F59-42281.4</f>
        <v>50640.9</v>
      </c>
      <c r="J59" s="126">
        <f>D59+G59-19027.5</f>
        <v>20257.199999999997</v>
      </c>
      <c r="K59" s="122">
        <f t="shared" si="0"/>
        <v>40.00165873829256</v>
      </c>
      <c r="L59" s="172"/>
    </row>
    <row r="60" spans="1:12" s="161" customFormat="1" ht="70.5" customHeight="1">
      <c r="A60" s="124" t="s">
        <v>156</v>
      </c>
      <c r="B60" s="134" t="s">
        <v>163</v>
      </c>
      <c r="C60" s="116"/>
      <c r="D60" s="116"/>
      <c r="E60" s="117"/>
      <c r="F60" s="118"/>
      <c r="G60" s="118"/>
      <c r="H60" s="119" t="e">
        <f aca="true" t="shared" si="5" ref="H60:H76">G60/F60*100</f>
        <v>#DIV/0!</v>
      </c>
      <c r="I60" s="121">
        <f aca="true" t="shared" si="6" ref="I60:J62">C60+F60</f>
        <v>0</v>
      </c>
      <c r="J60" s="121">
        <f t="shared" si="6"/>
        <v>0</v>
      </c>
      <c r="K60" s="122" t="e">
        <f t="shared" si="0"/>
        <v>#DIV/0!</v>
      </c>
      <c r="L60" s="172"/>
    </row>
    <row r="61" spans="1:12" s="161" customFormat="1" ht="45.75" customHeight="1">
      <c r="A61" s="124" t="s">
        <v>156</v>
      </c>
      <c r="B61" s="134" t="s">
        <v>164</v>
      </c>
      <c r="C61" s="116"/>
      <c r="D61" s="116"/>
      <c r="E61" s="117"/>
      <c r="F61" s="118">
        <v>47.5</v>
      </c>
      <c r="G61" s="118">
        <v>47.5</v>
      </c>
      <c r="H61" s="119">
        <f t="shared" si="5"/>
        <v>100</v>
      </c>
      <c r="I61" s="121">
        <f t="shared" si="6"/>
        <v>47.5</v>
      </c>
      <c r="J61" s="121">
        <f t="shared" si="6"/>
        <v>47.5</v>
      </c>
      <c r="K61" s="122">
        <f t="shared" si="0"/>
        <v>100</v>
      </c>
      <c r="L61" s="172"/>
    </row>
    <row r="62" spans="1:12" s="161" customFormat="1" ht="47.25" customHeight="1">
      <c r="A62" s="124" t="s">
        <v>156</v>
      </c>
      <c r="B62" s="134" t="s">
        <v>165</v>
      </c>
      <c r="C62" s="116"/>
      <c r="D62" s="116"/>
      <c r="E62" s="117" t="e">
        <f t="shared" si="3"/>
        <v>#DIV/0!</v>
      </c>
      <c r="F62" s="118"/>
      <c r="G62" s="118"/>
      <c r="H62" s="119" t="e">
        <f t="shared" si="5"/>
        <v>#DIV/0!</v>
      </c>
      <c r="I62" s="120">
        <f t="shared" si="6"/>
        <v>0</v>
      </c>
      <c r="J62" s="121">
        <f t="shared" si="6"/>
        <v>0</v>
      </c>
      <c r="K62" s="122" t="e">
        <f>J62/I62*100</f>
        <v>#DIV/0!</v>
      </c>
      <c r="L62" s="172"/>
    </row>
    <row r="63" spans="1:12" s="161" customFormat="1" ht="88.5" customHeight="1">
      <c r="A63" s="124" t="s">
        <v>156</v>
      </c>
      <c r="B63" s="134" t="s">
        <v>166</v>
      </c>
      <c r="C63" s="116"/>
      <c r="D63" s="116"/>
      <c r="E63" s="117"/>
      <c r="F63" s="118">
        <v>8470</v>
      </c>
      <c r="G63" s="118">
        <v>8445.8</v>
      </c>
      <c r="H63" s="119">
        <f t="shared" si="5"/>
        <v>99.71428571428571</v>
      </c>
      <c r="I63" s="120">
        <f>C63+F63</f>
        <v>8470</v>
      </c>
      <c r="J63" s="121">
        <f>D63+G63</f>
        <v>8445.8</v>
      </c>
      <c r="K63" s="137">
        <f t="shared" si="0"/>
        <v>99.71428571428571</v>
      </c>
      <c r="L63" s="172"/>
    </row>
    <row r="64" spans="1:12" s="161" customFormat="1" ht="28.5" customHeight="1">
      <c r="A64" s="124" t="s">
        <v>156</v>
      </c>
      <c r="B64" s="134" t="s">
        <v>167</v>
      </c>
      <c r="C64" s="116"/>
      <c r="D64" s="116"/>
      <c r="E64" s="117"/>
      <c r="F64" s="118">
        <v>14674.8</v>
      </c>
      <c r="G64" s="118">
        <v>8511.9</v>
      </c>
      <c r="H64" s="119">
        <f t="shared" si="5"/>
        <v>58.00351623190776</v>
      </c>
      <c r="I64" s="120">
        <f>C64+F64</f>
        <v>14674.8</v>
      </c>
      <c r="J64" s="121">
        <f>D64+G64</f>
        <v>8511.9</v>
      </c>
      <c r="K64" s="122">
        <f t="shared" si="0"/>
        <v>58.00351623190776</v>
      </c>
      <c r="L64" s="172"/>
    </row>
    <row r="65" spans="1:12" s="161" customFormat="1" ht="119.25" customHeight="1">
      <c r="A65" s="124" t="s">
        <v>156</v>
      </c>
      <c r="B65" s="134" t="s">
        <v>168</v>
      </c>
      <c r="C65" s="116"/>
      <c r="D65" s="116"/>
      <c r="E65" s="117"/>
      <c r="F65" s="118">
        <v>12217</v>
      </c>
      <c r="G65" s="118">
        <v>9047.6</v>
      </c>
      <c r="H65" s="119">
        <f t="shared" si="5"/>
        <v>74.05746091511828</v>
      </c>
      <c r="I65" s="126">
        <f>C65+F65-8587-3630</f>
        <v>0</v>
      </c>
      <c r="J65" s="138">
        <f>D65+G65-9047.6</f>
        <v>0</v>
      </c>
      <c r="K65" s="122" t="e">
        <f>J65/I65*100</f>
        <v>#DIV/0!</v>
      </c>
      <c r="L65" s="172"/>
    </row>
    <row r="66" spans="1:12" s="161" customFormat="1" ht="123.75" customHeight="1">
      <c r="A66" s="124" t="s">
        <v>169</v>
      </c>
      <c r="B66" s="115" t="s">
        <v>170</v>
      </c>
      <c r="C66" s="116">
        <v>500</v>
      </c>
      <c r="D66" s="116">
        <v>307.3</v>
      </c>
      <c r="E66" s="117">
        <f t="shared" si="3"/>
        <v>61.46</v>
      </c>
      <c r="F66" s="116">
        <v>500</v>
      </c>
      <c r="G66" s="118">
        <v>307.3</v>
      </c>
      <c r="H66" s="119">
        <f t="shared" si="5"/>
        <v>61.46</v>
      </c>
      <c r="I66" s="126">
        <f>C66+F66-500</f>
        <v>500</v>
      </c>
      <c r="J66" s="126">
        <f>D66+G66-307.3</f>
        <v>307.3</v>
      </c>
      <c r="K66" s="122">
        <f t="shared" si="0"/>
        <v>61.46</v>
      </c>
      <c r="L66" s="172"/>
    </row>
    <row r="67" spans="1:12" s="161" customFormat="1" ht="64.5" customHeight="1">
      <c r="A67" s="124" t="s">
        <v>169</v>
      </c>
      <c r="B67" s="115" t="s">
        <v>171</v>
      </c>
      <c r="C67" s="116">
        <v>100</v>
      </c>
      <c r="D67" s="116">
        <v>100</v>
      </c>
      <c r="E67" s="117">
        <f t="shared" si="3"/>
        <v>100</v>
      </c>
      <c r="F67" s="116">
        <v>100</v>
      </c>
      <c r="G67" s="118">
        <v>99.5</v>
      </c>
      <c r="H67" s="119">
        <f t="shared" si="5"/>
        <v>99.5</v>
      </c>
      <c r="I67" s="126">
        <f>C67+F67-100</f>
        <v>100</v>
      </c>
      <c r="J67" s="126">
        <f>D67+G67-100</f>
        <v>99.5</v>
      </c>
      <c r="K67" s="122">
        <f t="shared" si="0"/>
        <v>99.5</v>
      </c>
      <c r="L67" s="172"/>
    </row>
    <row r="68" spans="1:12" s="161" customFormat="1" ht="85.5" customHeight="1">
      <c r="A68" s="124" t="s">
        <v>169</v>
      </c>
      <c r="B68" s="115" t="s">
        <v>172</v>
      </c>
      <c r="C68" s="116">
        <v>1379.4</v>
      </c>
      <c r="D68" s="116">
        <v>1379.4</v>
      </c>
      <c r="E68" s="117">
        <f t="shared" si="3"/>
        <v>100</v>
      </c>
      <c r="F68" s="116"/>
      <c r="G68" s="118"/>
      <c r="H68" s="119" t="e">
        <f t="shared" si="5"/>
        <v>#DIV/0!</v>
      </c>
      <c r="I68" s="121">
        <f>C68+F68</f>
        <v>1379.4</v>
      </c>
      <c r="J68" s="121">
        <f>D68+G68</f>
        <v>1379.4</v>
      </c>
      <c r="K68" s="122">
        <f t="shared" si="0"/>
        <v>100</v>
      </c>
      <c r="L68" s="172"/>
    </row>
    <row r="69" spans="1:12" s="161" customFormat="1" ht="89.25" customHeight="1">
      <c r="A69" s="124" t="s">
        <v>169</v>
      </c>
      <c r="B69" s="115" t="s">
        <v>173</v>
      </c>
      <c r="C69" s="116">
        <v>79593</v>
      </c>
      <c r="D69" s="116">
        <v>1511</v>
      </c>
      <c r="E69" s="117">
        <f t="shared" si="3"/>
        <v>1.8984081514706066</v>
      </c>
      <c r="F69" s="116">
        <v>79593</v>
      </c>
      <c r="G69" s="118">
        <v>1535</v>
      </c>
      <c r="H69" s="119">
        <f t="shared" si="5"/>
        <v>1.9285615569208345</v>
      </c>
      <c r="I69" s="126">
        <f>C69+F69-79593</f>
        <v>79593</v>
      </c>
      <c r="J69" s="126">
        <f>D69+G69-1511</f>
        <v>1535</v>
      </c>
      <c r="K69" s="122">
        <f t="shared" si="0"/>
        <v>1.9285615569208345</v>
      </c>
      <c r="L69" s="172"/>
    </row>
    <row r="70" spans="1:12" s="161" customFormat="1" ht="86.25" customHeight="1">
      <c r="A70" s="124" t="s">
        <v>169</v>
      </c>
      <c r="B70" s="115" t="s">
        <v>174</v>
      </c>
      <c r="C70" s="116">
        <f>20865+7942</f>
        <v>28807</v>
      </c>
      <c r="D70" s="116">
        <v>17950.5</v>
      </c>
      <c r="E70" s="117">
        <f t="shared" si="3"/>
        <v>62.31297948415315</v>
      </c>
      <c r="F70" s="116">
        <v>20865</v>
      </c>
      <c r="G70" s="118">
        <v>12615</v>
      </c>
      <c r="H70" s="119">
        <f t="shared" si="5"/>
        <v>60.46010064701653</v>
      </c>
      <c r="I70" s="126">
        <f>C70+F70-20865</f>
        <v>28807</v>
      </c>
      <c r="J70" s="126">
        <f>D70+G70-12615</f>
        <v>17950.5</v>
      </c>
      <c r="K70" s="122">
        <f t="shared" si="0"/>
        <v>62.31297948415315</v>
      </c>
      <c r="L70" s="172"/>
    </row>
    <row r="71" spans="1:12" s="161" customFormat="1" ht="97.5" customHeight="1">
      <c r="A71" s="124" t="s">
        <v>169</v>
      </c>
      <c r="B71" s="115" t="s">
        <v>175</v>
      </c>
      <c r="C71" s="116"/>
      <c r="D71" s="116"/>
      <c r="E71" s="117" t="e">
        <f t="shared" si="3"/>
        <v>#DIV/0!</v>
      </c>
      <c r="F71" s="116">
        <v>303.1</v>
      </c>
      <c r="G71" s="118">
        <v>290</v>
      </c>
      <c r="H71" s="119">
        <f t="shared" si="5"/>
        <v>95.67799406136588</v>
      </c>
      <c r="I71" s="120">
        <f>C71+F71</f>
        <v>303.1</v>
      </c>
      <c r="J71" s="121">
        <f>D71+G71</f>
        <v>290</v>
      </c>
      <c r="K71" s="122">
        <f t="shared" si="0"/>
        <v>95.67799406136588</v>
      </c>
      <c r="L71" s="172"/>
    </row>
    <row r="72" spans="1:12" s="161" customFormat="1" ht="33" customHeight="1">
      <c r="A72" s="124" t="s">
        <v>169</v>
      </c>
      <c r="B72" s="115" t="s">
        <v>176</v>
      </c>
      <c r="C72" s="116">
        <v>14491.3</v>
      </c>
      <c r="D72" s="116">
        <v>14475.2</v>
      </c>
      <c r="E72" s="117">
        <f t="shared" si="3"/>
        <v>99.88889885655531</v>
      </c>
      <c r="F72" s="116">
        <v>14491.4</v>
      </c>
      <c r="G72" s="118">
        <v>14475.3</v>
      </c>
      <c r="H72" s="119">
        <f t="shared" si="5"/>
        <v>99.8888996232248</v>
      </c>
      <c r="I72" s="126">
        <f>C72+F72-1463.6-7946.9-5080.9</f>
        <v>14491.299999999997</v>
      </c>
      <c r="J72" s="139">
        <f>D72+G72-14475.2</f>
        <v>14475.3</v>
      </c>
      <c r="K72" s="122">
        <f t="shared" si="0"/>
        <v>99.88958892576927</v>
      </c>
      <c r="L72" s="172"/>
    </row>
    <row r="73" spans="1:12" s="161" customFormat="1" ht="51.75" customHeight="1">
      <c r="A73" s="124" t="s">
        <v>169</v>
      </c>
      <c r="B73" s="115" t="s">
        <v>177</v>
      </c>
      <c r="C73" s="116">
        <f>2798.5</f>
        <v>2798.5</v>
      </c>
      <c r="D73" s="116">
        <f>2798.5</f>
        <v>2798.5</v>
      </c>
      <c r="E73" s="117">
        <f t="shared" si="3"/>
        <v>100</v>
      </c>
      <c r="F73" s="116">
        <f>2798.4</f>
        <v>2798.4</v>
      </c>
      <c r="G73" s="118">
        <v>2798.4</v>
      </c>
      <c r="H73" s="119">
        <f t="shared" si="5"/>
        <v>100</v>
      </c>
      <c r="I73" s="126">
        <f>C73+F73-2798.4</f>
        <v>2798.4999999999995</v>
      </c>
      <c r="J73" s="139">
        <f>D73+G73-2798.5</f>
        <v>2798.3999999999996</v>
      </c>
      <c r="K73" s="122">
        <f t="shared" si="0"/>
        <v>99.99642665713776</v>
      </c>
      <c r="L73" s="172"/>
    </row>
    <row r="74" spans="1:12" s="161" customFormat="1" ht="51" customHeight="1">
      <c r="A74" s="124" t="s">
        <v>169</v>
      </c>
      <c r="B74" s="115" t="s">
        <v>178</v>
      </c>
      <c r="C74" s="116">
        <v>310.9</v>
      </c>
      <c r="D74" s="116">
        <v>310.9</v>
      </c>
      <c r="E74" s="117">
        <f t="shared" si="3"/>
        <v>100</v>
      </c>
      <c r="F74" s="116">
        <v>310.9</v>
      </c>
      <c r="G74" s="118">
        <v>310.9</v>
      </c>
      <c r="H74" s="119">
        <f t="shared" si="5"/>
        <v>100</v>
      </c>
      <c r="I74" s="126">
        <f>C74+F74-310.9</f>
        <v>310.9</v>
      </c>
      <c r="J74" s="139">
        <f>D74+G74-310.9</f>
        <v>310.9</v>
      </c>
      <c r="K74" s="122">
        <f t="shared" si="0"/>
        <v>100</v>
      </c>
      <c r="L74" s="172"/>
    </row>
    <row r="75" spans="1:12" s="161" customFormat="1" ht="43.5" customHeight="1">
      <c r="A75" s="124" t="s">
        <v>169</v>
      </c>
      <c r="B75" s="140" t="s">
        <v>179</v>
      </c>
      <c r="C75" s="116">
        <v>1053.6</v>
      </c>
      <c r="D75" s="116">
        <v>753.4</v>
      </c>
      <c r="E75" s="117">
        <f t="shared" si="3"/>
        <v>71.50721336370539</v>
      </c>
      <c r="F75" s="116">
        <v>553.6</v>
      </c>
      <c r="G75" s="118">
        <v>253.6</v>
      </c>
      <c r="H75" s="119">
        <f t="shared" si="5"/>
        <v>45.80924855491329</v>
      </c>
      <c r="I75" s="126">
        <f>C75+F75-53.6-500</f>
        <v>1053.6</v>
      </c>
      <c r="J75" s="139">
        <f>D75+G75-253.7</f>
        <v>753.3</v>
      </c>
      <c r="K75" s="122">
        <f t="shared" si="0"/>
        <v>71.49772209567197</v>
      </c>
      <c r="L75" s="172"/>
    </row>
    <row r="76" spans="1:12" s="161" customFormat="1" ht="41.25" customHeight="1">
      <c r="A76" s="114" t="s">
        <v>169</v>
      </c>
      <c r="B76" s="115" t="s">
        <v>180</v>
      </c>
      <c r="C76" s="116"/>
      <c r="D76" s="116"/>
      <c r="E76" s="117"/>
      <c r="F76" s="116">
        <v>59606.1</v>
      </c>
      <c r="G76" s="118">
        <v>50366.5</v>
      </c>
      <c r="H76" s="119">
        <f t="shared" si="5"/>
        <v>84.49890195802108</v>
      </c>
      <c r="I76" s="120">
        <f>C76+F76</f>
        <v>59606.1</v>
      </c>
      <c r="J76" s="121">
        <f>D76+G76</f>
        <v>50366.5</v>
      </c>
      <c r="K76" s="122">
        <f t="shared" si="0"/>
        <v>84.49890195802108</v>
      </c>
      <c r="L76" s="172"/>
    </row>
    <row r="77" spans="1:12" s="161" customFormat="1" ht="34.5" customHeight="1">
      <c r="A77" s="124" t="s">
        <v>181</v>
      </c>
      <c r="B77" s="115" t="s">
        <v>182</v>
      </c>
      <c r="C77" s="116">
        <v>46.6</v>
      </c>
      <c r="D77" s="116">
        <v>44</v>
      </c>
      <c r="E77" s="117">
        <f>D77/C77*100</f>
        <v>94.4206008583691</v>
      </c>
      <c r="F77" s="116">
        <v>0</v>
      </c>
      <c r="G77" s="118"/>
      <c r="H77" s="119">
        <v>0</v>
      </c>
      <c r="I77" s="120">
        <f>C77+F77</f>
        <v>46.6</v>
      </c>
      <c r="J77" s="121">
        <f>D77+G77</f>
        <v>44</v>
      </c>
      <c r="K77" s="141">
        <f t="shared" si="0"/>
        <v>94.4206008583691</v>
      </c>
      <c r="L77" s="172"/>
    </row>
    <row r="78" spans="1:12" s="161" customFormat="1" ht="29.25" customHeight="1">
      <c r="A78" s="142" t="s">
        <v>183</v>
      </c>
      <c r="B78" s="143" t="s">
        <v>184</v>
      </c>
      <c r="C78" s="135">
        <f aca="true" t="shared" si="7" ref="C78:H78">C79</f>
        <v>10116.4</v>
      </c>
      <c r="D78" s="135">
        <f t="shared" si="7"/>
        <v>94.8</v>
      </c>
      <c r="E78" s="127">
        <f t="shared" si="3"/>
        <v>0.9370922462536081</v>
      </c>
      <c r="F78" s="135">
        <f t="shared" si="7"/>
        <v>671.4</v>
      </c>
      <c r="G78" s="135">
        <f t="shared" si="7"/>
        <v>649.8</v>
      </c>
      <c r="H78" s="112">
        <f t="shared" si="7"/>
        <v>96.7828418230563</v>
      </c>
      <c r="I78" s="135">
        <f>I79</f>
        <v>10766.099999999999</v>
      </c>
      <c r="J78" s="135">
        <f>J79</f>
        <v>744.5999999999999</v>
      </c>
      <c r="K78" s="144">
        <f t="shared" si="0"/>
        <v>6.916153481762198</v>
      </c>
      <c r="L78" s="172"/>
    </row>
    <row r="79" spans="1:12" s="161" customFormat="1" ht="39" customHeight="1">
      <c r="A79" s="124" t="s">
        <v>185</v>
      </c>
      <c r="B79" s="145" t="s">
        <v>186</v>
      </c>
      <c r="C79" s="118">
        <v>10116.4</v>
      </c>
      <c r="D79" s="118">
        <v>94.8</v>
      </c>
      <c r="E79" s="117">
        <f t="shared" si="3"/>
        <v>0.9370922462536081</v>
      </c>
      <c r="F79" s="118">
        <v>671.4</v>
      </c>
      <c r="G79" s="118">
        <v>649.8</v>
      </c>
      <c r="H79" s="119">
        <f>G79/F79*100</f>
        <v>96.7828418230563</v>
      </c>
      <c r="I79" s="126">
        <f>C79+F79-21.7</f>
        <v>10766.099999999999</v>
      </c>
      <c r="J79" s="121">
        <f>D79+G79</f>
        <v>744.5999999999999</v>
      </c>
      <c r="K79" s="122">
        <f t="shared" si="0"/>
        <v>6.916153481762198</v>
      </c>
      <c r="L79" s="172"/>
    </row>
    <row r="80" spans="1:12" s="161" customFormat="1" ht="24" customHeight="1">
      <c r="A80" s="109" t="s">
        <v>187</v>
      </c>
      <c r="B80" s="110" t="s">
        <v>188</v>
      </c>
      <c r="C80" s="111">
        <f>SUM(C81:C88)</f>
        <v>1982238.1</v>
      </c>
      <c r="D80" s="111">
        <f>SUM(D81:D88)</f>
        <v>1770673.2000000002</v>
      </c>
      <c r="E80" s="111">
        <f>D80/C80*100</f>
        <v>89.32696833947446</v>
      </c>
      <c r="F80" s="135">
        <f>F81+F83+F84+F87+F88</f>
        <v>0</v>
      </c>
      <c r="G80" s="135">
        <f>SUM(G81:G88)</f>
        <v>0</v>
      </c>
      <c r="H80" s="112">
        <v>0</v>
      </c>
      <c r="I80" s="111">
        <f>SUM(I81:I88)</f>
        <v>1982238.1</v>
      </c>
      <c r="J80" s="111">
        <f>SUM(J81:J88)</f>
        <v>1770673.2000000002</v>
      </c>
      <c r="K80" s="113">
        <f t="shared" si="0"/>
        <v>89.32696833947446</v>
      </c>
      <c r="L80" s="172"/>
    </row>
    <row r="81" spans="1:12" s="161" customFormat="1" ht="21.75" customHeight="1">
      <c r="A81" s="114" t="s">
        <v>189</v>
      </c>
      <c r="B81" s="115" t="s">
        <v>190</v>
      </c>
      <c r="C81" s="116">
        <v>486178.8</v>
      </c>
      <c r="D81" s="116">
        <v>485605.7</v>
      </c>
      <c r="E81" s="117">
        <f t="shared" si="3"/>
        <v>99.88212155692516</v>
      </c>
      <c r="F81" s="118">
        <v>0</v>
      </c>
      <c r="G81" s="118">
        <v>0</v>
      </c>
      <c r="H81" s="119">
        <v>0</v>
      </c>
      <c r="I81" s="120">
        <f>C81+F81</f>
        <v>486178.8</v>
      </c>
      <c r="J81" s="121">
        <f>D81+G81</f>
        <v>485605.7</v>
      </c>
      <c r="K81" s="122">
        <f t="shared" si="0"/>
        <v>99.88212155692516</v>
      </c>
      <c r="L81" s="172"/>
    </row>
    <row r="82" spans="1:12" s="161" customFormat="1" ht="157.5" customHeight="1">
      <c r="A82" s="114" t="s">
        <v>189</v>
      </c>
      <c r="B82" s="115" t="s">
        <v>191</v>
      </c>
      <c r="C82" s="116">
        <v>19490</v>
      </c>
      <c r="D82" s="116">
        <v>0</v>
      </c>
      <c r="E82" s="117">
        <f t="shared" si="3"/>
        <v>0</v>
      </c>
      <c r="F82" s="118"/>
      <c r="G82" s="118"/>
      <c r="H82" s="119"/>
      <c r="I82" s="120">
        <f>C82+F82</f>
        <v>19490</v>
      </c>
      <c r="J82" s="121">
        <f>D82+G82</f>
        <v>0</v>
      </c>
      <c r="K82" s="122">
        <f t="shared" si="0"/>
        <v>0</v>
      </c>
      <c r="L82" s="172"/>
    </row>
    <row r="83" spans="1:12" s="161" customFormat="1" ht="27" customHeight="1">
      <c r="A83" s="114" t="s">
        <v>192</v>
      </c>
      <c r="B83" s="115" t="s">
        <v>193</v>
      </c>
      <c r="C83" s="146">
        <v>1189227.3</v>
      </c>
      <c r="D83" s="146">
        <v>1018380.6</v>
      </c>
      <c r="E83" s="117">
        <f t="shared" si="3"/>
        <v>85.63380608568268</v>
      </c>
      <c r="F83" s="118">
        <v>0</v>
      </c>
      <c r="G83" s="118">
        <v>0</v>
      </c>
      <c r="H83" s="119">
        <v>0</v>
      </c>
      <c r="I83" s="120">
        <f>C83+F83</f>
        <v>1189227.3</v>
      </c>
      <c r="J83" s="121">
        <f>D83+G83</f>
        <v>1018380.6</v>
      </c>
      <c r="K83" s="122">
        <f t="shared" si="0"/>
        <v>85.63380608568268</v>
      </c>
      <c r="L83" s="172"/>
    </row>
    <row r="84" spans="1:12" s="161" customFormat="1" ht="26.25" customHeight="1">
      <c r="A84" s="114" t="s">
        <v>192</v>
      </c>
      <c r="B84" s="115" t="s">
        <v>194</v>
      </c>
      <c r="C84" s="116">
        <v>28259.7</v>
      </c>
      <c r="D84" s="116">
        <v>21016.5</v>
      </c>
      <c r="E84" s="117">
        <f t="shared" si="3"/>
        <v>74.36915466193909</v>
      </c>
      <c r="F84" s="118">
        <v>0</v>
      </c>
      <c r="G84" s="118">
        <v>0</v>
      </c>
      <c r="H84" s="119">
        <v>0</v>
      </c>
      <c r="I84" s="120">
        <f>C84+F84</f>
        <v>28259.7</v>
      </c>
      <c r="J84" s="121">
        <f>D84+G84</f>
        <v>21016.5</v>
      </c>
      <c r="K84" s="122">
        <f t="shared" si="0"/>
        <v>74.36915466193909</v>
      </c>
      <c r="L84" s="172"/>
    </row>
    <row r="85" spans="1:12" s="161" customFormat="1" ht="154.5" customHeight="1">
      <c r="A85" s="114" t="s">
        <v>192</v>
      </c>
      <c r="B85" s="115" t="s">
        <v>195</v>
      </c>
      <c r="C85" s="116">
        <f>5139.6+7997</f>
        <v>13136.6</v>
      </c>
      <c r="D85" s="116">
        <v>12803.8</v>
      </c>
      <c r="E85" s="117">
        <f t="shared" si="3"/>
        <v>97.46661997777201</v>
      </c>
      <c r="F85" s="118">
        <v>0</v>
      </c>
      <c r="G85" s="118">
        <v>0</v>
      </c>
      <c r="H85" s="119">
        <v>0</v>
      </c>
      <c r="I85" s="120">
        <f>C85+F85</f>
        <v>13136.6</v>
      </c>
      <c r="J85" s="121">
        <f>D85+G85</f>
        <v>12803.8</v>
      </c>
      <c r="K85" s="122">
        <f t="shared" si="0"/>
        <v>97.46661997777201</v>
      </c>
      <c r="L85" s="172"/>
    </row>
    <row r="86" spans="1:12" s="161" customFormat="1" ht="25.5" customHeight="1">
      <c r="A86" s="114" t="s">
        <v>196</v>
      </c>
      <c r="B86" s="115" t="s">
        <v>197</v>
      </c>
      <c r="C86" s="116">
        <v>162769.8</v>
      </c>
      <c r="D86" s="116">
        <v>155695.6</v>
      </c>
      <c r="E86" s="117">
        <f t="shared" si="3"/>
        <v>95.65386208006646</v>
      </c>
      <c r="F86" s="118"/>
      <c r="G86" s="118"/>
      <c r="H86" s="119"/>
      <c r="I86" s="120">
        <f>C86+F86</f>
        <v>162769.8</v>
      </c>
      <c r="J86" s="121">
        <f>D86+G86</f>
        <v>155695.6</v>
      </c>
      <c r="K86" s="122">
        <f t="shared" si="0"/>
        <v>95.65386208006646</v>
      </c>
      <c r="L86" s="172"/>
    </row>
    <row r="87" spans="1:12" s="161" customFormat="1" ht="36.75" customHeight="1">
      <c r="A87" s="114" t="s">
        <v>198</v>
      </c>
      <c r="B87" s="115" t="s">
        <v>199</v>
      </c>
      <c r="C87" s="116">
        <v>33320.7</v>
      </c>
      <c r="D87" s="116">
        <v>31143.2</v>
      </c>
      <c r="E87" s="117">
        <f t="shared" si="3"/>
        <v>93.46502324380941</v>
      </c>
      <c r="F87" s="118"/>
      <c r="G87" s="118"/>
      <c r="H87" s="119"/>
      <c r="I87" s="120">
        <f>C87+F87</f>
        <v>33320.7</v>
      </c>
      <c r="J87" s="121">
        <f>D87+G87</f>
        <v>31143.2</v>
      </c>
      <c r="K87" s="122">
        <f t="shared" si="0"/>
        <v>93.46502324380941</v>
      </c>
      <c r="L87" s="172"/>
    </row>
    <row r="88" spans="1:12" s="161" customFormat="1" ht="33" customHeight="1">
      <c r="A88" s="114" t="s">
        <v>200</v>
      </c>
      <c r="B88" s="115" t="s">
        <v>201</v>
      </c>
      <c r="C88" s="116">
        <v>49855.2</v>
      </c>
      <c r="D88" s="116">
        <v>46027.8</v>
      </c>
      <c r="E88" s="117">
        <f t="shared" si="3"/>
        <v>92.32296731333945</v>
      </c>
      <c r="F88" s="118">
        <v>0</v>
      </c>
      <c r="G88" s="118"/>
      <c r="H88" s="119">
        <v>0</v>
      </c>
      <c r="I88" s="120">
        <f>C88+F88</f>
        <v>49855.2</v>
      </c>
      <c r="J88" s="121">
        <f>D88+G88</f>
        <v>46027.8</v>
      </c>
      <c r="K88" s="122">
        <f t="shared" si="0"/>
        <v>92.32296731333945</v>
      </c>
      <c r="L88" s="172"/>
    </row>
    <row r="89" spans="1:12" s="161" customFormat="1" ht="25.5" customHeight="1">
      <c r="A89" s="109" t="s">
        <v>202</v>
      </c>
      <c r="B89" s="110" t="s">
        <v>203</v>
      </c>
      <c r="C89" s="111">
        <f>SUM(C90:C93)</f>
        <v>70770.79999999999</v>
      </c>
      <c r="D89" s="111">
        <f>SUM(D90:D93)</f>
        <v>62843.4</v>
      </c>
      <c r="E89" s="111">
        <f>D89/C89*100</f>
        <v>88.79848751179867</v>
      </c>
      <c r="F89" s="135">
        <f>SUM(F90:F93)</f>
        <v>120023</v>
      </c>
      <c r="G89" s="135">
        <f>SUM(G90:G93)</f>
        <v>100603.5</v>
      </c>
      <c r="H89" s="112">
        <f>G89/F89*100</f>
        <v>83.82018446464427</v>
      </c>
      <c r="I89" s="135">
        <f>SUM(I90:I93)</f>
        <v>187706</v>
      </c>
      <c r="J89" s="135">
        <f>SUM(J90:J93)</f>
        <v>160567</v>
      </c>
      <c r="K89" s="132">
        <f t="shared" si="0"/>
        <v>85.54175146239331</v>
      </c>
      <c r="L89" s="172"/>
    </row>
    <row r="90" spans="1:12" s="161" customFormat="1" ht="27" customHeight="1">
      <c r="A90" s="114" t="s">
        <v>204</v>
      </c>
      <c r="B90" s="115" t="s">
        <v>205</v>
      </c>
      <c r="C90" s="116">
        <f>66732.4-C91</f>
        <v>65626.5</v>
      </c>
      <c r="D90" s="116">
        <v>58576.5</v>
      </c>
      <c r="E90" s="117">
        <f t="shared" si="3"/>
        <v>89.2573884025508</v>
      </c>
      <c r="F90" s="147">
        <v>119573.9</v>
      </c>
      <c r="G90" s="118">
        <v>100314.6</v>
      </c>
      <c r="H90" s="119">
        <f>G90/F90*100</f>
        <v>83.89339145080993</v>
      </c>
      <c r="I90" s="126">
        <f>C90+F90-2903.8</f>
        <v>182296.6</v>
      </c>
      <c r="J90" s="126">
        <f>D90+G90-2695.9</f>
        <v>156195.2</v>
      </c>
      <c r="K90" s="122">
        <f t="shared" si="0"/>
        <v>85.68190520283977</v>
      </c>
      <c r="L90" s="172"/>
    </row>
    <row r="91" spans="1:12" s="161" customFormat="1" ht="36.75" customHeight="1">
      <c r="A91" s="148" t="s">
        <v>204</v>
      </c>
      <c r="B91" s="149" t="s">
        <v>206</v>
      </c>
      <c r="C91" s="116">
        <f>940+165.9</f>
        <v>1105.9</v>
      </c>
      <c r="D91" s="116">
        <v>1105.9</v>
      </c>
      <c r="E91" s="117">
        <f t="shared" si="3"/>
        <v>100</v>
      </c>
      <c r="F91" s="118">
        <f>184+25.1</f>
        <v>209.1</v>
      </c>
      <c r="G91" s="118">
        <v>202.4</v>
      </c>
      <c r="H91" s="119">
        <f>G91/F91*100</f>
        <v>96.79579148732664</v>
      </c>
      <c r="I91" s="126">
        <f>C91+F91-184</f>
        <v>1131</v>
      </c>
      <c r="J91" s="126">
        <f>D91+G91-184</f>
        <v>1124.3000000000002</v>
      </c>
      <c r="K91" s="122">
        <f>J91/I91*100</f>
        <v>99.40760389036252</v>
      </c>
      <c r="L91" s="172"/>
    </row>
    <row r="92" spans="1:12" s="161" customFormat="1" ht="21.75" customHeight="1">
      <c r="A92" s="114" t="s">
        <v>207</v>
      </c>
      <c r="B92" s="115" t="s">
        <v>208</v>
      </c>
      <c r="C92" s="116">
        <v>150</v>
      </c>
      <c r="D92" s="116">
        <v>150</v>
      </c>
      <c r="E92" s="117">
        <f t="shared" si="3"/>
        <v>100</v>
      </c>
      <c r="F92" s="118">
        <v>240</v>
      </c>
      <c r="G92" s="118">
        <v>86.5</v>
      </c>
      <c r="H92" s="119">
        <f>G92/F92*100</f>
        <v>36.041666666666664</v>
      </c>
      <c r="I92" s="120">
        <f aca="true" t="shared" si="8" ref="I92:J105">C92+F92</f>
        <v>390</v>
      </c>
      <c r="J92" s="121">
        <f>D92+G92</f>
        <v>236.5</v>
      </c>
      <c r="K92" s="122">
        <f aca="true" t="shared" si="9" ref="K92:K117">J92/I92*100</f>
        <v>60.641025641025635</v>
      </c>
      <c r="L92" s="172"/>
    </row>
    <row r="93" spans="1:12" s="161" customFormat="1" ht="42.75" customHeight="1">
      <c r="A93" s="114" t="s">
        <v>209</v>
      </c>
      <c r="B93" s="115" t="s">
        <v>210</v>
      </c>
      <c r="C93" s="116">
        <v>3888.4</v>
      </c>
      <c r="D93" s="116">
        <v>3011</v>
      </c>
      <c r="E93" s="117">
        <f t="shared" si="3"/>
        <v>77.4354490278778</v>
      </c>
      <c r="F93" s="118"/>
      <c r="G93" s="118"/>
      <c r="H93" s="119"/>
      <c r="I93" s="120">
        <f>C93+F93</f>
        <v>3888.4</v>
      </c>
      <c r="J93" s="121">
        <f>D93+G93</f>
        <v>3011</v>
      </c>
      <c r="K93" s="122">
        <f t="shared" si="9"/>
        <v>77.4354490278778</v>
      </c>
      <c r="L93" s="172"/>
    </row>
    <row r="94" spans="1:12" s="161" customFormat="1" ht="21.75" customHeight="1">
      <c r="A94" s="109" t="s">
        <v>211</v>
      </c>
      <c r="B94" s="110" t="s">
        <v>212</v>
      </c>
      <c r="C94" s="111">
        <f>SUM(C95:C96)</f>
        <v>52477.5</v>
      </c>
      <c r="D94" s="111">
        <f>SUM(D95:D96)</f>
        <v>33332.200000000004</v>
      </c>
      <c r="E94" s="111">
        <f>SUM(E96:E96)</f>
        <v>100</v>
      </c>
      <c r="F94" s="135">
        <v>0</v>
      </c>
      <c r="G94" s="135">
        <v>0</v>
      </c>
      <c r="H94" s="112"/>
      <c r="I94" s="135">
        <f>C94+F94</f>
        <v>52477.5</v>
      </c>
      <c r="J94" s="135">
        <f t="shared" si="8"/>
        <v>33332.200000000004</v>
      </c>
      <c r="K94" s="113">
        <f t="shared" si="9"/>
        <v>63.51712638749941</v>
      </c>
      <c r="L94" s="172"/>
    </row>
    <row r="95" spans="1:12" s="161" customFormat="1" ht="60" customHeight="1">
      <c r="A95" s="124" t="s">
        <v>213</v>
      </c>
      <c r="B95" s="149" t="s">
        <v>214</v>
      </c>
      <c r="C95" s="116">
        <v>51097.7</v>
      </c>
      <c r="D95" s="116">
        <v>31952.4</v>
      </c>
      <c r="E95" s="117">
        <f t="shared" si="3"/>
        <v>62.531973063366856</v>
      </c>
      <c r="F95" s="121"/>
      <c r="G95" s="121"/>
      <c r="H95" s="118"/>
      <c r="I95" s="120">
        <f t="shared" si="8"/>
        <v>51097.7</v>
      </c>
      <c r="J95" s="121">
        <f t="shared" si="8"/>
        <v>31952.4</v>
      </c>
      <c r="K95" s="122">
        <f t="shared" si="9"/>
        <v>62.531973063366856</v>
      </c>
      <c r="L95" s="172"/>
    </row>
    <row r="96" spans="1:12" s="161" customFormat="1" ht="62.25" customHeight="1">
      <c r="A96" s="124" t="s">
        <v>213</v>
      </c>
      <c r="B96" s="149" t="s">
        <v>215</v>
      </c>
      <c r="C96" s="116">
        <v>1379.8</v>
      </c>
      <c r="D96" s="118">
        <v>1379.8</v>
      </c>
      <c r="E96" s="117">
        <f t="shared" si="3"/>
        <v>100</v>
      </c>
      <c r="F96" s="118"/>
      <c r="G96" s="118"/>
      <c r="H96" s="119"/>
      <c r="I96" s="120">
        <f t="shared" si="8"/>
        <v>1379.8</v>
      </c>
      <c r="J96" s="121">
        <f t="shared" si="8"/>
        <v>1379.8</v>
      </c>
      <c r="K96" s="122">
        <f t="shared" si="9"/>
        <v>100</v>
      </c>
      <c r="L96" s="172"/>
    </row>
    <row r="97" spans="1:12" s="161" customFormat="1" ht="22.5" customHeight="1">
      <c r="A97" s="109">
        <v>10</v>
      </c>
      <c r="B97" s="110" t="s">
        <v>216</v>
      </c>
      <c r="C97" s="111">
        <f>SUM(C98:C105)</f>
        <v>125751.20000000001</v>
      </c>
      <c r="D97" s="111">
        <f>SUM(D98:D105)</f>
        <v>107126.20000000001</v>
      </c>
      <c r="E97" s="111">
        <f>D97/C97*100</f>
        <v>85.18900813670169</v>
      </c>
      <c r="F97" s="111">
        <f>SUM(F98:F105)</f>
        <v>892.3</v>
      </c>
      <c r="G97" s="111">
        <f>SUM(G98:G105)</f>
        <v>764.1</v>
      </c>
      <c r="H97" s="112">
        <f>G97/F97*100</f>
        <v>85.6326347640928</v>
      </c>
      <c r="I97" s="111">
        <f>SUM(I98:I105)</f>
        <v>126643.5</v>
      </c>
      <c r="J97" s="111">
        <f>SUM(J98:J105)</f>
        <v>107890.30000000002</v>
      </c>
      <c r="K97" s="113">
        <f t="shared" si="9"/>
        <v>85.1921338244758</v>
      </c>
      <c r="L97" s="172"/>
    </row>
    <row r="98" spans="1:12" s="161" customFormat="1" ht="29.25" customHeight="1">
      <c r="A98" s="124">
        <v>1001</v>
      </c>
      <c r="B98" s="115" t="s">
        <v>217</v>
      </c>
      <c r="C98" s="116">
        <v>4604.1</v>
      </c>
      <c r="D98" s="116">
        <v>4303.7</v>
      </c>
      <c r="E98" s="117">
        <f t="shared" si="3"/>
        <v>93.47538063899566</v>
      </c>
      <c r="F98" s="118">
        <v>792.3</v>
      </c>
      <c r="G98" s="118">
        <v>664.1</v>
      </c>
      <c r="H98" s="119">
        <f>G98/F98*100</f>
        <v>83.81926038116876</v>
      </c>
      <c r="I98" s="120">
        <f t="shared" si="8"/>
        <v>5396.400000000001</v>
      </c>
      <c r="J98" s="121">
        <f t="shared" si="8"/>
        <v>4967.8</v>
      </c>
      <c r="K98" s="122">
        <f t="shared" si="9"/>
        <v>92.05766807501297</v>
      </c>
      <c r="L98" s="172"/>
    </row>
    <row r="99" spans="1:12" s="161" customFormat="1" ht="121.5" customHeight="1">
      <c r="A99" s="124">
        <v>1003</v>
      </c>
      <c r="B99" s="149" t="s">
        <v>218</v>
      </c>
      <c r="C99" s="116">
        <v>3207.3</v>
      </c>
      <c r="D99" s="116">
        <f>1776.3+542.8+1776.3</f>
        <v>4095.3999999999996</v>
      </c>
      <c r="E99" s="117">
        <f t="shared" si="3"/>
        <v>127.6899572849437</v>
      </c>
      <c r="F99" s="118">
        <v>0</v>
      </c>
      <c r="G99" s="118">
        <v>0</v>
      </c>
      <c r="H99" s="119">
        <v>0</v>
      </c>
      <c r="I99" s="120">
        <f t="shared" si="8"/>
        <v>3207.3</v>
      </c>
      <c r="J99" s="121">
        <f t="shared" si="8"/>
        <v>4095.3999999999996</v>
      </c>
      <c r="K99" s="122">
        <f t="shared" si="9"/>
        <v>127.6899572849437</v>
      </c>
      <c r="L99" s="172"/>
    </row>
    <row r="100" spans="1:12" s="161" customFormat="1" ht="84" customHeight="1">
      <c r="A100" s="124" t="s">
        <v>219</v>
      </c>
      <c r="B100" s="115" t="s">
        <v>220</v>
      </c>
      <c r="C100" s="116">
        <v>1776.3</v>
      </c>
      <c r="D100" s="116">
        <v>888.2</v>
      </c>
      <c r="E100" s="117">
        <f t="shared" si="3"/>
        <v>50.00281483983562</v>
      </c>
      <c r="F100" s="118"/>
      <c r="G100" s="118"/>
      <c r="H100" s="119"/>
      <c r="I100" s="120">
        <f t="shared" si="8"/>
        <v>1776.3</v>
      </c>
      <c r="J100" s="121">
        <f t="shared" si="8"/>
        <v>888.2</v>
      </c>
      <c r="K100" s="122">
        <f t="shared" si="9"/>
        <v>50.00281483983562</v>
      </c>
      <c r="L100" s="172"/>
    </row>
    <row r="101" spans="1:12" s="161" customFormat="1" ht="141" customHeight="1">
      <c r="A101" s="124">
        <v>1004</v>
      </c>
      <c r="B101" s="115" t="s">
        <v>221</v>
      </c>
      <c r="C101" s="116">
        <v>15640</v>
      </c>
      <c r="D101" s="116">
        <v>14154.5</v>
      </c>
      <c r="E101" s="117">
        <f t="shared" si="3"/>
        <v>90.50191815856778</v>
      </c>
      <c r="F101" s="118">
        <v>0</v>
      </c>
      <c r="G101" s="118">
        <v>0</v>
      </c>
      <c r="H101" s="119">
        <v>0</v>
      </c>
      <c r="I101" s="120">
        <f t="shared" si="8"/>
        <v>15640</v>
      </c>
      <c r="J101" s="121">
        <f t="shared" si="8"/>
        <v>14154.5</v>
      </c>
      <c r="K101" s="122">
        <f t="shared" si="9"/>
        <v>90.50191815856778</v>
      </c>
      <c r="L101" s="172"/>
    </row>
    <row r="102" spans="1:12" s="161" customFormat="1" ht="210.75" customHeight="1">
      <c r="A102" s="124">
        <v>1004</v>
      </c>
      <c r="B102" s="115" t="s">
        <v>222</v>
      </c>
      <c r="C102" s="116">
        <v>64581.3</v>
      </c>
      <c r="D102" s="116">
        <v>53935.9</v>
      </c>
      <c r="E102" s="117">
        <f aca="true" t="shared" si="10" ref="E102:E116">D102/C102*100</f>
        <v>83.51628102871884</v>
      </c>
      <c r="F102" s="118">
        <v>0</v>
      </c>
      <c r="G102" s="118">
        <v>0</v>
      </c>
      <c r="H102" s="119">
        <v>0</v>
      </c>
      <c r="I102" s="120">
        <f t="shared" si="8"/>
        <v>64581.3</v>
      </c>
      <c r="J102" s="121">
        <f t="shared" si="8"/>
        <v>53935.9</v>
      </c>
      <c r="K102" s="122">
        <f t="shared" si="9"/>
        <v>83.51628102871884</v>
      </c>
      <c r="L102" s="172"/>
    </row>
    <row r="103" spans="1:12" s="161" customFormat="1" ht="208.5" customHeight="1">
      <c r="A103" s="124" t="s">
        <v>223</v>
      </c>
      <c r="B103" s="115" t="s">
        <v>224</v>
      </c>
      <c r="C103" s="116">
        <v>15152.3</v>
      </c>
      <c r="D103" s="116">
        <v>15152.1</v>
      </c>
      <c r="E103" s="117">
        <f>D103/C103*100</f>
        <v>99.99868006837247</v>
      </c>
      <c r="F103" s="118">
        <v>0</v>
      </c>
      <c r="G103" s="118">
        <v>0</v>
      </c>
      <c r="H103" s="119">
        <v>0</v>
      </c>
      <c r="I103" s="120">
        <f t="shared" si="8"/>
        <v>15152.3</v>
      </c>
      <c r="J103" s="121">
        <f t="shared" si="8"/>
        <v>15152.1</v>
      </c>
      <c r="K103" s="122">
        <f>J103/I103*100</f>
        <v>99.99868006837247</v>
      </c>
      <c r="L103" s="172"/>
    </row>
    <row r="104" spans="1:12" s="161" customFormat="1" ht="42" customHeight="1">
      <c r="A104" s="124" t="s">
        <v>223</v>
      </c>
      <c r="B104" s="115" t="s">
        <v>225</v>
      </c>
      <c r="C104" s="116">
        <v>1578.5</v>
      </c>
      <c r="D104" s="116">
        <v>1554.3</v>
      </c>
      <c r="E104" s="117">
        <f>D104/C104*100</f>
        <v>98.46689895470384</v>
      </c>
      <c r="F104" s="118"/>
      <c r="G104" s="118"/>
      <c r="H104" s="119"/>
      <c r="I104" s="120">
        <f t="shared" si="8"/>
        <v>1578.5</v>
      </c>
      <c r="J104" s="121">
        <f t="shared" si="8"/>
        <v>1554.3</v>
      </c>
      <c r="K104" s="122">
        <f>J104/I104*100</f>
        <v>98.46689895470384</v>
      </c>
      <c r="L104" s="172"/>
    </row>
    <row r="105" spans="1:12" s="161" customFormat="1" ht="36" customHeight="1">
      <c r="A105" s="124">
        <v>1006</v>
      </c>
      <c r="B105" s="115" t="s">
        <v>226</v>
      </c>
      <c r="C105" s="116">
        <v>19211.4</v>
      </c>
      <c r="D105" s="116">
        <v>13042.1</v>
      </c>
      <c r="E105" s="117">
        <f t="shared" si="10"/>
        <v>67.88729608461642</v>
      </c>
      <c r="F105" s="118">
        <v>100</v>
      </c>
      <c r="G105" s="118">
        <v>100</v>
      </c>
      <c r="H105" s="119">
        <f>G105/F105*100</f>
        <v>100</v>
      </c>
      <c r="I105" s="120">
        <f t="shared" si="8"/>
        <v>19311.4</v>
      </c>
      <c r="J105" s="121">
        <f t="shared" si="8"/>
        <v>13142.1</v>
      </c>
      <c r="K105" s="122">
        <f t="shared" si="9"/>
        <v>68.05358492910922</v>
      </c>
      <c r="L105" s="172"/>
    </row>
    <row r="106" spans="1:12" s="161" customFormat="1" ht="21" customHeight="1">
      <c r="A106" s="142">
        <v>1100</v>
      </c>
      <c r="B106" s="110" t="s">
        <v>227</v>
      </c>
      <c r="C106" s="111">
        <f>SUM(C107:C108)</f>
        <v>114200.7</v>
      </c>
      <c r="D106" s="111">
        <f>SUM(D107:D108)</f>
        <v>106974.2</v>
      </c>
      <c r="E106" s="111">
        <f>D106/C106*100</f>
        <v>93.67210533735782</v>
      </c>
      <c r="F106" s="135">
        <f>F107+F108</f>
        <v>39626.6</v>
      </c>
      <c r="G106" s="135">
        <f>G107+G108</f>
        <v>32929.4</v>
      </c>
      <c r="H106" s="112">
        <f>G106/F106*100</f>
        <v>83.09923132441341</v>
      </c>
      <c r="I106" s="135">
        <f>SUM(I107:I108)</f>
        <v>153764.3</v>
      </c>
      <c r="J106" s="135">
        <f>SUM(J107:J108)</f>
        <v>139865.69999999998</v>
      </c>
      <c r="K106" s="113">
        <f t="shared" si="9"/>
        <v>90.96110085370921</v>
      </c>
      <c r="L106" s="172"/>
    </row>
    <row r="107" spans="1:12" s="161" customFormat="1" ht="21.75" customHeight="1">
      <c r="A107" s="124">
        <v>1101</v>
      </c>
      <c r="B107" s="115" t="s">
        <v>228</v>
      </c>
      <c r="C107" s="116">
        <v>114045.7</v>
      </c>
      <c r="D107" s="116">
        <v>106940.4</v>
      </c>
      <c r="E107" s="117">
        <f t="shared" si="10"/>
        <v>93.76977825555896</v>
      </c>
      <c r="F107" s="118">
        <v>39626.6</v>
      </c>
      <c r="G107" s="118">
        <v>32929.4</v>
      </c>
      <c r="H107" s="119">
        <f>G107/F107*100</f>
        <v>83.09923132441341</v>
      </c>
      <c r="I107" s="126">
        <f>C107+F107-63</f>
        <v>153609.3</v>
      </c>
      <c r="J107" s="126">
        <f>D107+G107-37.9</f>
        <v>139831.9</v>
      </c>
      <c r="K107" s="122">
        <f t="shared" si="9"/>
        <v>91.03088159375767</v>
      </c>
      <c r="L107" s="172"/>
    </row>
    <row r="108" spans="1:12" s="161" customFormat="1" ht="20.25" customHeight="1">
      <c r="A108" s="124">
        <v>1102</v>
      </c>
      <c r="B108" s="115" t="s">
        <v>229</v>
      </c>
      <c r="C108" s="116">
        <v>155</v>
      </c>
      <c r="D108" s="116">
        <v>33.8</v>
      </c>
      <c r="E108" s="117">
        <f t="shared" si="10"/>
        <v>21.806451612903224</v>
      </c>
      <c r="F108" s="118"/>
      <c r="G108" s="118">
        <v>0</v>
      </c>
      <c r="H108" s="119"/>
      <c r="I108" s="120">
        <f>C108+F108</f>
        <v>155</v>
      </c>
      <c r="J108" s="121">
        <f>D108+G108</f>
        <v>33.8</v>
      </c>
      <c r="K108" s="122">
        <f t="shared" si="9"/>
        <v>21.806451612903224</v>
      </c>
      <c r="L108" s="172"/>
    </row>
    <row r="109" spans="1:12" s="161" customFormat="1" ht="25.5" customHeight="1">
      <c r="A109" s="142">
        <v>1200</v>
      </c>
      <c r="B109" s="110" t="s">
        <v>230</v>
      </c>
      <c r="C109" s="111">
        <f>SUM(C110:C110)</f>
        <v>6625</v>
      </c>
      <c r="D109" s="111">
        <f>SUM(D110:D110)</f>
        <v>6625</v>
      </c>
      <c r="E109" s="127">
        <f>D109/C109*100</f>
        <v>100</v>
      </c>
      <c r="F109" s="111"/>
      <c r="G109" s="111"/>
      <c r="H109" s="112"/>
      <c r="I109" s="111">
        <f aca="true" t="shared" si="11" ref="I109:J112">C109+F109</f>
        <v>6625</v>
      </c>
      <c r="J109" s="111">
        <f t="shared" si="11"/>
        <v>6625</v>
      </c>
      <c r="K109" s="150">
        <f t="shared" si="9"/>
        <v>100</v>
      </c>
      <c r="L109" s="172"/>
    </row>
    <row r="110" spans="1:12" s="161" customFormat="1" ht="23.25" customHeight="1">
      <c r="A110" s="124" t="s">
        <v>231</v>
      </c>
      <c r="B110" s="115" t="s">
        <v>232</v>
      </c>
      <c r="C110" s="116">
        <v>6625</v>
      </c>
      <c r="D110" s="116">
        <v>6625</v>
      </c>
      <c r="E110" s="117">
        <f>D110/C110*100</f>
        <v>100</v>
      </c>
      <c r="F110" s="118"/>
      <c r="G110" s="118"/>
      <c r="H110" s="119"/>
      <c r="I110" s="120">
        <f t="shared" si="11"/>
        <v>6625</v>
      </c>
      <c r="J110" s="121">
        <f t="shared" si="11"/>
        <v>6625</v>
      </c>
      <c r="K110" s="122">
        <f>J110/I110*100</f>
        <v>100</v>
      </c>
      <c r="L110" s="172"/>
    </row>
    <row r="111" spans="1:12" s="161" customFormat="1" ht="14.25" customHeight="1">
      <c r="A111" s="142">
        <v>1300</v>
      </c>
      <c r="B111" s="110" t="s">
        <v>233</v>
      </c>
      <c r="C111" s="111">
        <f aca="true" t="shared" si="12" ref="C111:H111">C112</f>
        <v>24</v>
      </c>
      <c r="D111" s="111">
        <f t="shared" si="12"/>
        <v>14.2</v>
      </c>
      <c r="E111" s="111">
        <f t="shared" si="12"/>
        <v>59.166666666666664</v>
      </c>
      <c r="F111" s="111">
        <f t="shared" si="12"/>
        <v>0</v>
      </c>
      <c r="G111" s="111">
        <f t="shared" si="12"/>
        <v>0</v>
      </c>
      <c r="H111" s="127">
        <f t="shared" si="12"/>
        <v>0</v>
      </c>
      <c r="I111" s="111">
        <f t="shared" si="11"/>
        <v>24</v>
      </c>
      <c r="J111" s="111">
        <f t="shared" si="11"/>
        <v>14.2</v>
      </c>
      <c r="K111" s="150">
        <f t="shared" si="9"/>
        <v>59.166666666666664</v>
      </c>
      <c r="L111" s="172"/>
    </row>
    <row r="112" spans="1:12" s="161" customFormat="1" ht="47.25" customHeight="1">
      <c r="A112" s="124">
        <v>1301</v>
      </c>
      <c r="B112" s="115" t="s">
        <v>234</v>
      </c>
      <c r="C112" s="116">
        <v>24</v>
      </c>
      <c r="D112" s="116">
        <v>14.2</v>
      </c>
      <c r="E112" s="117">
        <f t="shared" si="10"/>
        <v>59.166666666666664</v>
      </c>
      <c r="F112" s="118"/>
      <c r="G112" s="118">
        <v>0</v>
      </c>
      <c r="H112" s="119">
        <v>0</v>
      </c>
      <c r="I112" s="111">
        <f t="shared" si="11"/>
        <v>24</v>
      </c>
      <c r="J112" s="121">
        <f t="shared" si="11"/>
        <v>14.2</v>
      </c>
      <c r="K112" s="122">
        <f t="shared" si="9"/>
        <v>59.166666666666664</v>
      </c>
      <c r="L112" s="172"/>
    </row>
    <row r="113" spans="1:12" s="161" customFormat="1" ht="28.5" customHeight="1">
      <c r="A113" s="142">
        <v>1400</v>
      </c>
      <c r="B113" s="110" t="s">
        <v>235</v>
      </c>
      <c r="C113" s="111">
        <f>SUM(C114:C116)</f>
        <v>311773.9</v>
      </c>
      <c r="D113" s="111">
        <f>SUM(D114:D116)</f>
        <v>292503.19999999995</v>
      </c>
      <c r="E113" s="111">
        <f>D113/C113*100</f>
        <v>93.81901435623699</v>
      </c>
      <c r="F113" s="135">
        <f>F114+F115+F116</f>
        <v>0</v>
      </c>
      <c r="G113" s="135">
        <f>SUM(G114:G116)</f>
        <v>0</v>
      </c>
      <c r="H113" s="135"/>
      <c r="I113" s="111"/>
      <c r="J113" s="135">
        <v>0</v>
      </c>
      <c r="K113" s="113">
        <v>0</v>
      </c>
      <c r="L113" s="172"/>
    </row>
    <row r="114" spans="1:12" s="161" customFormat="1" ht="66" customHeight="1">
      <c r="A114" s="124">
        <v>1401</v>
      </c>
      <c r="B114" s="115" t="s">
        <v>236</v>
      </c>
      <c r="C114" s="116">
        <v>128204.8</v>
      </c>
      <c r="D114" s="116">
        <v>119657.4</v>
      </c>
      <c r="E114" s="117">
        <f t="shared" si="10"/>
        <v>93.33301093250797</v>
      </c>
      <c r="F114" s="118">
        <v>0</v>
      </c>
      <c r="G114" s="118">
        <v>0</v>
      </c>
      <c r="H114" s="119">
        <v>0</v>
      </c>
      <c r="I114" s="111">
        <f>C114+F114-128204.8</f>
        <v>0</v>
      </c>
      <c r="J114" s="126">
        <f>D114+G114-119657.4</f>
        <v>0</v>
      </c>
      <c r="K114" s="122">
        <v>0</v>
      </c>
      <c r="L114" s="172"/>
    </row>
    <row r="115" spans="1:12" s="161" customFormat="1" ht="22.5" customHeight="1">
      <c r="A115" s="124">
        <v>1402</v>
      </c>
      <c r="B115" s="115" t="s">
        <v>237</v>
      </c>
      <c r="C115" s="116">
        <v>175769.1</v>
      </c>
      <c r="D115" s="116">
        <v>165045.8</v>
      </c>
      <c r="E115" s="117">
        <f t="shared" si="10"/>
        <v>93.89921209131752</v>
      </c>
      <c r="F115" s="118">
        <v>0</v>
      </c>
      <c r="G115" s="118">
        <v>0</v>
      </c>
      <c r="H115" s="119">
        <v>0</v>
      </c>
      <c r="I115" s="111">
        <f>C115+F115-175769.1</f>
        <v>0</v>
      </c>
      <c r="J115" s="126">
        <f>D115+G115-165045.8</f>
        <v>0</v>
      </c>
      <c r="K115" s="122">
        <v>0</v>
      </c>
      <c r="L115" s="172"/>
    </row>
    <row r="116" spans="1:12" s="161" customFormat="1" ht="22.5" customHeight="1">
      <c r="A116" s="124">
        <v>1403</v>
      </c>
      <c r="B116" s="115" t="s">
        <v>238</v>
      </c>
      <c r="C116" s="116">
        <v>7800</v>
      </c>
      <c r="D116" s="116">
        <v>7800</v>
      </c>
      <c r="E116" s="117">
        <f t="shared" si="10"/>
        <v>100</v>
      </c>
      <c r="F116" s="118">
        <v>0</v>
      </c>
      <c r="G116" s="118">
        <v>0</v>
      </c>
      <c r="H116" s="119">
        <v>0</v>
      </c>
      <c r="I116" s="111">
        <f>C116+F116-7800</f>
        <v>0</v>
      </c>
      <c r="J116" s="126">
        <f>D116+G116-7800</f>
        <v>0</v>
      </c>
      <c r="K116" s="122">
        <v>0</v>
      </c>
      <c r="L116" s="172"/>
    </row>
    <row r="117" spans="1:12" s="161" customFormat="1" ht="15.75" thickBot="1">
      <c r="A117" s="151" t="s">
        <v>239</v>
      </c>
      <c r="B117" s="152"/>
      <c r="C117" s="153">
        <f>C9+C18+C20+C25+C47+C78+C80+C89+C94+C97+C106+C109+C111+C113</f>
        <v>3833526.87</v>
      </c>
      <c r="D117" s="153">
        <f>D113+D111+D109+D106+D97+D94+D89+D80+D78+D47+D25+D20+D18+D9</f>
        <v>3195288.31</v>
      </c>
      <c r="E117" s="153">
        <f>D117/C117*100</f>
        <v>83.35113899958134</v>
      </c>
      <c r="F117" s="153">
        <f>F9+F18+F20+F25+F47+F78+F80+F89+F94+F97+F106+F109+F111+F113</f>
        <v>770892.7000000001</v>
      </c>
      <c r="G117" s="153">
        <f>G113+G111+G109+G97+G94+G89+G80+G47+G25+G21+G18+G9+G20+G106+G78</f>
        <v>561115.2000000001</v>
      </c>
      <c r="H117" s="154">
        <f>G117/F117*100</f>
        <v>72.78771740866141</v>
      </c>
      <c r="I117" s="153">
        <f>I113+I111+I109+I106+I97+I94+I89+I80+I78+I47+I25+I20+I18+I9</f>
        <v>4072650.370000001</v>
      </c>
      <c r="J117" s="153">
        <f>J113+J111+J109+J106+J97+J94+J89+J80+J78+J47+J25+J20+J18+J9</f>
        <v>3365703.71</v>
      </c>
      <c r="K117" s="155">
        <f t="shared" si="9"/>
        <v>82.64160691996743</v>
      </c>
      <c r="L117" s="172"/>
    </row>
    <row r="118" spans="1:11" s="161" customFormat="1" ht="15" customHeight="1">
      <c r="A118" s="173"/>
      <c r="B118" s="174"/>
      <c r="C118" s="175"/>
      <c r="D118" s="165"/>
      <c r="E118" s="176"/>
      <c r="F118" s="167"/>
      <c r="G118" s="167"/>
      <c r="H118" s="168"/>
      <c r="I118" s="170"/>
      <c r="J118" s="170"/>
      <c r="K118" s="171"/>
    </row>
    <row r="119" spans="1:11" s="161" customFormat="1" ht="15" hidden="1">
      <c r="A119" s="177"/>
      <c r="B119" s="178"/>
      <c r="C119" s="179">
        <v>3818887.2</v>
      </c>
      <c r="D119" s="179">
        <v>2846401.6</v>
      </c>
      <c r="E119" s="180"/>
      <c r="F119" s="179">
        <v>764947.8</v>
      </c>
      <c r="G119" s="179">
        <v>493788.6</v>
      </c>
      <c r="H119" s="180"/>
      <c r="I119" s="180">
        <v>4056196.5</v>
      </c>
      <c r="J119" s="180">
        <v>2997360.7</v>
      </c>
      <c r="K119" s="180"/>
    </row>
    <row r="120" spans="1:11" s="161" customFormat="1" ht="12.75" customHeight="1" hidden="1">
      <c r="A120" s="177"/>
      <c r="B120" s="178"/>
      <c r="C120" s="181">
        <f>C119-C117</f>
        <v>-14639.669999999925</v>
      </c>
      <c r="D120" s="181">
        <f>D119-D117</f>
        <v>-348886.70999999996</v>
      </c>
      <c r="E120" s="176"/>
      <c r="F120" s="167">
        <f>F119-F117</f>
        <v>-5944.900000000023</v>
      </c>
      <c r="G120" s="167">
        <f>G117-G119</f>
        <v>67326.6000000001</v>
      </c>
      <c r="H120" s="168"/>
      <c r="I120" s="169">
        <f>I117-I119</f>
        <v>16453.870000001043</v>
      </c>
      <c r="J120" s="170">
        <f>J117-J119</f>
        <v>368343.0099999998</v>
      </c>
      <c r="K120" s="171"/>
    </row>
    <row r="121" spans="1:11" s="161" customFormat="1" ht="15">
      <c r="A121" s="182" t="s">
        <v>240</v>
      </c>
      <c r="B121" s="182"/>
      <c r="C121" s="182"/>
      <c r="D121" s="167"/>
      <c r="E121" s="168"/>
      <c r="F121" s="167"/>
      <c r="G121" s="167"/>
      <c r="H121" s="168"/>
      <c r="I121" s="171"/>
      <c r="J121" s="170"/>
      <c r="K121" s="171"/>
    </row>
    <row r="122" spans="1:11" s="161" customFormat="1" ht="15">
      <c r="A122" s="182" t="s">
        <v>241</v>
      </c>
      <c r="B122" s="182"/>
      <c r="C122" s="182"/>
      <c r="D122" s="183"/>
      <c r="E122" s="184" t="s">
        <v>242</v>
      </c>
      <c r="F122" s="184"/>
      <c r="G122" s="167"/>
      <c r="H122" s="168"/>
      <c r="I122" s="169"/>
      <c r="J122" s="170"/>
      <c r="K122" s="171"/>
    </row>
    <row r="123" spans="1:11" s="161" customFormat="1" ht="15">
      <c r="A123" s="185"/>
      <c r="B123" s="174"/>
      <c r="C123" s="186"/>
      <c r="D123" s="165"/>
      <c r="E123" s="187"/>
      <c r="F123" s="188"/>
      <c r="G123" s="167"/>
      <c r="H123" s="168"/>
      <c r="I123" s="169"/>
      <c r="J123" s="170"/>
      <c r="K123" s="171"/>
    </row>
    <row r="124" spans="1:11" s="161" customFormat="1" ht="15">
      <c r="A124" s="182" t="s">
        <v>243</v>
      </c>
      <c r="B124" s="182"/>
      <c r="C124" s="182"/>
      <c r="D124" s="189"/>
      <c r="E124" s="184" t="s">
        <v>244</v>
      </c>
      <c r="F124" s="184"/>
      <c r="G124" s="167"/>
      <c r="H124" s="168"/>
      <c r="I124" s="169"/>
      <c r="J124" s="170"/>
      <c r="K124" s="171"/>
    </row>
    <row r="125" spans="1:11" s="161" customFormat="1" ht="15">
      <c r="A125" s="185"/>
      <c r="B125" s="178"/>
      <c r="C125" s="179"/>
      <c r="D125" s="181"/>
      <c r="E125" s="187"/>
      <c r="F125" s="188"/>
      <c r="G125" s="167"/>
      <c r="H125" s="168"/>
      <c r="I125" s="169"/>
      <c r="J125" s="170"/>
      <c r="K125" s="171"/>
    </row>
    <row r="126" spans="1:11" s="161" customFormat="1" ht="12.75" customHeight="1">
      <c r="A126" s="182" t="s">
        <v>245</v>
      </c>
      <c r="B126" s="182"/>
      <c r="C126" s="182"/>
      <c r="D126" s="189"/>
      <c r="E126" s="184" t="s">
        <v>246</v>
      </c>
      <c r="F126" s="184"/>
      <c r="G126" s="167"/>
      <c r="H126" s="168"/>
      <c r="I126" s="169"/>
      <c r="J126" s="170"/>
      <c r="K126" s="171"/>
    </row>
    <row r="127" spans="1:11" s="161" customFormat="1" ht="15">
      <c r="A127" s="190"/>
      <c r="B127" s="191"/>
      <c r="C127" s="192"/>
      <c r="D127" s="167"/>
      <c r="E127" s="193"/>
      <c r="F127" s="167"/>
      <c r="G127" s="167"/>
      <c r="H127" s="168"/>
      <c r="I127" s="171"/>
      <c r="J127" s="170"/>
      <c r="K127" s="171"/>
    </row>
    <row r="128" spans="3:10" s="161" customFormat="1" ht="15">
      <c r="C128" s="194" t="s">
        <v>247</v>
      </c>
      <c r="D128" s="195"/>
      <c r="E128" s="161" t="s">
        <v>248</v>
      </c>
      <c r="F128" s="196"/>
      <c r="G128" s="196"/>
      <c r="I128" s="161" t="s">
        <v>249</v>
      </c>
      <c r="J128" s="196"/>
    </row>
    <row r="129" spans="3:6" ht="12.75">
      <c r="C129" s="156"/>
      <c r="F129" s="156"/>
    </row>
    <row r="130" spans="3:9" ht="12.75">
      <c r="C130" s="156"/>
      <c r="F130" s="156"/>
      <c r="I130" s="157"/>
    </row>
    <row r="131" spans="3:9" ht="12.75">
      <c r="C131" s="156"/>
      <c r="F131" s="156"/>
      <c r="I131" s="158"/>
    </row>
    <row r="132" spans="3:6" ht="12.75">
      <c r="C132" s="156"/>
      <c r="F132" s="156"/>
    </row>
    <row r="133" spans="3:6" ht="12.75">
      <c r="C133" s="156"/>
      <c r="F133" s="156"/>
    </row>
    <row r="134" spans="3:6" ht="12.75">
      <c r="C134" s="156"/>
      <c r="F134" s="156"/>
    </row>
    <row r="135" spans="3:6" ht="12.75">
      <c r="C135" s="156"/>
      <c r="F135" s="156"/>
    </row>
    <row r="136" spans="3:6" ht="12.75">
      <c r="C136" s="156"/>
      <c r="F136" s="156"/>
    </row>
    <row r="137" spans="3:6" ht="12.75">
      <c r="C137" s="156"/>
      <c r="F137" s="156"/>
    </row>
    <row r="138" spans="3:6" ht="12.75">
      <c r="C138" s="156"/>
      <c r="F138" s="156"/>
    </row>
  </sheetData>
  <sheetProtection/>
  <mergeCells count="35">
    <mergeCell ref="A121:C121"/>
    <mergeCell ref="A122:C122"/>
    <mergeCell ref="E122:F122"/>
    <mergeCell ref="A124:C124"/>
    <mergeCell ref="E124:F124"/>
    <mergeCell ref="A126:C126"/>
    <mergeCell ref="E126:F126"/>
    <mergeCell ref="G20:G21"/>
    <mergeCell ref="H20:H21"/>
    <mergeCell ref="I20:I21"/>
    <mergeCell ref="J20:J21"/>
    <mergeCell ref="K20:K21"/>
    <mergeCell ref="A117:B117"/>
    <mergeCell ref="A20:A21"/>
    <mergeCell ref="B20:B21"/>
    <mergeCell ref="C20:C21"/>
    <mergeCell ref="D20:D21"/>
    <mergeCell ref="E20:E21"/>
    <mergeCell ref="F20:F21"/>
    <mergeCell ref="G4:G5"/>
    <mergeCell ref="H4:H5"/>
    <mergeCell ref="I4:I5"/>
    <mergeCell ref="J4:J5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Бучельникова</cp:lastModifiedBy>
  <cp:lastPrinted>2019-10-03T09:53:14Z</cp:lastPrinted>
  <dcterms:created xsi:type="dcterms:W3CDTF">2006-05-12T06:58:42Z</dcterms:created>
  <dcterms:modified xsi:type="dcterms:W3CDTF">2020-02-22T11:11:17Z</dcterms:modified>
  <cp:category/>
  <cp:version/>
  <cp:contentType/>
  <cp:contentStatus/>
</cp:coreProperties>
</file>