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доходы" sheetId="1" r:id="rId1"/>
    <sheet name="расходы" sheetId="2" r:id="rId2"/>
  </sheets>
  <definedNames>
    <definedName name="_xlnm.Print_Area" localSheetId="0">'доходы'!#REF!</definedName>
  </definedNames>
  <calcPr fullCalcOnLoad="1"/>
</workbook>
</file>

<file path=xl/comments2.xml><?xml version="1.0" encoding="utf-8"?>
<comments xmlns="http://schemas.openxmlformats.org/spreadsheetml/2006/main">
  <authors>
    <author>Наташа</author>
  </authors>
  <commentList>
    <comment ref="B52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3510200
</t>
        </r>
      </text>
    </comment>
    <comment ref="B53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3510300
</t>
        </r>
      </text>
    </comment>
    <comment ref="B102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5201300, 5201301
</t>
        </r>
      </text>
    </comment>
  </commentList>
</comments>
</file>

<file path=xl/sharedStrings.xml><?xml version="1.0" encoding="utf-8"?>
<sst xmlns="http://schemas.openxmlformats.org/spreadsheetml/2006/main" count="620" uniqueCount="258">
  <si>
    <t>ККР</t>
  </si>
  <si>
    <t>Наименование показателя</t>
  </si>
  <si>
    <t>Бюджет Район</t>
  </si>
  <si>
    <t>Бюджет Поселения</t>
  </si>
  <si>
    <t>Консолидированный бюджет</t>
  </si>
  <si>
    <t>План на год</t>
  </si>
  <si>
    <t>% исполнения</t>
  </si>
  <si>
    <t>РАСХОДЫ</t>
  </si>
  <si>
    <t>01</t>
  </si>
  <si>
    <t>Общегосударственные  вопросы</t>
  </si>
  <si>
    <t>0102</t>
  </si>
  <si>
    <t>Функционирование  высшего  должностного  лица</t>
  </si>
  <si>
    <t>0103</t>
  </si>
  <si>
    <t>Функционирование  законодательных (представительных)  органов власти</t>
  </si>
  <si>
    <t>0104</t>
  </si>
  <si>
    <t>Функционирование  органов  местного   самоуправления</t>
  </si>
  <si>
    <t>0105</t>
  </si>
  <si>
    <t>Судебная система</t>
  </si>
  <si>
    <t>0106</t>
  </si>
  <si>
    <t>Обеспечение  деятельности  финансовых  органов</t>
  </si>
  <si>
    <t>0111</t>
  </si>
  <si>
    <t>Резервный  фонд</t>
  </si>
  <si>
    <t>0113</t>
  </si>
  <si>
    <t>Другие  общегосударственные  вопросы</t>
  </si>
  <si>
    <t>02</t>
  </si>
  <si>
    <t>Национальная оборона</t>
  </si>
  <si>
    <t>0203</t>
  </si>
  <si>
    <t>Содержание инспекторов ВУС</t>
  </si>
  <si>
    <t>03</t>
  </si>
  <si>
    <t>Национальная  безопасность и правохранительная деятельность</t>
  </si>
  <si>
    <t>0304</t>
  </si>
  <si>
    <t>ЗАГС (0013801, ,0013802)</t>
  </si>
  <si>
    <t>0309</t>
  </si>
  <si>
    <t>Предупреждение и  ликвидация  последствий ЧС</t>
  </si>
  <si>
    <t>0314</t>
  </si>
  <si>
    <t>Другие вопросы в области национальной безопасности и правоохранительной деятельности</t>
  </si>
  <si>
    <t>04</t>
  </si>
  <si>
    <t>Национальная  экономика</t>
  </si>
  <si>
    <t>0401</t>
  </si>
  <si>
    <t>Программа "Содействие занятости населения 2011-2013 годы"</t>
  </si>
  <si>
    <t>0405</t>
  </si>
  <si>
    <t>Сельское хозяйство и рыболовство</t>
  </si>
  <si>
    <t>0408</t>
  </si>
  <si>
    <t>Воздушный транспорт (3000240)</t>
  </si>
  <si>
    <t>Автомобильный транспорт (3170110)</t>
  </si>
  <si>
    <t>Водный транспорт (3010320)</t>
  </si>
  <si>
    <t>0409</t>
  </si>
  <si>
    <t>Дорожное хозяйство (5226105)</t>
  </si>
  <si>
    <t>0410</t>
  </si>
  <si>
    <t>Связь и информатика</t>
  </si>
  <si>
    <t>0412</t>
  </si>
  <si>
    <t>Земельные  ресурсы (3400300)</t>
  </si>
  <si>
    <t>Программа "Развитие малого и среднего предпринимательства в ХМАО-Югре" (5220400)</t>
  </si>
  <si>
    <t>Осуществление полномочий по государственному управлению охраной труда тс. 01.30.39</t>
  </si>
  <si>
    <t>05</t>
  </si>
  <si>
    <t>Жилищно-коммунальное хозяйство</t>
  </si>
  <si>
    <t>0501</t>
  </si>
  <si>
    <t>Подпрограмма "Капремонт  жилого  фонда" (3500200)</t>
  </si>
  <si>
    <t>0502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</si>
  <si>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(3510200)</t>
  </si>
  <si>
    <t>Компенсация выпадающих доходов организациям, предоставляющим населению водоснабжение и водоотведение по тарифам, не обеспечивающим возмещение издержек (3510300)</t>
  </si>
  <si>
    <t>Мероприятия по подготовке  к  зиме (3510500)</t>
  </si>
  <si>
    <t>0503</t>
  </si>
  <si>
    <t>Прочие мероприятия по благоустройству городских округов и поселений (6000500, 6000400, 6000300, 6000100)</t>
  </si>
  <si>
    <t>06</t>
  </si>
  <si>
    <t>Охрана окружающей среды</t>
  </si>
  <si>
    <t>0603</t>
  </si>
  <si>
    <t xml:space="preserve">Охрана растительных и животных видов и среды их обитания 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</si>
  <si>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</si>
  <si>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</si>
  <si>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</si>
  <si>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</si>
  <si>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</si>
  <si>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</si>
  <si>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Бесплатное питание (4219904)</t>
  </si>
  <si>
    <t>0707</t>
  </si>
  <si>
    <t>Молодежная политика  и оздоровление   детей</t>
  </si>
  <si>
    <t>0709</t>
  </si>
  <si>
    <t>Другие вопросы в области  образования</t>
  </si>
  <si>
    <t>08</t>
  </si>
  <si>
    <t>Культура и искусство</t>
  </si>
  <si>
    <t>0801</t>
  </si>
  <si>
    <t>Культура</t>
  </si>
  <si>
    <t>0802</t>
  </si>
  <si>
    <t>Кинематография</t>
  </si>
  <si>
    <t>0804</t>
  </si>
  <si>
    <t>Другие вопросы в области культуры, кинематографии</t>
  </si>
  <si>
    <t>09</t>
  </si>
  <si>
    <t xml:space="preserve">Здравоохранение </t>
  </si>
  <si>
    <t>0901</t>
  </si>
  <si>
    <t>Стационарная медицинская помощь</t>
  </si>
  <si>
    <t>0902</t>
  </si>
  <si>
    <t>Амбулаторная помощь</t>
  </si>
  <si>
    <t>0909</t>
  </si>
  <si>
    <t>Другие вопросы в области здравоохранения</t>
  </si>
  <si>
    <t>Социальная политика</t>
  </si>
  <si>
    <t>Пенсионное обеспечение</t>
  </si>
  <si>
    <t>Мероприятия в области социальной политики (5140100)</t>
  </si>
  <si>
    <t>Субвен.на обеспеч.жильем отдельных категорий граждан (ветераны, инвалиды 5053401,5053402)</t>
  </si>
  <si>
    <t>Субвенция на  бесплатное изготовление и ремонт зубных протезов (5058005)</t>
  </si>
  <si>
    <t>Субвенция на обеспечение бесплатными молочными продуктами питания детей до 3-х лет (5055409)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</si>
  <si>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(5201002) тс 01.30.09</t>
  </si>
  <si>
    <t>Материальное обеспечение патронатной семьи (5201300, 5201301)</t>
  </si>
  <si>
    <t>1004</t>
  </si>
  <si>
    <t>Осуществление деятельности отдела по опеке и попечительству</t>
  </si>
  <si>
    <t>Физическая культура и спорт</t>
  </si>
  <si>
    <t>Физическая культура</t>
  </si>
  <si>
    <t>Массовый спорт</t>
  </si>
  <si>
    <t>Средства массовой информации</t>
  </si>
  <si>
    <t>1201</t>
  </si>
  <si>
    <t>Телевидение и радиовещание</t>
  </si>
  <si>
    <t>Периодическая печать и издательства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</si>
  <si>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</si>
  <si>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</si>
  <si>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</t>
  </si>
  <si>
    <t>Дотации на выравнивание  бюджетной обеспеченности субъектов РФ и муниципальных образований</t>
  </si>
  <si>
    <t>Иные дотации</t>
  </si>
  <si>
    <t>Прочие межбюджетные трансферты</t>
  </si>
  <si>
    <t>ИТОГО РАСХОДОВ</t>
  </si>
  <si>
    <t>Заворотынская Н.А.</t>
  </si>
  <si>
    <t>Дорожное хозяйство (3150100)</t>
  </si>
  <si>
    <t>Субсидии на реализацию подпрограммы "Стимулирование жилищного строительства" программы "Содействие развитию жилищного строительства на 2011-2013 годы и на период до 2015 года" (5225908)тс 01.40.36, 01.60.00</t>
  </si>
  <si>
    <t>Программа"Модернизация  и реформирование  жилищно-коммунального  комплекса Ханты-Мансийского  автономного  округа- Югры" на 2011-2013 годы (5222100) тс 01.60.00 в т.ч.:</t>
  </si>
  <si>
    <t>Программа"Модернизация  и реформирование  жилищно-коммунального  комплекса Ханты-Мансийского  автономного  округа- Югры" на 2011-2013 годы (5222100) тс 01.40.01 в т.ч.:</t>
  </si>
  <si>
    <t>Председатель Комитета по управлению муниципальными</t>
  </si>
  <si>
    <t>финансами администрации Октябрьского района</t>
  </si>
  <si>
    <t>Куклина Н.Г.</t>
  </si>
  <si>
    <t xml:space="preserve">Бюджетные инвестиции в объекты капитального строительства государственной собственности субъектов РФ </t>
  </si>
  <si>
    <t>Выплата единовременного пособия при всех формах устройства детей, лишенных родительского попечения, в семью (5050502)</t>
  </si>
  <si>
    <t>Программа "Наша новая школа" на 2011-2013гг., подпрограмма "Развитие МТБ учреждений образования ХМАО-Югры" 5225603 тс 01.40.18, 01.60.00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</si>
  <si>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(5053600, 5052102)</t>
  </si>
  <si>
    <t>Подпрограмма"Софинансирование  муниципальных  образований в части возмещения недополученных  доходов организациям, осуществляющим реализацию населению сжиженного газа по социально ориентированным  тарифам" (5222100, 242) тс 01.51.22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</si>
  <si>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</t>
  </si>
  <si>
    <t>0505</t>
  </si>
  <si>
    <t>Другие вопросы в области жилищно-коммунального хозяйства</t>
  </si>
  <si>
    <t>Подпрограмма "Библиотечное дело" 5222806</t>
  </si>
  <si>
    <t>Программа"Совершенствование  и развитие  сети автомобильных дорог местного значения в Октябрьском  районе" на 2011-2013 годы (7956100)</t>
  </si>
  <si>
    <t>Программа" Реконструкция  внутрипоселковых электрических  сетей  населенных пунктов  в Октябрьском  районе на 2011-2015 годы" (7950500) тс 01.03.33</t>
  </si>
  <si>
    <t>Программа "Развитие  малого и среднего предпринимательства  в Октябрьском  районе"  на 2011-2013 годы (7950400) тс 01.03.20</t>
  </si>
  <si>
    <t>Программа "О защите населения и территории Октябрьского района от чрезвычайных ситуаций и техногенного характера на 2012-2015 годы" 7950700</t>
  </si>
  <si>
    <t>Программа "Реконструкция внутрипоселковых электрических сетей населенных пунктов в Октябрьском районе на 2001-2015 годы", 7950500  01.03.33</t>
  </si>
  <si>
    <t>Подпрограмма "Проектирование и строительство инженерных сетей" (7952101) т.с.01.03.07 местный бюджет</t>
  </si>
  <si>
    <t>Подпрограмма "Реконструкция и развитие объектов теплоснабжения" (7952103)тс 01.03.21 местный бюджет</t>
  </si>
  <si>
    <t>Подпрограмма "Реконструкция и развитие объектов газоснабжения" (7952102) тс 01.03.09 местный бюджет</t>
  </si>
  <si>
    <t>Подпрограмма "Реконструкция и развитие объектов водоснабжения" (7952104)тс 01.03.37 местный бюджет</t>
  </si>
  <si>
    <t>Подпрограмма "Реконструкция, расширение, модернизация, строительство обьектов водоотведения" (7952105)тс 01.03.38 местный бюджет</t>
  </si>
  <si>
    <t>Программа "Культура Октябрьского района на 2010-2012 гг" 7952800</t>
  </si>
  <si>
    <t>Заведующий  отделом учета  исполнения  бюджета</t>
  </si>
  <si>
    <t>Капитальный ремонт и ремонт дворовых территорий МКД, проездов к дворовым территориям МКД за счет средств дорожного фонда (5227000)</t>
  </si>
  <si>
    <t>Программа "Наш дом" на 2011-2015 годы на капитальный ремонт многоквартирных домов (5227000)</t>
  </si>
  <si>
    <t>Заведующий бюджетным отделом</t>
  </si>
  <si>
    <t>Агеева Н.В,</t>
  </si>
  <si>
    <t>Заведующий отделом доходов</t>
  </si>
  <si>
    <t>___________</t>
  </si>
  <si>
    <t>Мартюшова О.Г.</t>
  </si>
  <si>
    <t>Программа "Энергосбережения и повышения энергоэффективности в ХМАО-Югре" на 2010-2013гг на период до 2015г. (5226300, 0923400, 7956300)</t>
  </si>
  <si>
    <t>Бюджетные инвестиции в объекты капитального строительства государственной собственности субъектов РФ (объекты капитального строительства собственности муниципальнных образований ) ЦСР 5222811, 5222812, 5222603 округ, 310 тс 01.40.09, 01.40.46, 01.60.00</t>
  </si>
  <si>
    <t xml:space="preserve"> </t>
  </si>
  <si>
    <t>План</t>
  </si>
  <si>
    <t>% исп-ия</t>
  </si>
  <si>
    <t>КБК</t>
  </si>
  <si>
    <t>Наименование дохода</t>
  </si>
  <si>
    <t>1 кв.</t>
  </si>
  <si>
    <t>2кв.</t>
  </si>
  <si>
    <t>3 кв.</t>
  </si>
  <si>
    <t>4 кв.</t>
  </si>
  <si>
    <t>Исп-ие на</t>
  </si>
  <si>
    <t>Октябрьский район</t>
  </si>
  <si>
    <t>00010000000000000000</t>
  </si>
  <si>
    <t>00010100000000000000</t>
  </si>
  <si>
    <t xml:space="preserve">Налоги на прибыль, доходы </t>
  </si>
  <si>
    <t>00010500000000000000</t>
  </si>
  <si>
    <t>Налоги на совокупный доход</t>
  </si>
  <si>
    <t>00010600000000000000</t>
  </si>
  <si>
    <t>Налоги  на  имущество</t>
  </si>
  <si>
    <t>00010800000000000000</t>
  </si>
  <si>
    <t>Государственная пошлина</t>
  </si>
  <si>
    <t>00010900000000000000</t>
  </si>
  <si>
    <t>Задолженность и перерасчеты по отмененным налогам, сборам и иным обязательным платежам</t>
  </si>
  <si>
    <t>00011100000000000000</t>
  </si>
  <si>
    <t>Доходы от использования имущества , находящегося  в государственной и муниципальной собственности</t>
  </si>
  <si>
    <t>00011200000000000000</t>
  </si>
  <si>
    <t>Платежи при пользовании  природными  ресурсами</t>
  </si>
  <si>
    <t>00011300000000000000</t>
  </si>
  <si>
    <t>Доходы от оказания платных услуг и компенсации затрат государства</t>
  </si>
  <si>
    <t>00011400000000000000</t>
  </si>
  <si>
    <t>Доходы от продажи материальных и нематериальных активов</t>
  </si>
  <si>
    <t>00011500000000000000</t>
  </si>
  <si>
    <t>Административные платежи и сборы</t>
  </si>
  <si>
    <t>00011600000000000000</t>
  </si>
  <si>
    <t>Штрафы, санкции, возмещение  ущерба</t>
  </si>
  <si>
    <t>00011700000000000000</t>
  </si>
  <si>
    <t>Прочие неналоговые доходы</t>
  </si>
  <si>
    <t>00011800000000000000</t>
  </si>
  <si>
    <t>Возврат остатков субсидий и субвенций прошлых лет из бюджетов поселений</t>
  </si>
  <si>
    <t>00011900000000000000</t>
  </si>
  <si>
    <t>Возврат остатков субсидий и субвенций прошлых лет</t>
  </si>
  <si>
    <t>00020000000000000000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</si>
  <si>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</si>
  <si>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</si>
  <si>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00020700000000000180</t>
  </si>
  <si>
    <t>Прочие безвозмездные поступления</t>
  </si>
  <si>
    <t>Доходы бюджетов бюджетной системы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</si>
  <si>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</si>
  <si>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</si>
  <si>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городское поселение Андра</t>
  </si>
  <si>
    <t>городское поселение Октябрьское</t>
  </si>
  <si>
    <t>городское поселение Приобье</t>
  </si>
  <si>
    <t>городское поселение Талинка</t>
  </si>
  <si>
    <t>сельское поселение Каменное</t>
  </si>
  <si>
    <t>сельское поселение Карымкары</t>
  </si>
  <si>
    <t>сельское поселение М-Атлым</t>
  </si>
  <si>
    <t>сельское поселение Перегрёбное</t>
  </si>
  <si>
    <t>сельское поселение Сергино</t>
  </si>
  <si>
    <t>сельское поселение Унъюган</t>
  </si>
  <si>
    <t>сельское поселение Шеркалы</t>
  </si>
  <si>
    <t>Октябрьский район (консолидированный бюджет)</t>
  </si>
  <si>
    <t>101</t>
  </si>
  <si>
    <t>105</t>
  </si>
  <si>
    <t>106</t>
  </si>
  <si>
    <t>108</t>
  </si>
  <si>
    <t xml:space="preserve"> -</t>
  </si>
  <si>
    <t>111</t>
  </si>
  <si>
    <t>112</t>
  </si>
  <si>
    <t>113</t>
  </si>
  <si>
    <t>114</t>
  </si>
  <si>
    <t>116</t>
  </si>
  <si>
    <t>202</t>
  </si>
  <si>
    <t>207</t>
  </si>
  <si>
    <t>00020200000000000000</t>
  </si>
  <si>
    <t>00021900000000000000</t>
  </si>
  <si>
    <t>тыс.руб.</t>
  </si>
  <si>
    <t xml:space="preserve">План </t>
  </si>
  <si>
    <t>1 полугодие</t>
  </si>
  <si>
    <t>от плана</t>
  </si>
  <si>
    <t>2013</t>
  </si>
  <si>
    <t>1 полуг.  2013</t>
  </si>
  <si>
    <t>ДОХОДЫ</t>
  </si>
  <si>
    <t>00021800000000000151</t>
  </si>
  <si>
    <t>0107</t>
  </si>
  <si>
    <t>Обеспечение проведения выборов и референдумов</t>
  </si>
  <si>
    <t>Программа "Централизованное снабжение населенных пунктов Ханты-Мансийского автономного округа" Подпрограмма"Софинансирование муниципальных  программ  реконструкции внутрипоселковых  электрических  сетей населенных пунктов автономного  округа" (5220500) тс 01.40.28, 01.60.00</t>
  </si>
  <si>
    <t>Программа "Модернизация и реформирование жилищно-комуннального комплекса ХМАО-Югры" на 2011-2013 годы и на период до 2015 года" (на капитальный ремонт сиситем теплоснабжения, водоснабжения и водоотведения для подготовки к осенне-зимнему периоду) 01.60.00</t>
  </si>
  <si>
    <t>Программа "Утилизация отходов на территории муниципального образования Октябрьский район" на 2011-2021 годы 7950200 тс 01.03.35</t>
  </si>
  <si>
    <t>Программа "Наша новая школа" на 2011-2013гг. 7955603 тс 01.03.36</t>
  </si>
  <si>
    <t>1003</t>
  </si>
  <si>
    <t>Отчет  об  исполнении  консолидированного  бюджета  района  по  расходам на 1 мая 2013 года</t>
  </si>
  <si>
    <t>исполнение на 01.05.2013</t>
  </si>
  <si>
    <t>исполнения на 01.05.2013</t>
  </si>
  <si>
    <t>Субсидии на реализацию подпрограммы "Градостроительная деятельность" программы "Содействие развитию жилищного строительства на 2011-2013 годы и на период до 2015 года"</t>
  </si>
  <si>
    <t>Программа "Развитие агропромышленного комплекса ХМАО-Югры в 2011-2013 годах"</t>
  </si>
  <si>
    <t>Содействие развитию жилищного строительства на территории Октябрьского района на 2011 - 2013 годы и на период до 2015 года (7955900)тс 01.03.39</t>
  </si>
  <si>
    <t>Программа "Централизованное электроснабжение населенных пунктов ХМАО-Югры на 2011-2013 годы и на перспективу до 2015 года" (5220500) тс 01.40.28</t>
  </si>
  <si>
    <t xml:space="preserve"> "Наш дом" субсидии на благоустройство дворовых территорий многоквартирных домов (5227000)</t>
  </si>
  <si>
    <t>Подпрограмма "Доступное жилье молодым"</t>
  </si>
  <si>
    <t>____ мая  2013 года</t>
  </si>
  <si>
    <t>Отчет об исполнении консолидированного бюджета Октябрьского района по состоянию на 01.05.2013</t>
  </si>
  <si>
    <t>Доходы от использования имущества, находящегося  в государственной и муниципальной собственности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</si>
</sst>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,##0.000"/>
    <numFmt numFmtId="171" formatCode="_-* #,##0.0_р_._-;\-* #,##0.0_р_._-;_-* &quot;-&quot;?_р_._-;_-@_-"/>
  </numFmts>
  <fonts count="55">
    <font>
      <sz val="10"/>
      <name val="Arial Cyr"/>
      <family val="0"/>
    </font>
    <font>
      <sz val="9"/>
      <name val="Arial"/>
      <family val="2"/>
    </font>
    <font>
      <sz val="8"/>
      <name val="Arial Cyr"/>
      <family val="0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0"/>
      <name val="Arial"/>
      <family val="2"/>
    </font>
    <font>
      <b/>
      <sz val="8"/>
      <color indexed="36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sz val="9"/>
      <name val="Arial"/>
      <family val="2"/>
    </font>
    <font>
      <b/>
      <sz val="11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8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8"/>
      <color theme="3" tint="-0.24997000396251678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Fill="1" applyAlignment="1">
      <alignment/>
    </xf>
    <xf numFmtId="171" fontId="4" fillId="0" borderId="0" xfId="53" applyNumberFormat="1" applyFont="1" applyFill="1" applyBorder="1" applyAlignment="1">
      <alignment horizontal="center" vertical="center" wrapText="1"/>
      <protection/>
    </xf>
    <xf numFmtId="171" fontId="4" fillId="0" borderId="0" xfId="0" applyNumberFormat="1" applyFont="1" applyFill="1" applyAlignment="1">
      <alignment horizontal="center" vertical="center" wrapText="1"/>
    </xf>
    <xf numFmtId="171" fontId="4" fillId="0" borderId="0" xfId="0" applyNumberFormat="1" applyFont="1" applyAlignment="1">
      <alignment horizontal="center" vertical="center" wrapText="1"/>
    </xf>
    <xf numFmtId="171" fontId="5" fillId="0" borderId="0" xfId="0" applyNumberFormat="1" applyFont="1" applyFill="1" applyAlignment="1">
      <alignment horizontal="center" vertical="center" wrapText="1"/>
    </xf>
    <xf numFmtId="171" fontId="5" fillId="0" borderId="0" xfId="0" applyNumberFormat="1" applyFont="1" applyAlignment="1">
      <alignment horizontal="center" vertical="center" wrapText="1"/>
    </xf>
    <xf numFmtId="49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left" vertical="center" wrapText="1"/>
      <protection/>
    </xf>
    <xf numFmtId="171" fontId="53" fillId="0" borderId="0" xfId="53" applyNumberFormat="1" applyFont="1" applyFill="1" applyBorder="1" applyAlignment="1">
      <alignment horizontal="center" vertical="center" wrapText="1"/>
      <protection/>
    </xf>
    <xf numFmtId="171" fontId="5" fillId="0" borderId="0" xfId="53" applyNumberFormat="1" applyFont="1" applyFill="1" applyBorder="1" applyAlignment="1">
      <alignment horizontal="center" vertical="center" wrapText="1"/>
      <protection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171" fontId="53" fillId="0" borderId="0" xfId="0" applyNumberFormat="1" applyFont="1" applyFill="1" applyBorder="1" applyAlignment="1">
      <alignment horizontal="center" vertical="center" wrapText="1"/>
    </xf>
    <xf numFmtId="171" fontId="4" fillId="0" borderId="0" xfId="0" applyNumberFormat="1" applyFont="1" applyFill="1" applyBorder="1" applyAlignment="1">
      <alignment horizontal="center" vertical="center" wrapText="1"/>
    </xf>
    <xf numFmtId="171" fontId="4" fillId="0" borderId="10" xfId="53" applyNumberFormat="1" applyFont="1" applyFill="1" applyBorder="1" applyAlignment="1">
      <alignment horizontal="center" vertical="center" wrapText="1"/>
      <protection/>
    </xf>
    <xf numFmtId="49" fontId="3" fillId="0" borderId="0" xfId="0" applyNumberFormat="1" applyFont="1" applyFill="1" applyBorder="1" applyAlignment="1">
      <alignment horizontal="right" vertical="center" wrapText="1"/>
    </xf>
    <xf numFmtId="171" fontId="4" fillId="0" borderId="0" xfId="0" applyNumberFormat="1" applyFont="1" applyFill="1" applyBorder="1" applyAlignment="1">
      <alignment horizontal="left" vertical="center" wrapText="1"/>
    </xf>
    <xf numFmtId="171" fontId="4" fillId="0" borderId="0" xfId="0" applyNumberFormat="1" applyFont="1" applyFill="1" applyAlignment="1">
      <alignment horizontal="left" vertical="center" wrapText="1"/>
    </xf>
    <xf numFmtId="171" fontId="4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71" fontId="53" fillId="0" borderId="0" xfId="0" applyNumberFormat="1" applyFont="1" applyFill="1" applyAlignment="1">
      <alignment horizontal="center" vertical="center" wrapText="1"/>
    </xf>
    <xf numFmtId="0" fontId="0" fillId="0" borderId="0" xfId="0" applyBorder="1" applyAlignment="1">
      <alignment/>
    </xf>
    <xf numFmtId="171" fontId="54" fillId="33" borderId="11" xfId="53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171" fontId="4" fillId="33" borderId="11" xfId="53" applyNumberFormat="1" applyFont="1" applyFill="1" applyBorder="1" applyAlignment="1">
      <alignment horizontal="center" vertical="center" wrapText="1"/>
      <protection/>
    </xf>
    <xf numFmtId="171" fontId="4" fillId="33" borderId="11" xfId="0" applyNumberFormat="1" applyFont="1" applyFill="1" applyBorder="1" applyAlignment="1">
      <alignment horizontal="center" vertical="center" wrapText="1"/>
    </xf>
    <xf numFmtId="171" fontId="4" fillId="0" borderId="11" xfId="53" applyNumberFormat="1" applyFont="1" applyFill="1" applyBorder="1" applyAlignment="1">
      <alignment horizontal="center" vertical="center" wrapText="1"/>
      <protection/>
    </xf>
    <xf numFmtId="171" fontId="4" fillId="0" borderId="11" xfId="0" applyNumberFormat="1" applyFont="1" applyBorder="1" applyAlignment="1">
      <alignment horizontal="center" vertical="center" wrapText="1"/>
    </xf>
    <xf numFmtId="171" fontId="5" fillId="0" borderId="11" xfId="0" applyNumberFormat="1" applyFont="1" applyBorder="1" applyAlignment="1">
      <alignment horizontal="center" vertical="center" wrapText="1"/>
    </xf>
    <xf numFmtId="49" fontId="6" fillId="34" borderId="12" xfId="53" applyNumberFormat="1" applyFont="1" applyFill="1" applyBorder="1" applyAlignment="1" quotePrefix="1">
      <alignment horizontal="center" vertical="center" wrapText="1"/>
      <protection/>
    </xf>
    <xf numFmtId="0" fontId="6" fillId="34" borderId="11" xfId="53" applyNumberFormat="1" applyFont="1" applyFill="1" applyBorder="1" applyAlignment="1">
      <alignment horizontal="left" vertical="center" wrapText="1"/>
      <protection/>
    </xf>
    <xf numFmtId="171" fontId="5" fillId="34" borderId="11" xfId="53" applyNumberFormat="1" applyFont="1" applyFill="1" applyBorder="1" applyAlignment="1">
      <alignment horizontal="center" vertical="center" wrapText="1"/>
      <protection/>
    </xf>
    <xf numFmtId="171" fontId="4" fillId="34" borderId="11" xfId="0" applyNumberFormat="1" applyFont="1" applyFill="1" applyBorder="1" applyAlignment="1">
      <alignment horizontal="center" vertical="center" wrapText="1"/>
    </xf>
    <xf numFmtId="171" fontId="5" fillId="34" borderId="13" xfId="0" applyNumberFormat="1" applyFont="1" applyFill="1" applyBorder="1" applyAlignment="1">
      <alignment horizontal="center" vertical="center" wrapText="1"/>
    </xf>
    <xf numFmtId="49" fontId="3" fillId="0" borderId="12" xfId="53" applyNumberFormat="1" applyFont="1" applyFill="1" applyBorder="1" applyAlignment="1" quotePrefix="1">
      <alignment horizontal="center" vertical="center" wrapText="1"/>
      <protection/>
    </xf>
    <xf numFmtId="0" fontId="3" fillId="0" borderId="11" xfId="53" applyNumberFormat="1" applyFont="1" applyFill="1" applyBorder="1" applyAlignment="1">
      <alignment horizontal="left" vertical="center" wrapText="1"/>
      <protection/>
    </xf>
    <xf numFmtId="171" fontId="4" fillId="0" borderId="11" xfId="0" applyNumberFormat="1" applyFont="1" applyFill="1" applyBorder="1" applyAlignment="1">
      <alignment horizontal="center" vertical="center" wrapText="1"/>
    </xf>
    <xf numFmtId="171" fontId="5" fillId="0" borderId="11" xfId="0" applyNumberFormat="1" applyFont="1" applyFill="1" applyBorder="1" applyAlignment="1">
      <alignment horizontal="center" vertical="center" wrapText="1"/>
    </xf>
    <xf numFmtId="171" fontId="5" fillId="0" borderId="13" xfId="0" applyNumberFormat="1" applyFont="1" applyFill="1" applyBorder="1" applyAlignment="1">
      <alignment horizontal="center" vertical="center" wrapText="1"/>
    </xf>
    <xf numFmtId="49" fontId="3" fillId="0" borderId="12" xfId="53" applyNumberFormat="1" applyFont="1" applyFill="1" applyBorder="1" applyAlignment="1">
      <alignment horizontal="center" vertical="center" wrapText="1"/>
      <protection/>
    </xf>
    <xf numFmtId="171" fontId="4" fillId="34" borderId="11" xfId="53" applyNumberFormat="1" applyFont="1" applyFill="1" applyBorder="1" applyAlignment="1">
      <alignment horizontal="center" vertical="center" wrapText="1"/>
      <protection/>
    </xf>
    <xf numFmtId="171" fontId="5" fillId="34" borderId="13" xfId="53" applyNumberFormat="1" applyFont="1" applyFill="1" applyBorder="1" applyAlignment="1">
      <alignment horizontal="center" vertical="center" wrapText="1"/>
      <protection/>
    </xf>
    <xf numFmtId="0" fontId="3" fillId="35" borderId="11" xfId="53" applyNumberFormat="1" applyFont="1" applyFill="1" applyBorder="1" applyAlignment="1">
      <alignment horizontal="left" vertical="center" wrapText="1"/>
      <protection/>
    </xf>
    <xf numFmtId="0" fontId="4" fillId="0" borderId="11" xfId="52" applyNumberFormat="1" applyFont="1" applyFill="1" applyBorder="1" applyAlignment="1" applyProtection="1">
      <alignment horizontal="left" vertical="center" wrapText="1"/>
      <protection hidden="1"/>
    </xf>
    <xf numFmtId="171" fontId="5" fillId="34" borderId="11" xfId="0" applyNumberFormat="1" applyFont="1" applyFill="1" applyBorder="1" applyAlignment="1">
      <alignment horizontal="center" vertical="center" wrapText="1"/>
    </xf>
    <xf numFmtId="43" fontId="5" fillId="0" borderId="11" xfId="0" applyNumberFormat="1" applyFont="1" applyBorder="1" applyAlignment="1">
      <alignment horizontal="center" vertical="center" wrapText="1"/>
    </xf>
    <xf numFmtId="49" fontId="6" fillId="34" borderId="12" xfId="53" applyNumberFormat="1" applyFont="1" applyFill="1" applyBorder="1" applyAlignment="1">
      <alignment horizontal="center" vertical="center" wrapText="1"/>
      <protection/>
    </xf>
    <xf numFmtId="0" fontId="6" fillId="34" borderId="11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49" fontId="4" fillId="0" borderId="12" xfId="53" applyNumberFormat="1" applyFont="1" applyFill="1" applyBorder="1" applyAlignment="1">
      <alignment horizontal="center" vertical="center" wrapText="1"/>
      <protection/>
    </xf>
    <xf numFmtId="0" fontId="4" fillId="0" borderId="11" xfId="53" applyNumberFormat="1" applyFont="1" applyFill="1" applyBorder="1" applyAlignment="1">
      <alignment horizontal="left" vertical="center" wrapText="1"/>
      <protection/>
    </xf>
    <xf numFmtId="171" fontId="5" fillId="36" borderId="14" xfId="53" applyNumberFormat="1" applyFont="1" applyFill="1" applyBorder="1" applyAlignment="1">
      <alignment horizontal="center" vertical="center" wrapText="1"/>
      <protection/>
    </xf>
    <xf numFmtId="171" fontId="5" fillId="36" borderId="14" xfId="0" applyNumberFormat="1" applyFont="1" applyFill="1" applyBorder="1" applyAlignment="1">
      <alignment horizontal="center" vertical="center" wrapText="1"/>
    </xf>
    <xf numFmtId="171" fontId="5" fillId="36" borderId="15" xfId="0" applyNumberFormat="1" applyFont="1" applyFill="1" applyBorder="1" applyAlignment="1">
      <alignment horizontal="center" vertical="center" wrapText="1"/>
    </xf>
    <xf numFmtId="49" fontId="3" fillId="0" borderId="0" xfId="53" applyNumberFormat="1" applyFont="1" applyAlignment="1">
      <alignment horizontal="center" vertical="center" wrapText="1"/>
      <protection/>
    </xf>
    <xf numFmtId="0" fontId="3" fillId="0" borderId="0" xfId="53" applyNumberFormat="1" applyFont="1" applyAlignment="1">
      <alignment horizontal="left" vertical="center" wrapText="1"/>
      <protection/>
    </xf>
    <xf numFmtId="171" fontId="53" fillId="0" borderId="0" xfId="53" applyNumberFormat="1" applyFont="1" applyFill="1" applyAlignment="1">
      <alignment horizontal="center" vertical="center" wrapText="1"/>
      <protection/>
    </xf>
    <xf numFmtId="171" fontId="4" fillId="0" borderId="0" xfId="53" applyNumberFormat="1" applyFont="1" applyFill="1" applyAlignment="1">
      <alignment horizontal="center" vertical="center" wrapText="1"/>
      <protection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0" fillId="33" borderId="0" xfId="0" applyFill="1" applyAlignment="1">
      <alignment/>
    </xf>
    <xf numFmtId="0" fontId="14" fillId="33" borderId="16" xfId="0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0" fontId="0" fillId="33" borderId="17" xfId="0" applyFill="1" applyBorder="1" applyAlignment="1">
      <alignment/>
    </xf>
    <xf numFmtId="168" fontId="11" fillId="33" borderId="17" xfId="0" applyNumberFormat="1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 vertical="top" wrapText="1"/>
    </xf>
    <xf numFmtId="0" fontId="11" fillId="33" borderId="17" xfId="0" applyFont="1" applyFill="1" applyBorder="1" applyAlignment="1">
      <alignment horizontal="center"/>
    </xf>
    <xf numFmtId="0" fontId="14" fillId="33" borderId="18" xfId="0" applyFont="1" applyFill="1" applyBorder="1" applyAlignment="1">
      <alignment horizontal="center"/>
    </xf>
    <xf numFmtId="0" fontId="14" fillId="33" borderId="19" xfId="0" applyFont="1" applyFill="1" applyBorder="1" applyAlignment="1">
      <alignment horizontal="center"/>
    </xf>
    <xf numFmtId="0" fontId="13" fillId="33" borderId="19" xfId="0" applyFont="1" applyFill="1" applyBorder="1" applyAlignment="1">
      <alignment horizontal="center"/>
    </xf>
    <xf numFmtId="49" fontId="11" fillId="33" borderId="19" xfId="0" applyNumberFormat="1" applyFont="1" applyFill="1" applyBorder="1" applyAlignment="1">
      <alignment horizontal="center"/>
    </xf>
    <xf numFmtId="168" fontId="11" fillId="33" borderId="19" xfId="0" applyNumberFormat="1" applyFont="1" applyFill="1" applyBorder="1" applyAlignment="1">
      <alignment horizontal="center"/>
    </xf>
    <xf numFmtId="168" fontId="11" fillId="33" borderId="18" xfId="0" applyNumberFormat="1" applyFont="1" applyFill="1" applyBorder="1" applyAlignment="1">
      <alignment horizontal="center"/>
    </xf>
    <xf numFmtId="0" fontId="11" fillId="33" borderId="19" xfId="0" applyFont="1" applyFill="1" applyBorder="1" applyAlignment="1">
      <alignment horizontal="center"/>
    </xf>
    <xf numFmtId="0" fontId="11" fillId="33" borderId="19" xfId="0" applyFont="1" applyFill="1" applyBorder="1" applyAlignment="1">
      <alignment horizontal="center" vertical="top" wrapText="1"/>
    </xf>
    <xf numFmtId="14" fontId="11" fillId="33" borderId="20" xfId="0" applyNumberFormat="1" applyFont="1" applyFill="1" applyBorder="1" applyAlignment="1">
      <alignment horizontal="center"/>
    </xf>
    <xf numFmtId="0" fontId="11" fillId="33" borderId="20" xfId="0" applyFont="1" applyFill="1" applyBorder="1" applyAlignment="1">
      <alignment horizontal="center" vertical="top" wrapText="1"/>
    </xf>
    <xf numFmtId="0" fontId="11" fillId="33" borderId="20" xfId="0" applyFont="1" applyFill="1" applyBorder="1" applyAlignment="1">
      <alignment horizontal="center"/>
    </xf>
    <xf numFmtId="49" fontId="15" fillId="33" borderId="20" xfId="0" applyNumberFormat="1" applyFont="1" applyFill="1" applyBorder="1" applyAlignment="1">
      <alignment horizontal="center" wrapText="1"/>
    </xf>
    <xf numFmtId="0" fontId="13" fillId="33" borderId="20" xfId="0" applyFont="1" applyFill="1" applyBorder="1" applyAlignment="1">
      <alignment horizontal="left"/>
    </xf>
    <xf numFmtId="168" fontId="13" fillId="33" borderId="20" xfId="0" applyNumberFormat="1" applyFont="1" applyFill="1" applyBorder="1" applyAlignment="1">
      <alignment horizontal="right"/>
    </xf>
    <xf numFmtId="49" fontId="1" fillId="33" borderId="11" xfId="0" applyNumberFormat="1" applyFont="1" applyFill="1" applyBorder="1" applyAlignment="1">
      <alignment horizontal="center" wrapText="1"/>
    </xf>
    <xf numFmtId="0" fontId="1" fillId="33" borderId="11" xfId="0" applyFont="1" applyFill="1" applyBorder="1" applyAlignment="1">
      <alignment wrapText="1"/>
    </xf>
    <xf numFmtId="168" fontId="12" fillId="33" borderId="11" xfId="0" applyNumberFormat="1" applyFont="1" applyFill="1" applyBorder="1" applyAlignment="1">
      <alignment horizontal="right"/>
    </xf>
    <xf numFmtId="168" fontId="12" fillId="33" borderId="11" xfId="0" applyNumberFormat="1" applyFont="1" applyFill="1" applyBorder="1" applyAlignment="1">
      <alignment/>
    </xf>
    <xf numFmtId="168" fontId="12" fillId="33" borderId="20" xfId="0" applyNumberFormat="1" applyFont="1" applyFill="1" applyBorder="1" applyAlignment="1">
      <alignment horizontal="right"/>
    </xf>
    <xf numFmtId="49" fontId="1" fillId="33" borderId="20" xfId="0" applyNumberFormat="1" applyFont="1" applyFill="1" applyBorder="1" applyAlignment="1">
      <alignment horizontal="center" wrapText="1"/>
    </xf>
    <xf numFmtId="49" fontId="1" fillId="33" borderId="17" xfId="0" applyNumberFormat="1" applyFont="1" applyFill="1" applyBorder="1" applyAlignment="1">
      <alignment horizontal="center" vertical="top" wrapText="1"/>
    </xf>
    <xf numFmtId="49" fontId="1" fillId="33" borderId="17" xfId="0" applyNumberFormat="1" applyFont="1" applyFill="1" applyBorder="1" applyAlignment="1">
      <alignment horizontal="center" wrapText="1"/>
    </xf>
    <xf numFmtId="49" fontId="12" fillId="33" borderId="11" xfId="0" applyNumberFormat="1" applyFont="1" applyFill="1" applyBorder="1" applyAlignment="1">
      <alignment horizontal="center"/>
    </xf>
    <xf numFmtId="49" fontId="12" fillId="33" borderId="17" xfId="0" applyNumberFormat="1" applyFont="1" applyFill="1" applyBorder="1" applyAlignment="1">
      <alignment horizontal="center"/>
    </xf>
    <xf numFmtId="49" fontId="1" fillId="33" borderId="20" xfId="0" applyNumberFormat="1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0" fontId="15" fillId="33" borderId="11" xfId="0" applyFont="1" applyFill="1" applyBorder="1" applyAlignment="1">
      <alignment/>
    </xf>
    <xf numFmtId="168" fontId="15" fillId="33" borderId="11" xfId="0" applyNumberFormat="1" applyFont="1" applyFill="1" applyBorder="1" applyAlignment="1">
      <alignment horizontal="right" wrapText="1"/>
    </xf>
    <xf numFmtId="49" fontId="1" fillId="33" borderId="20" xfId="0" applyNumberFormat="1" applyFont="1" applyFill="1" applyBorder="1" applyAlignment="1">
      <alignment vertical="top" wrapText="1"/>
    </xf>
    <xf numFmtId="0" fontId="1" fillId="33" borderId="11" xfId="0" applyFont="1" applyFill="1" applyBorder="1" applyAlignment="1">
      <alignment horizontal="justify" wrapText="1"/>
    </xf>
    <xf numFmtId="49" fontId="1" fillId="33" borderId="20" xfId="0" applyNumberFormat="1" applyFont="1" applyFill="1" applyBorder="1" applyAlignment="1">
      <alignment wrapText="1"/>
    </xf>
    <xf numFmtId="0" fontId="1" fillId="33" borderId="11" xfId="0" applyFont="1" applyFill="1" applyBorder="1" applyAlignment="1">
      <alignment/>
    </xf>
    <xf numFmtId="49" fontId="1" fillId="33" borderId="10" xfId="0" applyNumberFormat="1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168" fontId="12" fillId="33" borderId="11" xfId="0" applyNumberFormat="1" applyFont="1" applyFill="1" applyBorder="1" applyAlignment="1">
      <alignment horizontal="right" vertical="top"/>
    </xf>
    <xf numFmtId="168" fontId="12" fillId="33" borderId="11" xfId="0" applyNumberFormat="1" applyFont="1" applyFill="1" applyBorder="1" applyAlignment="1">
      <alignment vertical="top"/>
    </xf>
    <xf numFmtId="168" fontId="12" fillId="33" borderId="20" xfId="0" applyNumberFormat="1" applyFont="1" applyFill="1" applyBorder="1" applyAlignment="1">
      <alignment horizontal="right" vertical="top"/>
    </xf>
    <xf numFmtId="49" fontId="1" fillId="33" borderId="10" xfId="0" applyNumberFormat="1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 shrinkToFit="1"/>
    </xf>
    <xf numFmtId="168" fontId="13" fillId="33" borderId="20" xfId="0" applyNumberFormat="1" applyFont="1" applyFill="1" applyBorder="1" applyAlignment="1">
      <alignment horizontal="right" vertical="top"/>
    </xf>
    <xf numFmtId="49" fontId="1" fillId="33" borderId="10" xfId="0" applyNumberFormat="1" applyFont="1" applyFill="1" applyBorder="1" applyAlignment="1">
      <alignment horizontal="center" wrapText="1"/>
    </xf>
    <xf numFmtId="0" fontId="15" fillId="33" borderId="10" xfId="0" applyFont="1" applyFill="1" applyBorder="1" applyAlignment="1">
      <alignment horizontal="center" wrapText="1"/>
    </xf>
    <xf numFmtId="168" fontId="13" fillId="33" borderId="11" xfId="0" applyNumberFormat="1" applyFont="1" applyFill="1" applyBorder="1" applyAlignment="1">
      <alignment/>
    </xf>
    <xf numFmtId="49" fontId="15" fillId="33" borderId="11" xfId="0" applyNumberFormat="1" applyFont="1" applyFill="1" applyBorder="1" applyAlignment="1">
      <alignment horizontal="center" wrapText="1"/>
    </xf>
    <xf numFmtId="0" fontId="13" fillId="33" borderId="11" xfId="0" applyFont="1" applyFill="1" applyBorder="1" applyAlignment="1">
      <alignment horizontal="left"/>
    </xf>
    <xf numFmtId="168" fontId="13" fillId="33" borderId="11" xfId="0" applyNumberFormat="1" applyFont="1" applyFill="1" applyBorder="1" applyAlignment="1">
      <alignment horizontal="right"/>
    </xf>
    <xf numFmtId="0" fontId="1" fillId="33" borderId="20" xfId="0" applyFont="1" applyFill="1" applyBorder="1" applyAlignment="1">
      <alignment wrapText="1"/>
    </xf>
    <xf numFmtId="168" fontId="12" fillId="33" borderId="20" xfId="0" applyNumberFormat="1" applyFont="1" applyFill="1" applyBorder="1" applyAlignment="1">
      <alignment/>
    </xf>
    <xf numFmtId="168" fontId="1" fillId="33" borderId="11" xfId="0" applyNumberFormat="1" applyFont="1" applyFill="1" applyBorder="1" applyAlignment="1">
      <alignment horizontal="right" wrapText="1"/>
    </xf>
    <xf numFmtId="168" fontId="13" fillId="33" borderId="18" xfId="0" applyNumberFormat="1" applyFont="1" applyFill="1" applyBorder="1" applyAlignment="1">
      <alignment/>
    </xf>
    <xf numFmtId="168" fontId="13" fillId="33" borderId="0" xfId="0" applyNumberFormat="1" applyFont="1" applyFill="1" applyBorder="1" applyAlignment="1">
      <alignment/>
    </xf>
    <xf numFmtId="49" fontId="1" fillId="33" borderId="11" xfId="0" applyNumberFormat="1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 shrinkToFit="1"/>
    </xf>
    <xf numFmtId="168" fontId="12" fillId="33" borderId="17" xfId="0" applyNumberFormat="1" applyFont="1" applyFill="1" applyBorder="1" applyAlignment="1">
      <alignment/>
    </xf>
    <xf numFmtId="49" fontId="1" fillId="33" borderId="0" xfId="0" applyNumberFormat="1" applyFont="1" applyFill="1" applyBorder="1" applyAlignment="1">
      <alignment horizontal="center" wrapText="1"/>
    </xf>
    <xf numFmtId="0" fontId="15" fillId="33" borderId="0" xfId="0" applyFont="1" applyFill="1" applyBorder="1" applyAlignment="1">
      <alignment horizontal="center" wrapText="1"/>
    </xf>
    <xf numFmtId="168" fontId="13" fillId="33" borderId="17" xfId="0" applyNumberFormat="1" applyFont="1" applyFill="1" applyBorder="1" applyAlignment="1">
      <alignment/>
    </xf>
    <xf numFmtId="49" fontId="12" fillId="33" borderId="0" xfId="0" applyNumberFormat="1" applyFont="1" applyFill="1" applyBorder="1" applyAlignment="1">
      <alignment horizontal="center"/>
    </xf>
    <xf numFmtId="49" fontId="12" fillId="33" borderId="10" xfId="0" applyNumberFormat="1" applyFont="1" applyFill="1" applyBorder="1" applyAlignment="1">
      <alignment horizontal="center"/>
    </xf>
    <xf numFmtId="49" fontId="1" fillId="33" borderId="20" xfId="0" applyNumberFormat="1" applyFont="1" applyFill="1" applyBorder="1" applyAlignment="1">
      <alignment horizontal="left" wrapText="1"/>
    </xf>
    <xf numFmtId="49" fontId="15" fillId="33" borderId="20" xfId="0" applyNumberFormat="1" applyFont="1" applyFill="1" applyBorder="1" applyAlignment="1">
      <alignment horizontal="left" wrapText="1"/>
    </xf>
    <xf numFmtId="49" fontId="1" fillId="33" borderId="11" xfId="0" applyNumberFormat="1" applyFont="1" applyFill="1" applyBorder="1" applyAlignment="1">
      <alignment horizontal="left" wrapText="1"/>
    </xf>
    <xf numFmtId="49" fontId="1" fillId="33" borderId="20" xfId="0" applyNumberFormat="1" applyFont="1" applyFill="1" applyBorder="1" applyAlignment="1">
      <alignment horizontal="center" vertical="top" wrapText="1"/>
    </xf>
    <xf numFmtId="169" fontId="12" fillId="33" borderId="11" xfId="0" applyNumberFormat="1" applyFont="1" applyFill="1" applyBorder="1" applyAlignment="1">
      <alignment/>
    </xf>
    <xf numFmtId="49" fontId="1" fillId="33" borderId="17" xfId="0" applyNumberFormat="1" applyFont="1" applyFill="1" applyBorder="1" applyAlignment="1">
      <alignment horizontal="left" wrapText="1"/>
    </xf>
    <xf numFmtId="49" fontId="12" fillId="33" borderId="11" xfId="0" applyNumberFormat="1" applyFont="1" applyFill="1" applyBorder="1" applyAlignment="1">
      <alignment horizontal="left"/>
    </xf>
    <xf numFmtId="49" fontId="12" fillId="33" borderId="17" xfId="0" applyNumberFormat="1" applyFont="1" applyFill="1" applyBorder="1" applyAlignment="1">
      <alignment horizontal="left"/>
    </xf>
    <xf numFmtId="168" fontId="1" fillId="33" borderId="11" xfId="0" applyNumberFormat="1" applyFont="1" applyFill="1" applyBorder="1" applyAlignment="1">
      <alignment horizontal="right" wrapText="1"/>
    </xf>
    <xf numFmtId="49" fontId="1" fillId="33" borderId="10" xfId="0" applyNumberFormat="1" applyFont="1" applyFill="1" applyBorder="1" applyAlignment="1">
      <alignment horizontal="left" wrapText="1"/>
    </xf>
    <xf numFmtId="49" fontId="1" fillId="33" borderId="10" xfId="0" applyNumberFormat="1" applyFont="1" applyFill="1" applyBorder="1" applyAlignment="1">
      <alignment wrapText="1"/>
    </xf>
    <xf numFmtId="49" fontId="1" fillId="33" borderId="11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5" fillId="33" borderId="10" xfId="0" applyFont="1" applyFill="1" applyBorder="1" applyAlignment="1">
      <alignment horizontal="center" vertical="top" wrapText="1"/>
    </xf>
    <xf numFmtId="168" fontId="13" fillId="33" borderId="11" xfId="0" applyNumberFormat="1" applyFont="1" applyFill="1" applyBorder="1" applyAlignment="1">
      <alignment vertical="top"/>
    </xf>
    <xf numFmtId="0" fontId="14" fillId="33" borderId="21" xfId="0" applyFont="1" applyFill="1" applyBorder="1" applyAlignment="1">
      <alignment horizontal="center"/>
    </xf>
    <xf numFmtId="0" fontId="14" fillId="33" borderId="22" xfId="0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49" fontId="1" fillId="33" borderId="21" xfId="0" applyNumberFormat="1" applyFont="1" applyFill="1" applyBorder="1" applyAlignment="1">
      <alignment horizontal="center" wrapText="1"/>
    </xf>
    <xf numFmtId="49" fontId="1" fillId="33" borderId="22" xfId="0" applyNumberFormat="1" applyFont="1" applyFill="1" applyBorder="1" applyAlignment="1">
      <alignment horizontal="center" wrapText="1"/>
    </xf>
    <xf numFmtId="49" fontId="1" fillId="33" borderId="23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/>
    </xf>
    <xf numFmtId="168" fontId="13" fillId="33" borderId="22" xfId="0" applyNumberFormat="1" applyFont="1" applyFill="1" applyBorder="1" applyAlignment="1">
      <alignment horizontal="center"/>
    </xf>
    <xf numFmtId="168" fontId="13" fillId="33" borderId="23" xfId="0" applyNumberFormat="1" applyFont="1" applyFill="1" applyBorder="1" applyAlignment="1">
      <alignment horizontal="center"/>
    </xf>
    <xf numFmtId="44" fontId="1" fillId="33" borderId="21" xfId="42" applyFont="1" applyFill="1" applyBorder="1" applyAlignment="1">
      <alignment horizontal="center" wrapText="1"/>
    </xf>
    <xf numFmtId="44" fontId="1" fillId="33" borderId="22" xfId="42" applyFont="1" applyFill="1" applyBorder="1" applyAlignment="1">
      <alignment horizontal="center" wrapText="1"/>
    </xf>
    <xf numFmtId="44" fontId="1" fillId="33" borderId="23" xfId="42" applyFont="1" applyFill="1" applyBorder="1" applyAlignment="1">
      <alignment horizontal="center" wrapText="1"/>
    </xf>
    <xf numFmtId="171" fontId="4" fillId="0" borderId="0" xfId="53" applyNumberFormat="1" applyFont="1" applyFill="1" applyBorder="1" applyAlignment="1">
      <alignment horizontal="left" vertical="center" wrapText="1"/>
      <protection/>
    </xf>
    <xf numFmtId="0" fontId="3" fillId="0" borderId="0" xfId="53" applyNumberFormat="1" applyFont="1" applyFill="1" applyBorder="1" applyAlignment="1">
      <alignment horizontal="right" vertical="center" wrapText="1"/>
      <protection/>
    </xf>
    <xf numFmtId="171" fontId="4" fillId="0" borderId="0" xfId="0" applyNumberFormat="1" applyFont="1" applyFill="1" applyBorder="1" applyAlignment="1">
      <alignment horizontal="left" vertical="center" wrapText="1"/>
    </xf>
    <xf numFmtId="171" fontId="5" fillId="0" borderId="24" xfId="0" applyNumberFormat="1" applyFont="1" applyFill="1" applyBorder="1" applyAlignment="1">
      <alignment horizontal="center" vertical="center" wrapText="1"/>
    </xf>
    <xf numFmtId="171" fontId="5" fillId="0" borderId="25" xfId="0" applyNumberFormat="1" applyFont="1" applyFill="1" applyBorder="1" applyAlignment="1">
      <alignment horizontal="center" vertical="center" wrapText="1"/>
    </xf>
    <xf numFmtId="171" fontId="4" fillId="0" borderId="11" xfId="53" applyNumberFormat="1" applyFont="1" applyFill="1" applyBorder="1" applyAlignment="1">
      <alignment horizontal="center" vertical="center" wrapText="1"/>
      <protection/>
    </xf>
    <xf numFmtId="171" fontId="4" fillId="0" borderId="11" xfId="0" applyNumberFormat="1" applyFont="1" applyBorder="1" applyAlignment="1">
      <alignment horizontal="center" vertical="center" wrapText="1"/>
    </xf>
    <xf numFmtId="171" fontId="2" fillId="0" borderId="11" xfId="0" applyNumberFormat="1" applyFont="1" applyBorder="1" applyAlignment="1">
      <alignment horizontal="center" vertical="center"/>
    </xf>
    <xf numFmtId="171" fontId="5" fillId="0" borderId="11" xfId="53" applyNumberFormat="1" applyFont="1" applyBorder="1" applyAlignment="1">
      <alignment horizontal="center" vertical="center" wrapText="1"/>
      <protection/>
    </xf>
    <xf numFmtId="171" fontId="5" fillId="0" borderId="13" xfId="53" applyNumberFormat="1" applyFont="1" applyBorder="1" applyAlignment="1">
      <alignment horizontal="center" vertical="center" wrapText="1"/>
      <protection/>
    </xf>
    <xf numFmtId="171" fontId="5" fillId="0" borderId="13" xfId="0" applyNumberFormat="1" applyFont="1" applyBorder="1" applyAlignment="1">
      <alignment horizontal="center" vertical="center" wrapText="1"/>
    </xf>
    <xf numFmtId="171" fontId="5" fillId="34" borderId="11" xfId="53" applyNumberFormat="1" applyFont="1" applyFill="1" applyBorder="1" applyAlignment="1">
      <alignment horizontal="center" vertical="center" wrapText="1"/>
      <protection/>
    </xf>
    <xf numFmtId="171" fontId="4" fillId="0" borderId="11" xfId="53" applyNumberFormat="1" applyFont="1" applyBorder="1" applyAlignment="1">
      <alignment horizontal="center" vertical="center" wrapText="1"/>
      <protection/>
    </xf>
    <xf numFmtId="171" fontId="5" fillId="0" borderId="11" xfId="53" applyNumberFormat="1" applyFont="1" applyFill="1" applyBorder="1" applyAlignment="1">
      <alignment horizontal="center" vertical="center" wrapText="1"/>
      <protection/>
    </xf>
    <xf numFmtId="171" fontId="5" fillId="0" borderId="11" xfId="0" applyNumberFormat="1" applyFont="1" applyBorder="1" applyAlignment="1">
      <alignment horizontal="center" vertical="center" wrapText="1"/>
    </xf>
    <xf numFmtId="0" fontId="6" fillId="0" borderId="11" xfId="53" applyNumberFormat="1" applyFont="1" applyFill="1" applyBorder="1" applyAlignment="1">
      <alignment horizontal="center" vertical="center" wrapText="1"/>
      <protection/>
    </xf>
    <xf numFmtId="0" fontId="6" fillId="0" borderId="13" xfId="53" applyNumberFormat="1" applyFont="1" applyFill="1" applyBorder="1" applyAlignment="1">
      <alignment horizontal="center" vertical="center" wrapText="1"/>
      <protection/>
    </xf>
    <xf numFmtId="0" fontId="8" fillId="36" borderId="26" xfId="53" applyNumberFormat="1" applyFont="1" applyFill="1" applyBorder="1" applyAlignment="1">
      <alignment horizontal="center" vertical="center" wrapText="1"/>
      <protection/>
    </xf>
    <xf numFmtId="0" fontId="8" fillId="36" borderId="14" xfId="53" applyNumberFormat="1" applyFont="1" applyFill="1" applyBorder="1" applyAlignment="1">
      <alignment horizontal="center" vertical="center" wrapText="1"/>
      <protection/>
    </xf>
    <xf numFmtId="49" fontId="6" fillId="34" borderId="12" xfId="53" applyNumberFormat="1" applyFont="1" applyFill="1" applyBorder="1" applyAlignment="1" quotePrefix="1">
      <alignment horizontal="center" vertical="center" wrapText="1"/>
      <protection/>
    </xf>
    <xf numFmtId="0" fontId="16" fillId="0" borderId="0" xfId="53" applyNumberFormat="1" applyFont="1" applyAlignment="1">
      <alignment horizontal="center" vertical="center" wrapText="1"/>
      <protection/>
    </xf>
    <xf numFmtId="49" fontId="3" fillId="0" borderId="27" xfId="53" applyNumberFormat="1" applyFont="1" applyBorder="1" applyAlignment="1">
      <alignment horizontal="center" vertical="center" wrapText="1"/>
      <protection/>
    </xf>
    <xf numFmtId="49" fontId="3" fillId="0" borderId="12" xfId="53" applyNumberFormat="1" applyFont="1" applyBorder="1" applyAlignment="1">
      <alignment horizontal="center" vertical="center" wrapText="1"/>
      <protection/>
    </xf>
    <xf numFmtId="0" fontId="3" fillId="0" borderId="24" xfId="53" applyNumberFormat="1" applyFont="1" applyBorder="1" applyAlignment="1">
      <alignment horizontal="center" vertical="center" wrapText="1"/>
      <protection/>
    </xf>
    <xf numFmtId="0" fontId="3" fillId="0" borderId="11" xfId="53" applyNumberFormat="1" applyFont="1" applyBorder="1" applyAlignment="1">
      <alignment horizontal="center" vertical="center" wrapText="1"/>
      <protection/>
    </xf>
    <xf numFmtId="171" fontId="4" fillId="0" borderId="24" xfId="53" applyNumberFormat="1" applyFont="1" applyFill="1" applyBorder="1" applyAlignment="1">
      <alignment horizontal="center" vertical="center" wrapText="1"/>
      <protection/>
    </xf>
    <xf numFmtId="171" fontId="4" fillId="0" borderId="24" xfId="0" applyNumberFormat="1" applyFont="1" applyBorder="1" applyAlignment="1">
      <alignment horizontal="center" vertical="center" wrapText="1"/>
    </xf>
    <xf numFmtId="0" fontId="6" fillId="34" borderId="11" xfId="53" applyNumberFormat="1" applyFont="1" applyFill="1" applyBorder="1" applyAlignment="1">
      <alignment horizontal="left" vertical="center" wrapText="1"/>
      <protection/>
    </xf>
    <xf numFmtId="171" fontId="4" fillId="35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7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0"/>
  <sheetViews>
    <sheetView tabSelected="1" zoomScalePageLayoutView="0" workbookViewId="0" topLeftCell="A1">
      <pane xSplit="3" ySplit="1" topLeftCell="D191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" sqref="A1:L210"/>
    </sheetView>
  </sheetViews>
  <sheetFormatPr defaultColWidth="9.00390625" defaultRowHeight="12.75" outlineLevelCol="1"/>
  <cols>
    <col min="1" max="1" width="21.25390625" style="1" customWidth="1"/>
    <col min="2" max="2" width="6.75390625" style="1" hidden="1" customWidth="1"/>
    <col min="3" max="3" width="68.75390625" style="1" customWidth="1"/>
    <col min="4" max="4" width="12.75390625" style="1" customWidth="1"/>
    <col min="5" max="5" width="11.375" style="1" hidden="1" customWidth="1" outlineLevel="1"/>
    <col min="6" max="6" width="11.00390625" style="1" hidden="1" customWidth="1" outlineLevel="1"/>
    <col min="7" max="7" width="9.00390625" style="1" hidden="1" customWidth="1" outlineLevel="1"/>
    <col min="8" max="8" width="10.25390625" style="1" hidden="1" customWidth="1" outlineLevel="1"/>
    <col min="9" max="9" width="12.625" style="1" customWidth="1" collapsed="1"/>
    <col min="10" max="10" width="12.125" style="1" customWidth="1"/>
    <col min="11" max="11" width="13.375" style="1" customWidth="1"/>
    <col min="12" max="12" width="10.00390625" style="1" customWidth="1"/>
    <col min="13" max="16384" width="9.125" style="1" customWidth="1"/>
  </cols>
  <sheetData>
    <row r="1" spans="1:12" ht="24.75" customHeight="1">
      <c r="A1" s="152" t="s">
        <v>256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2" ht="12.7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12" ht="12.75">
      <c r="A3" s="61"/>
      <c r="B3" s="61"/>
      <c r="C3" s="62"/>
      <c r="D3" s="63"/>
      <c r="E3" s="63"/>
      <c r="F3" s="63"/>
      <c r="G3" s="63"/>
      <c r="H3" s="63"/>
      <c r="I3" s="63"/>
      <c r="J3" s="63"/>
      <c r="K3" s="63"/>
      <c r="L3" s="63" t="s">
        <v>231</v>
      </c>
    </row>
    <row r="4" spans="1:12" ht="12.75">
      <c r="A4" s="64" t="s">
        <v>157</v>
      </c>
      <c r="B4" s="64"/>
      <c r="C4" s="65"/>
      <c r="D4" s="66"/>
      <c r="E4" s="67" t="s">
        <v>158</v>
      </c>
      <c r="F4" s="67" t="s">
        <v>158</v>
      </c>
      <c r="G4" s="67" t="s">
        <v>158</v>
      </c>
      <c r="H4" s="67" t="s">
        <v>158</v>
      </c>
      <c r="I4" s="67" t="s">
        <v>158</v>
      </c>
      <c r="J4" s="66"/>
      <c r="K4" s="68" t="s">
        <v>159</v>
      </c>
      <c r="L4" s="69" t="s">
        <v>159</v>
      </c>
    </row>
    <row r="5" spans="1:12" ht="12.75">
      <c r="A5" s="70" t="s">
        <v>160</v>
      </c>
      <c r="B5" s="70"/>
      <c r="C5" s="71" t="s">
        <v>161</v>
      </c>
      <c r="D5" s="72" t="s">
        <v>232</v>
      </c>
      <c r="E5" s="73" t="s">
        <v>162</v>
      </c>
      <c r="F5" s="73" t="s">
        <v>163</v>
      </c>
      <c r="G5" s="74" t="s">
        <v>164</v>
      </c>
      <c r="H5" s="75" t="s">
        <v>165</v>
      </c>
      <c r="I5" s="73" t="s">
        <v>233</v>
      </c>
      <c r="J5" s="76" t="s">
        <v>166</v>
      </c>
      <c r="K5" s="77" t="s">
        <v>234</v>
      </c>
      <c r="L5" s="76" t="s">
        <v>234</v>
      </c>
    </row>
    <row r="6" spans="1:12" ht="25.5">
      <c r="A6" s="70"/>
      <c r="B6" s="70"/>
      <c r="C6" s="71"/>
      <c r="D6" s="72">
        <v>2013</v>
      </c>
      <c r="E6" s="72">
        <v>2013</v>
      </c>
      <c r="F6" s="72">
        <v>2013</v>
      </c>
      <c r="G6" s="72">
        <v>2013</v>
      </c>
      <c r="H6" s="72">
        <v>2013</v>
      </c>
      <c r="I6" s="73" t="s">
        <v>235</v>
      </c>
      <c r="J6" s="78">
        <v>41395</v>
      </c>
      <c r="K6" s="79" t="s">
        <v>236</v>
      </c>
      <c r="L6" s="80">
        <v>2013</v>
      </c>
    </row>
    <row r="7" spans="1:12" ht="12.75">
      <c r="A7" s="146" t="s">
        <v>167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8"/>
    </row>
    <row r="8" spans="1:12" ht="12.75">
      <c r="A8" s="81" t="s">
        <v>168</v>
      </c>
      <c r="B8" s="81"/>
      <c r="C8" s="82" t="s">
        <v>237</v>
      </c>
      <c r="D8" s="83">
        <f aca="true" t="shared" si="0" ref="D8:I8">D9+D10+D11+D12+D14+D15+D17+D19+D13+D20+D16+D22+D18</f>
        <v>639387.2999999999</v>
      </c>
      <c r="E8" s="83">
        <f t="shared" si="0"/>
        <v>148449.69999999998</v>
      </c>
      <c r="F8" s="83">
        <f t="shared" si="0"/>
        <v>159591.39999999997</v>
      </c>
      <c r="G8" s="83">
        <f t="shared" si="0"/>
        <v>150170</v>
      </c>
      <c r="H8" s="83">
        <f t="shared" si="0"/>
        <v>181176.19999999998</v>
      </c>
      <c r="I8" s="83">
        <f t="shared" si="0"/>
        <v>308041.0999999999</v>
      </c>
      <c r="J8" s="83">
        <f>J9+J10+J11+J12+J14+J15+J17+J19+J13+J20+J16+J22+J18+J21</f>
        <v>270297</v>
      </c>
      <c r="K8" s="83">
        <f>J8/I8*100</f>
        <v>87.74705712971421</v>
      </c>
      <c r="L8" s="83">
        <f>J8/D8*100</f>
        <v>42.274377360951654</v>
      </c>
    </row>
    <row r="9" spans="1:12" ht="12.75">
      <c r="A9" s="84" t="s">
        <v>169</v>
      </c>
      <c r="B9" s="84"/>
      <c r="C9" s="85" t="s">
        <v>170</v>
      </c>
      <c r="D9" s="86">
        <f>E9+F9+G9+H9</f>
        <v>506103.19999999995</v>
      </c>
      <c r="E9" s="87">
        <v>115282.7</v>
      </c>
      <c r="F9" s="87">
        <v>125351.1</v>
      </c>
      <c r="G9" s="87">
        <v>118514.8</v>
      </c>
      <c r="H9" s="87">
        <v>146954.6</v>
      </c>
      <c r="I9" s="88">
        <f>E9+F9</f>
        <v>240633.8</v>
      </c>
      <c r="J9" s="87">
        <v>196115.4</v>
      </c>
      <c r="K9" s="88">
        <f aca="true" t="shared" si="1" ref="K9:K28">J9/I9*100</f>
        <v>81.49952334210738</v>
      </c>
      <c r="L9" s="88">
        <f aca="true" t="shared" si="2" ref="L9:L28">J9/D9*100</f>
        <v>38.750081011145554</v>
      </c>
    </row>
    <row r="10" spans="1:12" ht="12.75">
      <c r="A10" s="89" t="s">
        <v>171</v>
      </c>
      <c r="B10" s="89"/>
      <c r="C10" s="85" t="s">
        <v>172</v>
      </c>
      <c r="D10" s="86">
        <f aca="true" t="shared" si="3" ref="D10:D24">E10+F10+G10+H10</f>
        <v>33973.1</v>
      </c>
      <c r="E10" s="87">
        <v>6926.9</v>
      </c>
      <c r="F10" s="87">
        <v>11820.3</v>
      </c>
      <c r="G10" s="87">
        <v>8169.9</v>
      </c>
      <c r="H10" s="87">
        <v>7056</v>
      </c>
      <c r="I10" s="88">
        <f aca="true" t="shared" si="4" ref="I10:I20">E10+F10</f>
        <v>18747.199999999997</v>
      </c>
      <c r="J10" s="87">
        <v>14923.4</v>
      </c>
      <c r="K10" s="88">
        <f t="shared" si="1"/>
        <v>79.60335410087907</v>
      </c>
      <c r="L10" s="88">
        <f t="shared" si="2"/>
        <v>43.927107034683324</v>
      </c>
    </row>
    <row r="11" spans="1:12" ht="12.75">
      <c r="A11" s="89" t="s">
        <v>173</v>
      </c>
      <c r="B11" s="89"/>
      <c r="C11" s="85" t="s">
        <v>174</v>
      </c>
      <c r="D11" s="86">
        <f t="shared" si="3"/>
        <v>13072.8</v>
      </c>
      <c r="E11" s="87">
        <v>1875</v>
      </c>
      <c r="F11" s="87">
        <v>1865</v>
      </c>
      <c r="G11" s="87">
        <v>3050</v>
      </c>
      <c r="H11" s="87">
        <v>6282.8</v>
      </c>
      <c r="I11" s="88">
        <f t="shared" si="4"/>
        <v>3740</v>
      </c>
      <c r="J11" s="87">
        <v>6994.3</v>
      </c>
      <c r="K11" s="88">
        <f t="shared" si="1"/>
        <v>187.0133689839572</v>
      </c>
      <c r="L11" s="88">
        <f t="shared" si="2"/>
        <v>53.502692613671144</v>
      </c>
    </row>
    <row r="12" spans="1:12" ht="12.75">
      <c r="A12" s="89" t="s">
        <v>175</v>
      </c>
      <c r="B12" s="89"/>
      <c r="C12" s="85" t="s">
        <v>176</v>
      </c>
      <c r="D12" s="86">
        <f t="shared" si="3"/>
        <v>2897</v>
      </c>
      <c r="E12" s="87">
        <v>669</v>
      </c>
      <c r="F12" s="87">
        <v>673</v>
      </c>
      <c r="G12" s="87">
        <v>874</v>
      </c>
      <c r="H12" s="87">
        <v>681</v>
      </c>
      <c r="I12" s="88">
        <f t="shared" si="4"/>
        <v>1342</v>
      </c>
      <c r="J12" s="87">
        <v>1210.9</v>
      </c>
      <c r="K12" s="88">
        <f t="shared" si="1"/>
        <v>90.23099850968704</v>
      </c>
      <c r="L12" s="88">
        <f t="shared" si="2"/>
        <v>41.79841215050052</v>
      </c>
    </row>
    <row r="13" spans="1:12" ht="24">
      <c r="A13" s="89" t="s">
        <v>177</v>
      </c>
      <c r="B13" s="89"/>
      <c r="C13" s="85" t="s">
        <v>178</v>
      </c>
      <c r="D13" s="86">
        <f t="shared" si="3"/>
        <v>0</v>
      </c>
      <c r="E13" s="87"/>
      <c r="F13" s="87"/>
      <c r="G13" s="87"/>
      <c r="H13" s="87"/>
      <c r="I13" s="88">
        <f t="shared" si="4"/>
        <v>0</v>
      </c>
      <c r="J13" s="87"/>
      <c r="K13" s="88" t="e">
        <f t="shared" si="1"/>
        <v>#DIV/0!</v>
      </c>
      <c r="L13" s="88" t="e">
        <f t="shared" si="2"/>
        <v>#DIV/0!</v>
      </c>
    </row>
    <row r="14" spans="1:12" ht="24">
      <c r="A14" s="90" t="s">
        <v>179</v>
      </c>
      <c r="B14" s="91"/>
      <c r="C14" s="85" t="s">
        <v>180</v>
      </c>
      <c r="D14" s="86">
        <f t="shared" si="3"/>
        <v>59668.5</v>
      </c>
      <c r="E14" s="87">
        <v>15504.2</v>
      </c>
      <c r="F14" s="87">
        <v>14903.4</v>
      </c>
      <c r="G14" s="87">
        <v>14958.4</v>
      </c>
      <c r="H14" s="87">
        <v>14302.5</v>
      </c>
      <c r="I14" s="88">
        <f t="shared" si="4"/>
        <v>30407.6</v>
      </c>
      <c r="J14" s="87">
        <v>21933.7</v>
      </c>
      <c r="K14" s="88">
        <f t="shared" si="1"/>
        <v>72.13229587340008</v>
      </c>
      <c r="L14" s="88">
        <f t="shared" si="2"/>
        <v>36.759261586934485</v>
      </c>
    </row>
    <row r="15" spans="1:12" ht="12.75">
      <c r="A15" s="92" t="s">
        <v>181</v>
      </c>
      <c r="B15" s="92"/>
      <c r="C15" s="85" t="s">
        <v>182</v>
      </c>
      <c r="D15" s="86">
        <f t="shared" si="3"/>
        <v>13500</v>
      </c>
      <c r="E15" s="87">
        <v>5600</v>
      </c>
      <c r="F15" s="87">
        <v>2600</v>
      </c>
      <c r="G15" s="87">
        <v>2600</v>
      </c>
      <c r="H15" s="87">
        <v>2700</v>
      </c>
      <c r="I15" s="88">
        <f t="shared" si="4"/>
        <v>8200</v>
      </c>
      <c r="J15" s="87">
        <v>10383.8</v>
      </c>
      <c r="K15" s="88">
        <f t="shared" si="1"/>
        <v>126.63170731707316</v>
      </c>
      <c r="L15" s="88">
        <f t="shared" si="2"/>
        <v>76.91703703703703</v>
      </c>
    </row>
    <row r="16" spans="1:12" ht="12.75">
      <c r="A16" s="93" t="s">
        <v>183</v>
      </c>
      <c r="B16" s="93"/>
      <c r="C16" s="85" t="s">
        <v>184</v>
      </c>
      <c r="D16" s="86">
        <f t="shared" si="3"/>
        <v>1131</v>
      </c>
      <c r="E16" s="87">
        <v>248.8</v>
      </c>
      <c r="F16" s="87">
        <v>248.8</v>
      </c>
      <c r="G16" s="87">
        <v>271.4</v>
      </c>
      <c r="H16" s="87">
        <v>362</v>
      </c>
      <c r="I16" s="88">
        <f t="shared" si="4"/>
        <v>497.6</v>
      </c>
      <c r="J16" s="87">
        <v>8941.3</v>
      </c>
      <c r="K16" s="88">
        <f t="shared" si="1"/>
        <v>1796.8850482315108</v>
      </c>
      <c r="L16" s="88">
        <f t="shared" si="2"/>
        <v>790.5658709106984</v>
      </c>
    </row>
    <row r="17" spans="1:12" ht="12.75">
      <c r="A17" s="93" t="s">
        <v>185</v>
      </c>
      <c r="B17" s="93"/>
      <c r="C17" s="85" t="s">
        <v>186</v>
      </c>
      <c r="D17" s="86">
        <f t="shared" si="3"/>
        <v>5725</v>
      </c>
      <c r="E17" s="87">
        <f>1025.1+500</f>
        <v>1525.1</v>
      </c>
      <c r="F17" s="87">
        <f>600+700</f>
        <v>1300</v>
      </c>
      <c r="G17" s="87">
        <f>600+300</f>
        <v>900</v>
      </c>
      <c r="H17" s="87">
        <f>99.9+1900</f>
        <v>1999.9</v>
      </c>
      <c r="I17" s="88">
        <f t="shared" si="4"/>
        <v>2825.1</v>
      </c>
      <c r="J17" s="87">
        <v>3894.7</v>
      </c>
      <c r="K17" s="88">
        <f t="shared" si="1"/>
        <v>137.86060670418746</v>
      </c>
      <c r="L17" s="88">
        <f t="shared" si="2"/>
        <v>68.0296943231441</v>
      </c>
    </row>
    <row r="18" spans="1:12" ht="12.75">
      <c r="A18" s="93" t="s">
        <v>187</v>
      </c>
      <c r="B18" s="93"/>
      <c r="C18" s="85" t="s">
        <v>188</v>
      </c>
      <c r="D18" s="86">
        <f t="shared" si="3"/>
        <v>10</v>
      </c>
      <c r="E18" s="87">
        <v>1</v>
      </c>
      <c r="F18" s="87">
        <v>3</v>
      </c>
      <c r="G18" s="87">
        <v>3</v>
      </c>
      <c r="H18" s="87">
        <v>3</v>
      </c>
      <c r="I18" s="88">
        <f t="shared" si="4"/>
        <v>4</v>
      </c>
      <c r="J18" s="87">
        <v>6.4</v>
      </c>
      <c r="K18" s="88">
        <f t="shared" si="1"/>
        <v>160</v>
      </c>
      <c r="L18" s="88">
        <f t="shared" si="2"/>
        <v>64</v>
      </c>
    </row>
    <row r="19" spans="1:12" ht="12.75">
      <c r="A19" s="84" t="s">
        <v>189</v>
      </c>
      <c r="B19" s="84"/>
      <c r="C19" s="85" t="s">
        <v>190</v>
      </c>
      <c r="D19" s="86">
        <f t="shared" si="3"/>
        <v>3306.7000000000003</v>
      </c>
      <c r="E19" s="87">
        <v>817</v>
      </c>
      <c r="F19" s="87">
        <v>826.8</v>
      </c>
      <c r="G19" s="87">
        <v>828.5</v>
      </c>
      <c r="H19" s="87">
        <v>834.4</v>
      </c>
      <c r="I19" s="88">
        <f t="shared" si="4"/>
        <v>1643.8</v>
      </c>
      <c r="J19" s="87">
        <v>6382.1</v>
      </c>
      <c r="K19" s="88">
        <f t="shared" si="1"/>
        <v>388.25282881129095</v>
      </c>
      <c r="L19" s="88">
        <f t="shared" si="2"/>
        <v>193.00511083557626</v>
      </c>
    </row>
    <row r="20" spans="1:12" ht="12.75">
      <c r="A20" s="94" t="s">
        <v>191</v>
      </c>
      <c r="B20" s="95"/>
      <c r="C20" s="96" t="s">
        <v>192</v>
      </c>
      <c r="D20" s="86">
        <f t="shared" si="3"/>
        <v>0</v>
      </c>
      <c r="E20" s="87"/>
      <c r="F20" s="87"/>
      <c r="G20" s="87"/>
      <c r="H20" s="87"/>
      <c r="I20" s="88">
        <f t="shared" si="4"/>
        <v>0</v>
      </c>
      <c r="J20" s="87">
        <v>-489</v>
      </c>
      <c r="K20" s="88"/>
      <c r="L20" s="88"/>
    </row>
    <row r="21" spans="1:12" ht="12.75">
      <c r="A21" s="94" t="s">
        <v>193</v>
      </c>
      <c r="B21" s="95"/>
      <c r="C21" s="96" t="s">
        <v>194</v>
      </c>
      <c r="D21" s="86">
        <f t="shared" si="3"/>
        <v>0</v>
      </c>
      <c r="E21" s="87"/>
      <c r="F21" s="87"/>
      <c r="G21" s="87"/>
      <c r="H21" s="87"/>
      <c r="I21" s="88">
        <f>E21</f>
        <v>0</v>
      </c>
      <c r="J21" s="87"/>
      <c r="K21" s="88"/>
      <c r="L21" s="88"/>
    </row>
    <row r="22" spans="1:12" ht="12.75">
      <c r="A22" s="94" t="s">
        <v>195</v>
      </c>
      <c r="B22" s="95"/>
      <c r="C22" s="96" t="s">
        <v>196</v>
      </c>
      <c r="D22" s="86">
        <f t="shared" si="3"/>
        <v>0</v>
      </c>
      <c r="E22" s="87"/>
      <c r="F22" s="87"/>
      <c r="G22" s="87"/>
      <c r="H22" s="87"/>
      <c r="I22" s="88">
        <f>E22</f>
        <v>0</v>
      </c>
      <c r="J22" s="87"/>
      <c r="K22" s="83"/>
      <c r="L22" s="83"/>
    </row>
    <row r="23" spans="1:12" ht="12.75">
      <c r="A23" s="81" t="s">
        <v>197</v>
      </c>
      <c r="B23" s="81"/>
      <c r="C23" s="97" t="s">
        <v>198</v>
      </c>
      <c r="D23" s="98">
        <f>D24+D25+D27+D26</f>
        <v>3156777.2</v>
      </c>
      <c r="E23" s="98">
        <f aca="true" t="shared" si="5" ref="E23:J23">E24+E25+E27+E26</f>
        <v>586613.7000000001</v>
      </c>
      <c r="F23" s="98">
        <f t="shared" si="5"/>
        <v>1192242.2</v>
      </c>
      <c r="G23" s="98">
        <f t="shared" si="5"/>
        <v>687500.8</v>
      </c>
      <c r="H23" s="98">
        <f t="shared" si="5"/>
        <v>690420.5</v>
      </c>
      <c r="I23" s="98">
        <f t="shared" si="5"/>
        <v>1778855.9</v>
      </c>
      <c r="J23" s="98">
        <f t="shared" si="5"/>
        <v>866518</v>
      </c>
      <c r="K23" s="83">
        <f t="shared" si="1"/>
        <v>48.71209635361695</v>
      </c>
      <c r="L23" s="83">
        <f t="shared" si="2"/>
        <v>27.449450661263008</v>
      </c>
    </row>
    <row r="24" spans="1:12" ht="24">
      <c r="A24" s="99" t="s">
        <v>229</v>
      </c>
      <c r="B24" s="89"/>
      <c r="C24" s="100" t="s">
        <v>199</v>
      </c>
      <c r="D24" s="86">
        <f t="shared" si="3"/>
        <v>3131597.2</v>
      </c>
      <c r="E24" s="87">
        <f>574953.4+5365.3</f>
        <v>580318.7000000001</v>
      </c>
      <c r="F24" s="87">
        <f>1177524.2+8047.8+375.2</f>
        <v>1185947.2</v>
      </c>
      <c r="G24" s="87">
        <f>673962.8+7243</f>
        <v>681205.8</v>
      </c>
      <c r="H24" s="87">
        <f>677955.5+6170</f>
        <v>684125.5</v>
      </c>
      <c r="I24" s="88">
        <f>E24+F24</f>
        <v>1766265.9</v>
      </c>
      <c r="J24" s="87">
        <v>863446.5</v>
      </c>
      <c r="K24" s="83">
        <f t="shared" si="1"/>
        <v>48.88541980004257</v>
      </c>
      <c r="L24" s="83">
        <f t="shared" si="2"/>
        <v>27.572080470630127</v>
      </c>
    </row>
    <row r="25" spans="1:12" ht="12.75">
      <c r="A25" s="101" t="s">
        <v>200</v>
      </c>
      <c r="B25" s="101"/>
      <c r="C25" s="102" t="s">
        <v>201</v>
      </c>
      <c r="D25" s="86">
        <f>E25+F25+G25+H25</f>
        <v>25180</v>
      </c>
      <c r="E25" s="87">
        <v>6295</v>
      </c>
      <c r="F25" s="87">
        <v>6295</v>
      </c>
      <c r="G25" s="87">
        <v>6295</v>
      </c>
      <c r="H25" s="87">
        <v>6295</v>
      </c>
      <c r="I25" s="88">
        <f>E25+F25</f>
        <v>12590</v>
      </c>
      <c r="J25" s="87">
        <v>9337.5</v>
      </c>
      <c r="K25" s="88">
        <f t="shared" si="1"/>
        <v>74.16600476568705</v>
      </c>
      <c r="L25" s="88">
        <f t="shared" si="2"/>
        <v>37.083002382843524</v>
      </c>
    </row>
    <row r="26" spans="1:12" ht="54" customHeight="1">
      <c r="A26" s="99" t="s">
        <v>238</v>
      </c>
      <c r="B26" s="103" t="s">
        <v>202</v>
      </c>
      <c r="C26" s="104" t="s">
        <v>202</v>
      </c>
      <c r="D26" s="105">
        <f>E26+F26+G26+H26</f>
        <v>0</v>
      </c>
      <c r="E26" s="106"/>
      <c r="F26" s="106"/>
      <c r="G26" s="106"/>
      <c r="H26" s="106"/>
      <c r="I26" s="88">
        <f>E26+F26</f>
        <v>0</v>
      </c>
      <c r="J26" s="106">
        <v>21.4</v>
      </c>
      <c r="K26" s="107"/>
      <c r="L26" s="107"/>
    </row>
    <row r="27" spans="1:12" ht="24">
      <c r="A27" s="99" t="s">
        <v>230</v>
      </c>
      <c r="B27" s="108"/>
      <c r="C27" s="109" t="s">
        <v>203</v>
      </c>
      <c r="D27" s="105">
        <f>E27+F27+G27+H27</f>
        <v>0</v>
      </c>
      <c r="E27" s="106"/>
      <c r="F27" s="106"/>
      <c r="G27" s="106"/>
      <c r="H27" s="106"/>
      <c r="I27" s="88">
        <f>E27+F27</f>
        <v>0</v>
      </c>
      <c r="J27" s="106">
        <v>-6287.4</v>
      </c>
      <c r="K27" s="110"/>
      <c r="L27" s="110"/>
    </row>
    <row r="28" spans="1:12" ht="12.75">
      <c r="A28" s="84"/>
      <c r="B28" s="111"/>
      <c r="C28" s="112" t="s">
        <v>204</v>
      </c>
      <c r="D28" s="113">
        <f aca="true" t="shared" si="6" ref="D28:J28">D23+D8</f>
        <v>3796164.5</v>
      </c>
      <c r="E28" s="113">
        <f t="shared" si="6"/>
        <v>735063.4</v>
      </c>
      <c r="F28" s="113">
        <f t="shared" si="6"/>
        <v>1351833.5999999999</v>
      </c>
      <c r="G28" s="113">
        <f t="shared" si="6"/>
        <v>837670.8</v>
      </c>
      <c r="H28" s="113">
        <f t="shared" si="6"/>
        <v>871596.7</v>
      </c>
      <c r="I28" s="113">
        <f t="shared" si="6"/>
        <v>2086896.9999999998</v>
      </c>
      <c r="J28" s="113">
        <f t="shared" si="6"/>
        <v>1136815</v>
      </c>
      <c r="K28" s="83">
        <f t="shared" si="1"/>
        <v>54.47393905880358</v>
      </c>
      <c r="L28" s="83">
        <f t="shared" si="2"/>
        <v>29.946410383427803</v>
      </c>
    </row>
    <row r="29" spans="1:12" ht="12.75">
      <c r="A29" s="149"/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1"/>
    </row>
    <row r="30" spans="1:12" ht="12.75">
      <c r="A30" s="146" t="s">
        <v>205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8"/>
    </row>
    <row r="31" spans="1:12" ht="12.75">
      <c r="A31" s="114" t="s">
        <v>168</v>
      </c>
      <c r="B31" s="114"/>
      <c r="C31" s="115" t="s">
        <v>237</v>
      </c>
      <c r="D31" s="116">
        <f>D32+D33+D35+D36+D34</f>
        <v>14779.5</v>
      </c>
      <c r="E31" s="116">
        <f>E32+E33+E34+E35+E36+E37</f>
        <v>3694.7999999999997</v>
      </c>
      <c r="F31" s="116">
        <f>F32+F33+F34+F35+F36+F37</f>
        <v>3694.7999999999997</v>
      </c>
      <c r="G31" s="116">
        <f>G32+G33+G34+G35+G36+G37</f>
        <v>3694.7999999999997</v>
      </c>
      <c r="H31" s="116">
        <f>H32+H33+H34+H35+H36+H37</f>
        <v>3695.1000000000004</v>
      </c>
      <c r="I31" s="116">
        <f>I32+I33+I34+I35+I36+I37</f>
        <v>7389.599999999999</v>
      </c>
      <c r="J31" s="116">
        <f>J32+J33+J35+J36+J34+J37</f>
        <v>4436.8</v>
      </c>
      <c r="K31" s="83">
        <f>J31/I31*100</f>
        <v>60.041138897910585</v>
      </c>
      <c r="L31" s="83">
        <f>J31/D31*100</f>
        <v>30.01996007984032</v>
      </c>
    </row>
    <row r="32" spans="1:12" ht="12.75">
      <c r="A32" s="89" t="s">
        <v>169</v>
      </c>
      <c r="B32" s="89"/>
      <c r="C32" s="117" t="s">
        <v>170</v>
      </c>
      <c r="D32" s="86">
        <f>E32+F32+G32+H32</f>
        <v>10761</v>
      </c>
      <c r="E32" s="87">
        <f>2689.7+0.5</f>
        <v>2690.2</v>
      </c>
      <c r="F32" s="118">
        <f>2689.7+0.5</f>
        <v>2690.2</v>
      </c>
      <c r="G32" s="118">
        <f>2689.8+0.5</f>
        <v>2690.3</v>
      </c>
      <c r="H32" s="118">
        <f>2689.8+0.5</f>
        <v>2690.3</v>
      </c>
      <c r="I32" s="88">
        <f aca="true" t="shared" si="7" ref="I32:I39">E32+F32</f>
        <v>5380.4</v>
      </c>
      <c r="J32" s="118">
        <v>3847.5</v>
      </c>
      <c r="K32" s="88">
        <f aca="true" t="shared" si="8" ref="K32:K40">J32/I32*100</f>
        <v>71.50955319307116</v>
      </c>
      <c r="L32" s="88">
        <f aca="true" t="shared" si="9" ref="L32:L40">J32/D32*100</f>
        <v>35.75411207136883</v>
      </c>
    </row>
    <row r="33" spans="1:12" ht="12.75">
      <c r="A33" s="89" t="s">
        <v>173</v>
      </c>
      <c r="B33" s="89"/>
      <c r="C33" s="85" t="s">
        <v>174</v>
      </c>
      <c r="D33" s="86">
        <f aca="true" t="shared" si="10" ref="D33:D39">E33+F33+G33+H33</f>
        <v>1060</v>
      </c>
      <c r="E33" s="87">
        <f>40+7.5+217.5</f>
        <v>265</v>
      </c>
      <c r="F33" s="87">
        <v>265</v>
      </c>
      <c r="G33" s="87">
        <v>265</v>
      </c>
      <c r="H33" s="118">
        <v>265</v>
      </c>
      <c r="I33" s="88">
        <f t="shared" si="7"/>
        <v>530</v>
      </c>
      <c r="J33" s="87">
        <v>16.8</v>
      </c>
      <c r="K33" s="88">
        <f t="shared" si="8"/>
        <v>3.169811320754717</v>
      </c>
      <c r="L33" s="88">
        <f t="shared" si="9"/>
        <v>1.5849056603773586</v>
      </c>
    </row>
    <row r="34" spans="1:12" ht="12.75">
      <c r="A34" s="89" t="s">
        <v>175</v>
      </c>
      <c r="B34" s="89"/>
      <c r="C34" s="85" t="s">
        <v>176</v>
      </c>
      <c r="D34" s="86">
        <f t="shared" si="10"/>
        <v>23</v>
      </c>
      <c r="E34" s="87">
        <v>5.8</v>
      </c>
      <c r="F34" s="87">
        <v>5.7</v>
      </c>
      <c r="G34" s="87">
        <v>5.7</v>
      </c>
      <c r="H34" s="118">
        <v>5.8</v>
      </c>
      <c r="I34" s="88">
        <f t="shared" si="7"/>
        <v>11.5</v>
      </c>
      <c r="J34" s="87">
        <v>9.7</v>
      </c>
      <c r="K34" s="88">
        <f t="shared" si="8"/>
        <v>84.34782608695652</v>
      </c>
      <c r="L34" s="88">
        <f t="shared" si="9"/>
        <v>42.17391304347826</v>
      </c>
    </row>
    <row r="35" spans="1:12" ht="24">
      <c r="A35" s="90" t="s">
        <v>179</v>
      </c>
      <c r="B35" s="91"/>
      <c r="C35" s="85" t="s">
        <v>180</v>
      </c>
      <c r="D35" s="86">
        <f t="shared" si="10"/>
        <v>2907</v>
      </c>
      <c r="E35" s="87">
        <f>725+1.7</f>
        <v>726.7</v>
      </c>
      <c r="F35" s="87">
        <f>725+1.8</f>
        <v>726.8</v>
      </c>
      <c r="G35" s="87">
        <f>725+1.7</f>
        <v>726.7</v>
      </c>
      <c r="H35" s="118">
        <f>725+1.8</f>
        <v>726.8</v>
      </c>
      <c r="I35" s="88">
        <f t="shared" si="7"/>
        <v>1453.5</v>
      </c>
      <c r="J35" s="87">
        <v>264.8</v>
      </c>
      <c r="K35" s="88">
        <f>J35/I35*100</f>
        <v>18.21809425524596</v>
      </c>
      <c r="L35" s="88">
        <f t="shared" si="9"/>
        <v>9.10904712762298</v>
      </c>
    </row>
    <row r="36" spans="1:12" ht="12.75">
      <c r="A36" s="92" t="s">
        <v>185</v>
      </c>
      <c r="B36" s="92"/>
      <c r="C36" s="85" t="s">
        <v>186</v>
      </c>
      <c r="D36" s="86">
        <f t="shared" si="10"/>
        <v>28.499999999999996</v>
      </c>
      <c r="E36" s="87">
        <v>7.1</v>
      </c>
      <c r="F36" s="87">
        <v>7.1</v>
      </c>
      <c r="G36" s="87">
        <v>7.1</v>
      </c>
      <c r="H36" s="118">
        <v>7.2</v>
      </c>
      <c r="I36" s="88">
        <f t="shared" si="7"/>
        <v>14.2</v>
      </c>
      <c r="J36" s="87">
        <v>14.9</v>
      </c>
      <c r="K36" s="88">
        <f>J36/I36*100</f>
        <v>104.92957746478875</v>
      </c>
      <c r="L36" s="88">
        <f t="shared" si="9"/>
        <v>52.28070175438597</v>
      </c>
    </row>
    <row r="37" spans="1:12" ht="12.75">
      <c r="A37" s="94" t="s">
        <v>191</v>
      </c>
      <c r="B37" s="95"/>
      <c r="C37" s="96" t="s">
        <v>192</v>
      </c>
      <c r="D37" s="86">
        <f t="shared" si="10"/>
        <v>0</v>
      </c>
      <c r="E37" s="87"/>
      <c r="F37" s="87"/>
      <c r="G37" s="87"/>
      <c r="H37" s="87"/>
      <c r="I37" s="88">
        <f t="shared" si="7"/>
        <v>0</v>
      </c>
      <c r="J37" s="87">
        <v>283.1</v>
      </c>
      <c r="K37" s="88"/>
      <c r="L37" s="88"/>
    </row>
    <row r="38" spans="1:12" ht="12.75">
      <c r="A38" s="81" t="s">
        <v>197</v>
      </c>
      <c r="B38" s="81"/>
      <c r="C38" s="97" t="s">
        <v>198</v>
      </c>
      <c r="D38" s="98">
        <f>D39</f>
        <v>4986.2</v>
      </c>
      <c r="E38" s="98">
        <f aca="true" t="shared" si="11" ref="E38:K38">E39</f>
        <v>1246.6</v>
      </c>
      <c r="F38" s="98">
        <f t="shared" si="11"/>
        <v>1246.5</v>
      </c>
      <c r="G38" s="98">
        <f t="shared" si="11"/>
        <v>1246.6</v>
      </c>
      <c r="H38" s="98">
        <f t="shared" si="11"/>
        <v>1246.5</v>
      </c>
      <c r="I38" s="98">
        <f t="shared" si="11"/>
        <v>2493.1</v>
      </c>
      <c r="J38" s="98">
        <f t="shared" si="11"/>
        <v>1100.8</v>
      </c>
      <c r="K38" s="98">
        <f t="shared" si="11"/>
        <v>44.15386466647948</v>
      </c>
      <c r="L38" s="83">
        <f>J38/D38*100</f>
        <v>22.07693233323974</v>
      </c>
    </row>
    <row r="39" spans="1:12" ht="24">
      <c r="A39" s="99" t="s">
        <v>229</v>
      </c>
      <c r="B39" s="89"/>
      <c r="C39" s="100" t="s">
        <v>199</v>
      </c>
      <c r="D39" s="86">
        <f t="shared" si="10"/>
        <v>4986.2</v>
      </c>
      <c r="E39" s="119">
        <f>615.6+43.3+305.1+115.8+70.5+96.3</f>
        <v>1246.6</v>
      </c>
      <c r="F39" s="87">
        <v>1246.5</v>
      </c>
      <c r="G39" s="87">
        <v>1246.6</v>
      </c>
      <c r="H39" s="87">
        <v>1246.5</v>
      </c>
      <c r="I39" s="88">
        <f t="shared" si="7"/>
        <v>2493.1</v>
      </c>
      <c r="J39" s="87">
        <v>1100.8</v>
      </c>
      <c r="K39" s="88">
        <f>J39/I39*100</f>
        <v>44.15386466647948</v>
      </c>
      <c r="L39" s="88">
        <f>J39/D39*100</f>
        <v>22.07693233323974</v>
      </c>
    </row>
    <row r="40" spans="1:12" ht="12.75">
      <c r="A40" s="84"/>
      <c r="B40" s="111"/>
      <c r="C40" s="112" t="s">
        <v>204</v>
      </c>
      <c r="D40" s="113">
        <f aca="true" t="shared" si="12" ref="D40:J40">D38+D31</f>
        <v>19765.7</v>
      </c>
      <c r="E40" s="113">
        <f t="shared" si="12"/>
        <v>4941.4</v>
      </c>
      <c r="F40" s="113">
        <f t="shared" si="12"/>
        <v>4941.299999999999</v>
      </c>
      <c r="G40" s="113">
        <f t="shared" si="12"/>
        <v>4941.4</v>
      </c>
      <c r="H40" s="113">
        <f t="shared" si="12"/>
        <v>4941.6</v>
      </c>
      <c r="I40" s="113">
        <f t="shared" si="12"/>
        <v>9882.699999999999</v>
      </c>
      <c r="J40" s="113">
        <f t="shared" si="12"/>
        <v>5537.6</v>
      </c>
      <c r="K40" s="83">
        <f t="shared" si="8"/>
        <v>56.03327026015159</v>
      </c>
      <c r="L40" s="83">
        <f t="shared" si="9"/>
        <v>28.016209898966395</v>
      </c>
    </row>
    <row r="41" spans="1:12" ht="12.75">
      <c r="A41" s="120"/>
      <c r="B41" s="121"/>
      <c r="C41" s="154"/>
      <c r="D41" s="154"/>
      <c r="E41" s="154"/>
      <c r="F41" s="154"/>
      <c r="G41" s="154"/>
      <c r="H41" s="154"/>
      <c r="I41" s="154"/>
      <c r="J41" s="154"/>
      <c r="K41" s="154"/>
      <c r="L41" s="155"/>
    </row>
    <row r="42" spans="1:12" ht="12.75">
      <c r="A42" s="146" t="s">
        <v>206</v>
      </c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8"/>
    </row>
    <row r="43" spans="1:12" ht="12.75">
      <c r="A43" s="81" t="s">
        <v>168</v>
      </c>
      <c r="B43" s="81"/>
      <c r="C43" s="82" t="s">
        <v>237</v>
      </c>
      <c r="D43" s="83">
        <f>D44+D46+D48+D49+D50+D51+D47+D45</f>
        <v>12257.8</v>
      </c>
      <c r="E43" s="83">
        <f aca="true" t="shared" si="13" ref="E43:J43">E44+E46+E48+E49+E50+E51+E47+E45</f>
        <v>3064.2000000000003</v>
      </c>
      <c r="F43" s="83">
        <f t="shared" si="13"/>
        <v>3064.1</v>
      </c>
      <c r="G43" s="83">
        <f t="shared" si="13"/>
        <v>3064.3</v>
      </c>
      <c r="H43" s="83">
        <f t="shared" si="13"/>
        <v>3065.2</v>
      </c>
      <c r="I43" s="83">
        <f t="shared" si="13"/>
        <v>6128.3</v>
      </c>
      <c r="J43" s="83">
        <f t="shared" si="13"/>
        <v>3904.1</v>
      </c>
      <c r="K43" s="83">
        <f>J43/I43*100</f>
        <v>63.706084884878344</v>
      </c>
      <c r="L43" s="83">
        <f>J43/D43*100</f>
        <v>31.849924129941755</v>
      </c>
    </row>
    <row r="44" spans="1:12" ht="12.75">
      <c r="A44" s="84" t="s">
        <v>169</v>
      </c>
      <c r="B44" s="89"/>
      <c r="C44" s="117" t="s">
        <v>170</v>
      </c>
      <c r="D44" s="86">
        <f aca="true" t="shared" si="14" ref="D44:D51">E44+F44+G44+H44</f>
        <v>10027.8</v>
      </c>
      <c r="E44" s="87">
        <f>2496.9+6+3.7</f>
        <v>2506.6</v>
      </c>
      <c r="F44" s="118">
        <f>2496.9+6+3.8</f>
        <v>2506.7000000000003</v>
      </c>
      <c r="G44" s="118">
        <f>2506.7</f>
        <v>2506.7</v>
      </c>
      <c r="H44" s="118">
        <f>2507.8</f>
        <v>2507.8</v>
      </c>
      <c r="I44" s="88">
        <f aca="true" t="shared" si="15" ref="I44:I54">E44+F44</f>
        <v>5013.3</v>
      </c>
      <c r="J44" s="118">
        <v>3324.7</v>
      </c>
      <c r="K44" s="88">
        <f aca="true" t="shared" si="16" ref="K44:K55">J44/I44*100</f>
        <v>66.31759519677657</v>
      </c>
      <c r="L44" s="88">
        <f aca="true" t="shared" si="17" ref="L44:L55">J44/D44*100</f>
        <v>33.15482957378488</v>
      </c>
    </row>
    <row r="45" spans="1:12" ht="12.75">
      <c r="A45" s="89" t="s">
        <v>171</v>
      </c>
      <c r="B45" s="89"/>
      <c r="C45" s="85" t="s">
        <v>172</v>
      </c>
      <c r="D45" s="86">
        <f t="shared" si="14"/>
        <v>6</v>
      </c>
      <c r="E45" s="87">
        <v>1.5</v>
      </c>
      <c r="F45" s="118">
        <v>1.5</v>
      </c>
      <c r="G45" s="118">
        <v>1.5</v>
      </c>
      <c r="H45" s="118">
        <v>1.5</v>
      </c>
      <c r="I45" s="88">
        <f t="shared" si="15"/>
        <v>3</v>
      </c>
      <c r="J45" s="118">
        <v>7.1</v>
      </c>
      <c r="K45" s="88">
        <f>J45/I45*100</f>
        <v>236.66666666666666</v>
      </c>
      <c r="L45" s="88">
        <f>J45/D45*100</f>
        <v>118.33333333333333</v>
      </c>
    </row>
    <row r="46" spans="1:12" ht="12.75">
      <c r="A46" s="89" t="s">
        <v>173</v>
      </c>
      <c r="B46" s="89"/>
      <c r="C46" s="85" t="s">
        <v>174</v>
      </c>
      <c r="D46" s="86">
        <f t="shared" si="14"/>
        <v>1630</v>
      </c>
      <c r="E46" s="87">
        <f>82.5+75+250</f>
        <v>407.5</v>
      </c>
      <c r="F46" s="87">
        <v>407.5</v>
      </c>
      <c r="G46" s="87">
        <v>407.5</v>
      </c>
      <c r="H46" s="118">
        <v>407.5</v>
      </c>
      <c r="I46" s="88">
        <f t="shared" si="15"/>
        <v>815</v>
      </c>
      <c r="J46" s="87">
        <v>336.5</v>
      </c>
      <c r="K46" s="88">
        <f t="shared" si="16"/>
        <v>41.28834355828221</v>
      </c>
      <c r="L46" s="88">
        <f t="shared" si="17"/>
        <v>20.644171779141104</v>
      </c>
    </row>
    <row r="47" spans="1:12" ht="12.75">
      <c r="A47" s="89" t="s">
        <v>175</v>
      </c>
      <c r="B47" s="89"/>
      <c r="C47" s="85" t="s">
        <v>176</v>
      </c>
      <c r="D47" s="86">
        <f t="shared" si="14"/>
        <v>0</v>
      </c>
      <c r="E47" s="87"/>
      <c r="F47" s="87"/>
      <c r="G47" s="87"/>
      <c r="H47" s="118"/>
      <c r="I47" s="88">
        <f t="shared" si="15"/>
        <v>0</v>
      </c>
      <c r="J47" s="87"/>
      <c r="K47" s="88"/>
      <c r="L47" s="88"/>
    </row>
    <row r="48" spans="1:12" ht="24">
      <c r="A48" s="90" t="s">
        <v>179</v>
      </c>
      <c r="B48" s="91"/>
      <c r="C48" s="85" t="s">
        <v>180</v>
      </c>
      <c r="D48" s="86">
        <f t="shared" si="14"/>
        <v>465</v>
      </c>
      <c r="E48" s="87">
        <f>66.3+50</f>
        <v>116.3</v>
      </c>
      <c r="F48" s="87">
        <f>66.2+50</f>
        <v>116.2</v>
      </c>
      <c r="G48" s="87">
        <v>116.3</v>
      </c>
      <c r="H48" s="118">
        <f>116.2</f>
        <v>116.2</v>
      </c>
      <c r="I48" s="88">
        <f t="shared" si="15"/>
        <v>232.5</v>
      </c>
      <c r="J48" s="87">
        <v>141.3</v>
      </c>
      <c r="K48" s="88">
        <f t="shared" si="16"/>
        <v>60.7741935483871</v>
      </c>
      <c r="L48" s="88">
        <f t="shared" si="17"/>
        <v>30.38709677419355</v>
      </c>
    </row>
    <row r="49" spans="1:12" ht="12.75">
      <c r="A49" s="93" t="s">
        <v>185</v>
      </c>
      <c r="B49" s="93"/>
      <c r="C49" s="85" t="s">
        <v>186</v>
      </c>
      <c r="D49" s="86">
        <f t="shared" si="14"/>
        <v>129</v>
      </c>
      <c r="E49" s="87">
        <v>32.3</v>
      </c>
      <c r="F49" s="87">
        <v>32.2</v>
      </c>
      <c r="G49" s="87">
        <v>32.3</v>
      </c>
      <c r="H49" s="118">
        <v>32.2</v>
      </c>
      <c r="I49" s="88">
        <f t="shared" si="15"/>
        <v>64.5</v>
      </c>
      <c r="J49" s="87">
        <v>75</v>
      </c>
      <c r="K49" s="88">
        <f t="shared" si="16"/>
        <v>116.27906976744187</v>
      </c>
      <c r="L49" s="88">
        <f t="shared" si="17"/>
        <v>58.139534883720934</v>
      </c>
    </row>
    <row r="50" spans="1:12" ht="12.75">
      <c r="A50" s="84" t="s">
        <v>189</v>
      </c>
      <c r="B50" s="84"/>
      <c r="C50" s="85" t="s">
        <v>190</v>
      </c>
      <c r="D50" s="86">
        <f t="shared" si="14"/>
        <v>0</v>
      </c>
      <c r="E50" s="87"/>
      <c r="F50" s="87"/>
      <c r="G50" s="87"/>
      <c r="H50" s="118"/>
      <c r="I50" s="88">
        <f t="shared" si="15"/>
        <v>0</v>
      </c>
      <c r="J50" s="87"/>
      <c r="K50" s="83"/>
      <c r="L50" s="83"/>
    </row>
    <row r="51" spans="1:12" ht="12.75">
      <c r="A51" s="122" t="s">
        <v>191</v>
      </c>
      <c r="B51" s="95"/>
      <c r="C51" s="96" t="s">
        <v>192</v>
      </c>
      <c r="D51" s="86">
        <f t="shared" si="14"/>
        <v>0</v>
      </c>
      <c r="E51" s="87"/>
      <c r="F51" s="87"/>
      <c r="G51" s="87"/>
      <c r="H51" s="118"/>
      <c r="I51" s="88">
        <f t="shared" si="15"/>
        <v>0</v>
      </c>
      <c r="J51" s="87">
        <v>19.5</v>
      </c>
      <c r="K51" s="83"/>
      <c r="L51" s="83"/>
    </row>
    <row r="52" spans="1:12" ht="12.75">
      <c r="A52" s="114" t="s">
        <v>197</v>
      </c>
      <c r="B52" s="114"/>
      <c r="C52" s="97" t="s">
        <v>198</v>
      </c>
      <c r="D52" s="98">
        <f aca="true" t="shared" si="18" ref="D52:J52">D53+D54</f>
        <v>26984.3</v>
      </c>
      <c r="E52" s="98">
        <f t="shared" si="18"/>
        <v>9694.4</v>
      </c>
      <c r="F52" s="98">
        <f t="shared" si="18"/>
        <v>5763.3</v>
      </c>
      <c r="G52" s="98">
        <f t="shared" si="18"/>
        <v>5763.3</v>
      </c>
      <c r="H52" s="98">
        <f t="shared" si="18"/>
        <v>5763.3</v>
      </c>
      <c r="I52" s="98">
        <f t="shared" si="18"/>
        <v>15457.7</v>
      </c>
      <c r="J52" s="98">
        <f t="shared" si="18"/>
        <v>6664.7</v>
      </c>
      <c r="K52" s="83">
        <f t="shared" si="16"/>
        <v>43.11572873066497</v>
      </c>
      <c r="L52" s="83">
        <f t="shared" si="17"/>
        <v>24.69843575708838</v>
      </c>
    </row>
    <row r="53" spans="1:12" ht="24">
      <c r="A53" s="99" t="s">
        <v>229</v>
      </c>
      <c r="B53" s="89"/>
      <c r="C53" s="100" t="s">
        <v>199</v>
      </c>
      <c r="D53" s="86">
        <f>E53+F53+G53+H53</f>
        <v>26984.3</v>
      </c>
      <c r="E53" s="87">
        <f>5763.3+3096.4+655.4+179.3</f>
        <v>9694.4</v>
      </c>
      <c r="F53" s="87">
        <v>5763.3</v>
      </c>
      <c r="G53" s="87">
        <v>5763.3</v>
      </c>
      <c r="H53" s="87">
        <v>5763.3</v>
      </c>
      <c r="I53" s="88">
        <f t="shared" si="15"/>
        <v>15457.7</v>
      </c>
      <c r="J53" s="87">
        <v>6666.4</v>
      </c>
      <c r="K53" s="88">
        <f t="shared" si="16"/>
        <v>43.12672648582907</v>
      </c>
      <c r="L53" s="88">
        <f t="shared" si="17"/>
        <v>24.704735716694522</v>
      </c>
    </row>
    <row r="54" spans="1:12" ht="24">
      <c r="A54" s="99" t="s">
        <v>230</v>
      </c>
      <c r="B54" s="123"/>
      <c r="C54" s="124" t="s">
        <v>203</v>
      </c>
      <c r="D54" s="86">
        <f>E54+F54+G54+H54</f>
        <v>0</v>
      </c>
      <c r="E54" s="125"/>
      <c r="F54" s="125"/>
      <c r="G54" s="125"/>
      <c r="H54" s="125"/>
      <c r="I54" s="88">
        <f t="shared" si="15"/>
        <v>0</v>
      </c>
      <c r="J54" s="87">
        <v>-1.7</v>
      </c>
      <c r="K54" s="88"/>
      <c r="L54" s="88"/>
    </row>
    <row r="55" spans="1:12" ht="12.75">
      <c r="A55" s="91"/>
      <c r="B55" s="126"/>
      <c r="C55" s="127" t="s">
        <v>204</v>
      </c>
      <c r="D55" s="128">
        <f aca="true" t="shared" si="19" ref="D55:J55">D52+D43</f>
        <v>39242.1</v>
      </c>
      <c r="E55" s="128">
        <f t="shared" si="19"/>
        <v>12758.6</v>
      </c>
      <c r="F55" s="128">
        <f t="shared" si="19"/>
        <v>8827.4</v>
      </c>
      <c r="G55" s="128">
        <f t="shared" si="19"/>
        <v>8827.6</v>
      </c>
      <c r="H55" s="128">
        <f t="shared" si="19"/>
        <v>8828.5</v>
      </c>
      <c r="I55" s="128">
        <f t="shared" si="19"/>
        <v>21586</v>
      </c>
      <c r="J55" s="128">
        <f t="shared" si="19"/>
        <v>10568.8</v>
      </c>
      <c r="K55" s="83">
        <f t="shared" si="16"/>
        <v>48.96136384693783</v>
      </c>
      <c r="L55" s="83">
        <f t="shared" si="17"/>
        <v>26.93229974950372</v>
      </c>
    </row>
    <row r="56" spans="1:12" ht="12.75">
      <c r="A56" s="149"/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1"/>
    </row>
    <row r="57" spans="1:12" ht="12.75">
      <c r="A57" s="146" t="s">
        <v>207</v>
      </c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8"/>
    </row>
    <row r="58" spans="1:12" ht="12.75">
      <c r="A58" s="81" t="s">
        <v>168</v>
      </c>
      <c r="B58" s="81"/>
      <c r="C58" s="82" t="s">
        <v>237</v>
      </c>
      <c r="D58" s="83">
        <f aca="true" t="shared" si="20" ref="D58:I58">D59+D61+D63+D64+D62+D66+D65+D60</f>
        <v>33164.2</v>
      </c>
      <c r="E58" s="83">
        <f t="shared" si="20"/>
        <v>6455.4</v>
      </c>
      <c r="F58" s="83">
        <f t="shared" si="20"/>
        <v>9168.800000000001</v>
      </c>
      <c r="G58" s="83">
        <f t="shared" si="20"/>
        <v>6437.700000000001</v>
      </c>
      <c r="H58" s="83">
        <f t="shared" si="20"/>
        <v>11102.300000000001</v>
      </c>
      <c r="I58" s="83">
        <f t="shared" si="20"/>
        <v>15624.2</v>
      </c>
      <c r="J58" s="83">
        <f>J59+J61+J63+J64+J62+J66+J65+J60</f>
        <v>9050.200000000003</v>
      </c>
      <c r="K58" s="83">
        <f>J58/I58*100</f>
        <v>57.92424572138095</v>
      </c>
      <c r="L58" s="83">
        <f>J58/D58*100</f>
        <v>27.289064714360677</v>
      </c>
    </row>
    <row r="59" spans="1:12" ht="12.75">
      <c r="A59" s="84" t="s">
        <v>169</v>
      </c>
      <c r="B59" s="84"/>
      <c r="C59" s="85" t="s">
        <v>170</v>
      </c>
      <c r="D59" s="86">
        <f aca="true" t="shared" si="21" ref="D59:D66">E59+F59+G59+H59</f>
        <v>18043.7</v>
      </c>
      <c r="E59" s="87">
        <f>3076.9+7.5+1</f>
        <v>3085.4</v>
      </c>
      <c r="F59" s="87">
        <f>4697.7+39+57</f>
        <v>4793.7</v>
      </c>
      <c r="G59" s="87">
        <f>3401+218</f>
        <v>3619</v>
      </c>
      <c r="H59" s="87">
        <f>6518.1+3.5+24</f>
        <v>6545.6</v>
      </c>
      <c r="I59" s="88">
        <f aca="true" t="shared" si="22" ref="I59:I68">E59+F59</f>
        <v>7879.1</v>
      </c>
      <c r="J59" s="87">
        <v>4538</v>
      </c>
      <c r="K59" s="88">
        <f aca="true" t="shared" si="23" ref="K59:K68">J59/I59*100</f>
        <v>57.59541064334759</v>
      </c>
      <c r="L59" s="88">
        <f aca="true" t="shared" si="24" ref="L59:L70">J59/D59*100</f>
        <v>25.150052372850357</v>
      </c>
    </row>
    <row r="60" spans="1:12" ht="12.75">
      <c r="A60" s="89" t="s">
        <v>171</v>
      </c>
      <c r="B60" s="89"/>
      <c r="C60" s="85" t="s">
        <v>172</v>
      </c>
      <c r="D60" s="86">
        <f t="shared" si="21"/>
        <v>6.5</v>
      </c>
      <c r="E60" s="87"/>
      <c r="F60" s="87">
        <v>6.5</v>
      </c>
      <c r="G60" s="87"/>
      <c r="H60" s="87"/>
      <c r="I60" s="88">
        <f t="shared" si="22"/>
        <v>6.5</v>
      </c>
      <c r="J60" s="87">
        <v>18.7</v>
      </c>
      <c r="K60" s="88">
        <f t="shared" si="23"/>
        <v>287.6923076923077</v>
      </c>
      <c r="L60" s="88">
        <f>J60/D60*100</f>
        <v>287.6923076923077</v>
      </c>
    </row>
    <row r="61" spans="1:12" ht="12.75">
      <c r="A61" s="89" t="s">
        <v>173</v>
      </c>
      <c r="B61" s="89"/>
      <c r="C61" s="85" t="s">
        <v>174</v>
      </c>
      <c r="D61" s="86">
        <f t="shared" si="21"/>
        <v>8054</v>
      </c>
      <c r="E61" s="87">
        <f>56.9+88.8+2231.6</f>
        <v>2377.2999999999997</v>
      </c>
      <c r="F61" s="87">
        <f>92+112.5+2390</f>
        <v>2594.5</v>
      </c>
      <c r="G61" s="87">
        <f>295.1+193+1170</f>
        <v>1658.1</v>
      </c>
      <c r="H61" s="87">
        <f>486+150.7+787.4</f>
        <v>1424.1</v>
      </c>
      <c r="I61" s="88">
        <f t="shared" si="22"/>
        <v>4971.799999999999</v>
      </c>
      <c r="J61" s="87">
        <v>2989.3</v>
      </c>
      <c r="K61" s="88">
        <f t="shared" si="23"/>
        <v>60.12510559555897</v>
      </c>
      <c r="L61" s="88">
        <f t="shared" si="24"/>
        <v>37.11571889744227</v>
      </c>
    </row>
    <row r="62" spans="1:12" ht="12.75">
      <c r="A62" s="89" t="s">
        <v>175</v>
      </c>
      <c r="B62" s="89"/>
      <c r="C62" s="85" t="s">
        <v>176</v>
      </c>
      <c r="D62" s="86">
        <f t="shared" si="21"/>
        <v>0</v>
      </c>
      <c r="E62" s="87"/>
      <c r="F62" s="87"/>
      <c r="G62" s="87"/>
      <c r="H62" s="87"/>
      <c r="I62" s="88">
        <f t="shared" si="22"/>
        <v>0</v>
      </c>
      <c r="J62" s="87">
        <v>2.6</v>
      </c>
      <c r="K62" s="88"/>
      <c r="L62" s="88"/>
    </row>
    <row r="63" spans="1:12" ht="24">
      <c r="A63" s="90" t="s">
        <v>179</v>
      </c>
      <c r="B63" s="91"/>
      <c r="C63" s="85" t="s">
        <v>180</v>
      </c>
      <c r="D63" s="86">
        <f t="shared" si="21"/>
        <v>6623.5</v>
      </c>
      <c r="E63" s="87">
        <f>933.3+8</f>
        <v>941.3</v>
      </c>
      <c r="F63" s="87">
        <f>1670+32.5</f>
        <v>1702.5</v>
      </c>
      <c r="G63" s="87">
        <f>890+9.5</f>
        <v>899.5</v>
      </c>
      <c r="H63" s="87">
        <f>3060.2+20</f>
        <v>3080.2</v>
      </c>
      <c r="I63" s="88">
        <f t="shared" si="22"/>
        <v>2643.8</v>
      </c>
      <c r="J63" s="87">
        <v>644.6</v>
      </c>
      <c r="K63" s="88">
        <f t="shared" si="23"/>
        <v>24.381571979726154</v>
      </c>
      <c r="L63" s="88">
        <f t="shared" si="24"/>
        <v>9.732014795802824</v>
      </c>
    </row>
    <row r="64" spans="1:12" ht="12.75">
      <c r="A64" s="92" t="s">
        <v>185</v>
      </c>
      <c r="B64" s="92"/>
      <c r="C64" s="85" t="s">
        <v>186</v>
      </c>
      <c r="D64" s="86">
        <f t="shared" si="21"/>
        <v>436.5</v>
      </c>
      <c r="E64" s="87">
        <v>51.4</v>
      </c>
      <c r="F64" s="87">
        <f>69.5+2.1</f>
        <v>71.6</v>
      </c>
      <c r="G64" s="87">
        <f>259+2.1</f>
        <v>261.1</v>
      </c>
      <c r="H64" s="87">
        <f>49.6+2.8</f>
        <v>52.4</v>
      </c>
      <c r="I64" s="88">
        <f t="shared" si="22"/>
        <v>123</v>
      </c>
      <c r="J64" s="87">
        <v>58.8</v>
      </c>
      <c r="K64" s="88">
        <f t="shared" si="23"/>
        <v>47.80487804878049</v>
      </c>
      <c r="L64" s="88">
        <f t="shared" si="24"/>
        <v>13.470790378006873</v>
      </c>
    </row>
    <row r="65" spans="1:12" ht="12.75">
      <c r="A65" s="84" t="s">
        <v>189</v>
      </c>
      <c r="B65" s="84"/>
      <c r="C65" s="85" t="s">
        <v>190</v>
      </c>
      <c r="D65" s="86">
        <f t="shared" si="21"/>
        <v>0</v>
      </c>
      <c r="E65" s="87"/>
      <c r="F65" s="87"/>
      <c r="G65" s="87"/>
      <c r="H65" s="87"/>
      <c r="I65" s="88">
        <f t="shared" si="22"/>
        <v>0</v>
      </c>
      <c r="J65" s="87">
        <v>375.6</v>
      </c>
      <c r="K65" s="88"/>
      <c r="L65" s="88"/>
    </row>
    <row r="66" spans="1:12" ht="12.75">
      <c r="A66" s="94" t="s">
        <v>191</v>
      </c>
      <c r="B66" s="95"/>
      <c r="C66" s="96" t="s">
        <v>192</v>
      </c>
      <c r="D66" s="86">
        <f t="shared" si="21"/>
        <v>0</v>
      </c>
      <c r="E66" s="87"/>
      <c r="F66" s="87"/>
      <c r="G66" s="87"/>
      <c r="H66" s="87"/>
      <c r="I66" s="88">
        <f t="shared" si="22"/>
        <v>0</v>
      </c>
      <c r="J66" s="87">
        <v>422.6</v>
      </c>
      <c r="K66" s="88"/>
      <c r="L66" s="88"/>
    </row>
    <row r="67" spans="1:12" ht="12.75">
      <c r="A67" s="81" t="s">
        <v>197</v>
      </c>
      <c r="B67" s="81"/>
      <c r="C67" s="97" t="s">
        <v>198</v>
      </c>
      <c r="D67" s="98">
        <f>D68+D69</f>
        <v>35081</v>
      </c>
      <c r="E67" s="98">
        <f aca="true" t="shared" si="25" ref="E67:J67">E68+E69</f>
        <v>7993.5</v>
      </c>
      <c r="F67" s="98">
        <f t="shared" si="25"/>
        <v>13770.6</v>
      </c>
      <c r="G67" s="98">
        <f t="shared" si="25"/>
        <v>7004.699999999999</v>
      </c>
      <c r="H67" s="98">
        <f t="shared" si="25"/>
        <v>6312.200000000001</v>
      </c>
      <c r="I67" s="98">
        <f t="shared" si="25"/>
        <v>21764.1</v>
      </c>
      <c r="J67" s="98">
        <f t="shared" si="25"/>
        <v>9068.599999999999</v>
      </c>
      <c r="K67" s="83">
        <f t="shared" si="23"/>
        <v>41.66770047922955</v>
      </c>
      <c r="L67" s="83">
        <f t="shared" si="24"/>
        <v>25.850460363159538</v>
      </c>
    </row>
    <row r="68" spans="1:12" ht="24">
      <c r="A68" s="99" t="s">
        <v>229</v>
      </c>
      <c r="B68" s="89"/>
      <c r="C68" s="100" t="s">
        <v>199</v>
      </c>
      <c r="D68" s="86">
        <f>E68+F68+G68+H68</f>
        <v>35081</v>
      </c>
      <c r="E68" s="87">
        <v>7993.5</v>
      </c>
      <c r="F68" s="87">
        <f>3369.6+2533+4958.3+1217.3+70.5+211.9+1410</f>
        <v>13770.6</v>
      </c>
      <c r="G68" s="87">
        <f>3032.6+2279.7+70.5+211.9+1410</f>
        <v>7004.699999999999</v>
      </c>
      <c r="H68" s="87">
        <f>2583.3+1942+70.5+212.3+1504.1</f>
        <v>6312.200000000001</v>
      </c>
      <c r="I68" s="88">
        <f t="shared" si="22"/>
        <v>21764.1</v>
      </c>
      <c r="J68" s="87">
        <v>9088.3</v>
      </c>
      <c r="K68" s="88">
        <f t="shared" si="23"/>
        <v>41.75821651251373</v>
      </c>
      <c r="L68" s="88">
        <f t="shared" si="24"/>
        <v>25.906616116986402</v>
      </c>
    </row>
    <row r="69" spans="1:12" ht="24">
      <c r="A69" s="99" t="s">
        <v>230</v>
      </c>
      <c r="B69" s="123"/>
      <c r="C69" s="124" t="s">
        <v>203</v>
      </c>
      <c r="D69" s="86"/>
      <c r="E69" s="87"/>
      <c r="F69" s="87"/>
      <c r="G69" s="87"/>
      <c r="H69" s="87"/>
      <c r="I69" s="88"/>
      <c r="J69" s="87">
        <v>-19.7</v>
      </c>
      <c r="K69" s="88"/>
      <c r="L69" s="88"/>
    </row>
    <row r="70" spans="1:12" ht="12.75">
      <c r="A70" s="84"/>
      <c r="B70" s="111"/>
      <c r="C70" s="112" t="s">
        <v>204</v>
      </c>
      <c r="D70" s="113">
        <f>D67+D58</f>
        <v>68245.2</v>
      </c>
      <c r="E70" s="113">
        <f aca="true" t="shared" si="26" ref="E70:K70">E67+E58</f>
        <v>14448.9</v>
      </c>
      <c r="F70" s="113">
        <f t="shared" si="26"/>
        <v>22939.4</v>
      </c>
      <c r="G70" s="113">
        <f t="shared" si="26"/>
        <v>13442.4</v>
      </c>
      <c r="H70" s="113">
        <f t="shared" si="26"/>
        <v>17414.5</v>
      </c>
      <c r="I70" s="113">
        <f t="shared" si="26"/>
        <v>37388.3</v>
      </c>
      <c r="J70" s="113">
        <f t="shared" si="26"/>
        <v>18118.800000000003</v>
      </c>
      <c r="K70" s="113">
        <f t="shared" si="26"/>
        <v>99.5919462006105</v>
      </c>
      <c r="L70" s="83">
        <f t="shared" si="24"/>
        <v>26.54955952946142</v>
      </c>
    </row>
    <row r="71" spans="1:12" ht="12.75">
      <c r="A71" s="149"/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1"/>
    </row>
    <row r="72" spans="1:12" ht="12.75">
      <c r="A72" s="146" t="s">
        <v>208</v>
      </c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8"/>
    </row>
    <row r="73" spans="1:12" ht="12.75">
      <c r="A73" s="81" t="s">
        <v>168</v>
      </c>
      <c r="B73" s="81"/>
      <c r="C73" s="82" t="s">
        <v>237</v>
      </c>
      <c r="D73" s="83">
        <f>D74+D75+D76+D77+D78+D79+D80+D81+D82</f>
        <v>22061</v>
      </c>
      <c r="E73" s="83">
        <f aca="true" t="shared" si="27" ref="E73:J73">E74+E75+E76+E77+E78+E79+E80+E81+E82+E83</f>
        <v>4614.8</v>
      </c>
      <c r="F73" s="83">
        <f t="shared" si="27"/>
        <v>5599</v>
      </c>
      <c r="G73" s="83">
        <f t="shared" si="27"/>
        <v>5824</v>
      </c>
      <c r="H73" s="83">
        <f t="shared" si="27"/>
        <v>6023.2</v>
      </c>
      <c r="I73" s="83">
        <f t="shared" si="27"/>
        <v>10213.8</v>
      </c>
      <c r="J73" s="83">
        <f t="shared" si="27"/>
        <v>7470.2</v>
      </c>
      <c r="K73" s="83">
        <f>J73/I73*100</f>
        <v>73.13830308014647</v>
      </c>
      <c r="L73" s="83">
        <f>J73/D73*100</f>
        <v>33.86156565885499</v>
      </c>
    </row>
    <row r="74" spans="1:12" ht="12.75">
      <c r="A74" s="84" t="s">
        <v>169</v>
      </c>
      <c r="B74" s="84"/>
      <c r="C74" s="85" t="s">
        <v>170</v>
      </c>
      <c r="D74" s="86">
        <f>E74+F74+G74+H74</f>
        <v>14559</v>
      </c>
      <c r="E74" s="87">
        <v>2959</v>
      </c>
      <c r="F74" s="87">
        <v>3400</v>
      </c>
      <c r="G74" s="87">
        <v>4000</v>
      </c>
      <c r="H74" s="87">
        <v>4200</v>
      </c>
      <c r="I74" s="88">
        <f aca="true" t="shared" si="28" ref="I74:I82">E74+F74</f>
        <v>6359</v>
      </c>
      <c r="J74" s="87">
        <v>4686.3</v>
      </c>
      <c r="K74" s="88">
        <f>J74/I74*100</f>
        <v>73.6955496147193</v>
      </c>
      <c r="L74" s="88">
        <f>J74/D74*100</f>
        <v>32.18833711106532</v>
      </c>
    </row>
    <row r="75" spans="1:12" ht="12.75">
      <c r="A75" s="89" t="s">
        <v>171</v>
      </c>
      <c r="B75" s="89"/>
      <c r="C75" s="85" t="s">
        <v>172</v>
      </c>
      <c r="D75" s="86">
        <f>E75+F75+G75+H75</f>
        <v>0</v>
      </c>
      <c r="E75" s="87"/>
      <c r="F75" s="87"/>
      <c r="G75" s="87"/>
      <c r="H75" s="87"/>
      <c r="I75" s="88">
        <f t="shared" si="28"/>
        <v>0</v>
      </c>
      <c r="J75" s="87"/>
      <c r="K75" s="88"/>
      <c r="L75" s="88"/>
    </row>
    <row r="76" spans="1:12" ht="12.75">
      <c r="A76" s="89" t="s">
        <v>173</v>
      </c>
      <c r="B76" s="89"/>
      <c r="C76" s="85" t="s">
        <v>174</v>
      </c>
      <c r="D76" s="86">
        <f aca="true" t="shared" si="29" ref="D76:D85">E76+F76+G76+H76</f>
        <v>873</v>
      </c>
      <c r="E76" s="87">
        <f>26+6+111</f>
        <v>143</v>
      </c>
      <c r="F76" s="87">
        <f>69+6+175</f>
        <v>250</v>
      </c>
      <c r="G76" s="87">
        <f>68+10+140</f>
        <v>218</v>
      </c>
      <c r="H76" s="87">
        <f>121+8+133</f>
        <v>262</v>
      </c>
      <c r="I76" s="88">
        <f t="shared" si="28"/>
        <v>393</v>
      </c>
      <c r="J76" s="87">
        <v>434.3</v>
      </c>
      <c r="K76" s="88">
        <f>J76/I76*100</f>
        <v>110.5089058524173</v>
      </c>
      <c r="L76" s="88">
        <f>J76/D76*100</f>
        <v>49.74799541809851</v>
      </c>
    </row>
    <row r="77" spans="1:12" ht="12.75">
      <c r="A77" s="89" t="s">
        <v>175</v>
      </c>
      <c r="B77" s="89"/>
      <c r="C77" s="85" t="s">
        <v>176</v>
      </c>
      <c r="D77" s="86">
        <f t="shared" si="29"/>
        <v>0</v>
      </c>
      <c r="E77" s="87"/>
      <c r="F77" s="87"/>
      <c r="G77" s="87"/>
      <c r="H77" s="87"/>
      <c r="I77" s="88">
        <f t="shared" si="28"/>
        <v>0</v>
      </c>
      <c r="J77" s="87"/>
      <c r="K77" s="88"/>
      <c r="L77" s="88"/>
    </row>
    <row r="78" spans="1:12" ht="24">
      <c r="A78" s="90" t="s">
        <v>179</v>
      </c>
      <c r="B78" s="91"/>
      <c r="C78" s="85" t="s">
        <v>180</v>
      </c>
      <c r="D78" s="86">
        <f t="shared" si="29"/>
        <v>5527</v>
      </c>
      <c r="E78" s="87">
        <f>760+396</f>
        <v>1156</v>
      </c>
      <c r="F78" s="87">
        <f>1160+503</f>
        <v>1663</v>
      </c>
      <c r="G78" s="87">
        <f>910+474</f>
        <v>1384</v>
      </c>
      <c r="H78" s="87">
        <f>870+454</f>
        <v>1324</v>
      </c>
      <c r="I78" s="88">
        <f t="shared" si="28"/>
        <v>2819</v>
      </c>
      <c r="J78" s="87">
        <v>998.5</v>
      </c>
      <c r="K78" s="88">
        <f>J78/I78*100</f>
        <v>35.42036183043633</v>
      </c>
      <c r="L78" s="88">
        <f>J78/D78*100</f>
        <v>18.065858512755565</v>
      </c>
    </row>
    <row r="79" spans="1:12" ht="12.75">
      <c r="A79" s="93" t="s">
        <v>183</v>
      </c>
      <c r="B79" s="93"/>
      <c r="C79" s="85" t="s">
        <v>184</v>
      </c>
      <c r="D79" s="86">
        <f t="shared" si="29"/>
        <v>466</v>
      </c>
      <c r="E79" s="87">
        <v>98.8</v>
      </c>
      <c r="F79" s="87">
        <v>102</v>
      </c>
      <c r="G79" s="87">
        <v>62</v>
      </c>
      <c r="H79" s="87">
        <v>203.2</v>
      </c>
      <c r="I79" s="88">
        <f t="shared" si="28"/>
        <v>200.8</v>
      </c>
      <c r="J79" s="87">
        <v>135.7</v>
      </c>
      <c r="K79" s="88">
        <f>J79/I79*100</f>
        <v>67.5796812749004</v>
      </c>
      <c r="L79" s="88">
        <f>J79/D79*100</f>
        <v>29.12017167381974</v>
      </c>
    </row>
    <row r="80" spans="1:12" ht="12.75">
      <c r="A80" s="92" t="s">
        <v>185</v>
      </c>
      <c r="B80" s="92"/>
      <c r="C80" s="85" t="s">
        <v>186</v>
      </c>
      <c r="D80" s="86">
        <f t="shared" si="29"/>
        <v>636</v>
      </c>
      <c r="E80" s="87">
        <f>34+224</f>
        <v>258</v>
      </c>
      <c r="F80" s="87">
        <f>34+150</f>
        <v>184</v>
      </c>
      <c r="G80" s="87">
        <f>34+126</f>
        <v>160</v>
      </c>
      <c r="H80" s="87">
        <v>34</v>
      </c>
      <c r="I80" s="88">
        <f t="shared" si="28"/>
        <v>442</v>
      </c>
      <c r="J80" s="87">
        <v>384</v>
      </c>
      <c r="K80" s="88">
        <f>J80/I80*100</f>
        <v>86.87782805429865</v>
      </c>
      <c r="L80" s="88">
        <f>J80/D80*100</f>
        <v>60.37735849056604</v>
      </c>
    </row>
    <row r="81" spans="1:12" ht="12.75">
      <c r="A81" s="84" t="s">
        <v>189</v>
      </c>
      <c r="B81" s="84"/>
      <c r="C81" s="85" t="s">
        <v>190</v>
      </c>
      <c r="D81" s="86">
        <f t="shared" si="29"/>
        <v>0</v>
      </c>
      <c r="E81" s="87"/>
      <c r="F81" s="87"/>
      <c r="G81" s="87"/>
      <c r="H81" s="87"/>
      <c r="I81" s="88">
        <f t="shared" si="28"/>
        <v>0</v>
      </c>
      <c r="J81" s="87"/>
      <c r="K81" s="83"/>
      <c r="L81" s="83"/>
    </row>
    <row r="82" spans="1:12" ht="12.75">
      <c r="A82" s="94" t="s">
        <v>191</v>
      </c>
      <c r="B82" s="95"/>
      <c r="C82" s="96" t="s">
        <v>192</v>
      </c>
      <c r="D82" s="86">
        <f t="shared" si="29"/>
        <v>0</v>
      </c>
      <c r="E82" s="87"/>
      <c r="F82" s="87"/>
      <c r="G82" s="87"/>
      <c r="H82" s="87"/>
      <c r="I82" s="88">
        <f t="shared" si="28"/>
        <v>0</v>
      </c>
      <c r="J82" s="87">
        <v>831.4</v>
      </c>
      <c r="K82" s="83"/>
      <c r="L82" s="83"/>
    </row>
    <row r="83" spans="1:12" ht="12.75">
      <c r="A83" s="94" t="s">
        <v>195</v>
      </c>
      <c r="B83" s="95"/>
      <c r="C83" s="96" t="s">
        <v>196</v>
      </c>
      <c r="D83" s="86">
        <f t="shared" si="29"/>
        <v>0</v>
      </c>
      <c r="E83" s="87"/>
      <c r="F83" s="87"/>
      <c r="G83" s="87"/>
      <c r="H83" s="87"/>
      <c r="I83" s="83">
        <f>E83</f>
        <v>0</v>
      </c>
      <c r="J83" s="87"/>
      <c r="K83" s="83"/>
      <c r="L83" s="83"/>
    </row>
    <row r="84" spans="1:12" ht="12.75">
      <c r="A84" s="81" t="s">
        <v>197</v>
      </c>
      <c r="B84" s="81"/>
      <c r="C84" s="97" t="s">
        <v>198</v>
      </c>
      <c r="D84" s="98">
        <f aca="true" t="shared" si="30" ref="D84:J84">D85+D86</f>
        <v>73120.59999999999</v>
      </c>
      <c r="E84" s="98">
        <f t="shared" si="30"/>
        <v>18252.699999999997</v>
      </c>
      <c r="F84" s="98">
        <f t="shared" si="30"/>
        <v>16247</v>
      </c>
      <c r="G84" s="98">
        <f t="shared" si="30"/>
        <v>27439.6</v>
      </c>
      <c r="H84" s="98">
        <f t="shared" si="30"/>
        <v>11181.3</v>
      </c>
      <c r="I84" s="98">
        <f t="shared" si="30"/>
        <v>34499.7</v>
      </c>
      <c r="J84" s="98">
        <f t="shared" si="30"/>
        <v>22415.6</v>
      </c>
      <c r="K84" s="83">
        <f>J84/I84*100</f>
        <v>64.97331860856761</v>
      </c>
      <c r="L84" s="83">
        <f>J84/D84*100</f>
        <v>30.65565654548787</v>
      </c>
    </row>
    <row r="85" spans="1:12" ht="24">
      <c r="A85" s="99" t="s">
        <v>229</v>
      </c>
      <c r="B85" s="89"/>
      <c r="C85" s="100" t="s">
        <v>199</v>
      </c>
      <c r="D85" s="86">
        <f t="shared" si="29"/>
        <v>72100.59999999999</v>
      </c>
      <c r="E85" s="87">
        <f>17986.1+266.6</f>
        <v>18252.699999999997</v>
      </c>
      <c r="F85" s="87">
        <f>14584.3+642.7</f>
        <v>15227</v>
      </c>
      <c r="G85" s="87">
        <v>27439.6</v>
      </c>
      <c r="H85" s="87">
        <v>11181.3</v>
      </c>
      <c r="I85" s="88">
        <f>E85+F85</f>
        <v>33479.7</v>
      </c>
      <c r="J85" s="87">
        <v>17397.2</v>
      </c>
      <c r="K85" s="88">
        <f>J85/I85*100</f>
        <v>51.9634285850829</v>
      </c>
      <c r="L85" s="88">
        <f>J85/D85*100</f>
        <v>24.129064113197398</v>
      </c>
    </row>
    <row r="86" spans="1:12" ht="12.75">
      <c r="A86" s="101" t="s">
        <v>200</v>
      </c>
      <c r="B86" s="101"/>
      <c r="C86" s="102" t="s">
        <v>201</v>
      </c>
      <c r="D86" s="86">
        <f>E86+F86+G86+H86</f>
        <v>1020</v>
      </c>
      <c r="E86" s="87"/>
      <c r="F86" s="87">
        <f>1020</f>
        <v>1020</v>
      </c>
      <c r="G86" s="87"/>
      <c r="H86" s="87"/>
      <c r="I86" s="88">
        <f>E86+F86</f>
        <v>1020</v>
      </c>
      <c r="J86" s="87">
        <v>5018.4</v>
      </c>
      <c r="K86" s="83"/>
      <c r="L86" s="83"/>
    </row>
    <row r="87" spans="1:12" ht="12.75">
      <c r="A87" s="84"/>
      <c r="B87" s="111"/>
      <c r="C87" s="112" t="s">
        <v>204</v>
      </c>
      <c r="D87" s="113">
        <f aca="true" t="shared" si="31" ref="D87:J87">D84+D73</f>
        <v>95181.59999999999</v>
      </c>
      <c r="E87" s="113">
        <f t="shared" si="31"/>
        <v>22867.499999999996</v>
      </c>
      <c r="F87" s="113">
        <f t="shared" si="31"/>
        <v>21846</v>
      </c>
      <c r="G87" s="113">
        <f t="shared" si="31"/>
        <v>33263.6</v>
      </c>
      <c r="H87" s="113">
        <f t="shared" si="31"/>
        <v>17204.5</v>
      </c>
      <c r="I87" s="113">
        <f t="shared" si="31"/>
        <v>44713.5</v>
      </c>
      <c r="J87" s="113">
        <f t="shared" si="31"/>
        <v>29885.8</v>
      </c>
      <c r="K87" s="83">
        <f>J87/I87*100</f>
        <v>66.83842687331565</v>
      </c>
      <c r="L87" s="83">
        <f>J87/D87*100</f>
        <v>31.398715718164016</v>
      </c>
    </row>
    <row r="88" spans="1:12" ht="12.75">
      <c r="A88" s="149"/>
      <c r="B88" s="150"/>
      <c r="C88" s="150"/>
      <c r="D88" s="150"/>
      <c r="E88" s="150"/>
      <c r="F88" s="150"/>
      <c r="G88" s="150"/>
      <c r="H88" s="150"/>
      <c r="I88" s="150"/>
      <c r="J88" s="150"/>
      <c r="K88" s="150"/>
      <c r="L88" s="151"/>
    </row>
    <row r="89" spans="1:12" ht="12.75">
      <c r="A89" s="146" t="s">
        <v>209</v>
      </c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8"/>
    </row>
    <row r="90" spans="1:12" ht="12.75">
      <c r="A90" s="114" t="s">
        <v>168</v>
      </c>
      <c r="B90" s="114"/>
      <c r="C90" s="115" t="s">
        <v>237</v>
      </c>
      <c r="D90" s="116">
        <f>D91+D92+D96+D93+D94+D97+D95</f>
        <v>1451.5</v>
      </c>
      <c r="E90" s="116">
        <f aca="true" t="shared" si="32" ref="E90:K90">E91+E92+E96+E93+E94+E97+E95</f>
        <v>361.20000000000005</v>
      </c>
      <c r="F90" s="116">
        <f t="shared" si="32"/>
        <v>363.40000000000003</v>
      </c>
      <c r="G90" s="116">
        <f t="shared" si="32"/>
        <v>363.40000000000003</v>
      </c>
      <c r="H90" s="116">
        <f t="shared" si="32"/>
        <v>363.5</v>
      </c>
      <c r="I90" s="116">
        <f t="shared" si="32"/>
        <v>724.6</v>
      </c>
      <c r="J90" s="116">
        <f t="shared" si="32"/>
        <v>826.1</v>
      </c>
      <c r="K90" s="116">
        <f t="shared" si="32"/>
        <v>1987.6611713187876</v>
      </c>
      <c r="L90" s="83">
        <f>J90/D90*100</f>
        <v>56.91353771960041</v>
      </c>
    </row>
    <row r="91" spans="1:12" ht="12.75">
      <c r="A91" s="84" t="s">
        <v>169</v>
      </c>
      <c r="B91" s="84"/>
      <c r="C91" s="85" t="s">
        <v>170</v>
      </c>
      <c r="D91" s="86">
        <f aca="true" t="shared" si="33" ref="D91:D97">E91+F91+G91+H91</f>
        <v>1294.5</v>
      </c>
      <c r="E91" s="87">
        <v>323.6</v>
      </c>
      <c r="F91" s="87">
        <v>323.6</v>
      </c>
      <c r="G91" s="87">
        <v>323.6</v>
      </c>
      <c r="H91" s="87">
        <v>323.7</v>
      </c>
      <c r="I91" s="88">
        <f aca="true" t="shared" si="34" ref="I91:I100">E91+F91</f>
        <v>647.2</v>
      </c>
      <c r="J91" s="87">
        <v>775.3</v>
      </c>
      <c r="K91" s="88">
        <f>J91/I91*100</f>
        <v>119.7929542645241</v>
      </c>
      <c r="L91" s="88">
        <f aca="true" t="shared" si="35" ref="L91:L101">J91/D91*100</f>
        <v>59.89185013518733</v>
      </c>
    </row>
    <row r="92" spans="1:12" ht="12.75">
      <c r="A92" s="89" t="s">
        <v>173</v>
      </c>
      <c r="B92" s="89"/>
      <c r="C92" s="85" t="s">
        <v>174</v>
      </c>
      <c r="D92" s="86">
        <f t="shared" si="33"/>
        <v>86</v>
      </c>
      <c r="E92" s="87">
        <v>21.5</v>
      </c>
      <c r="F92" s="87">
        <v>21.5</v>
      </c>
      <c r="G92" s="87">
        <v>21.5</v>
      </c>
      <c r="H92" s="87">
        <v>21.5</v>
      </c>
      <c r="I92" s="88">
        <f t="shared" si="34"/>
        <v>43</v>
      </c>
      <c r="J92" s="87">
        <v>8.4</v>
      </c>
      <c r="K92" s="88">
        <f>J92/I92*100</f>
        <v>19.53488372093023</v>
      </c>
      <c r="L92" s="88">
        <f t="shared" si="35"/>
        <v>9.767441860465116</v>
      </c>
    </row>
    <row r="93" spans="1:12" ht="12.75">
      <c r="A93" s="89" t="s">
        <v>175</v>
      </c>
      <c r="B93" s="89"/>
      <c r="C93" s="85" t="s">
        <v>176</v>
      </c>
      <c r="D93" s="86">
        <f t="shared" si="33"/>
        <v>10</v>
      </c>
      <c r="E93" s="87">
        <v>1</v>
      </c>
      <c r="F93" s="87">
        <v>3</v>
      </c>
      <c r="G93" s="87">
        <v>3</v>
      </c>
      <c r="H93" s="87">
        <v>3</v>
      </c>
      <c r="I93" s="88">
        <f t="shared" si="34"/>
        <v>4</v>
      </c>
      <c r="J93" s="87"/>
      <c r="K93" s="88">
        <f>J93/I93*100</f>
        <v>0</v>
      </c>
      <c r="L93" s="88">
        <f t="shared" si="35"/>
        <v>0</v>
      </c>
    </row>
    <row r="94" spans="1:12" ht="24">
      <c r="A94" s="90" t="s">
        <v>179</v>
      </c>
      <c r="B94" s="91"/>
      <c r="C94" s="85" t="s">
        <v>180</v>
      </c>
      <c r="D94" s="86">
        <f t="shared" si="33"/>
        <v>60</v>
      </c>
      <c r="E94" s="87">
        <v>15</v>
      </c>
      <c r="F94" s="87">
        <v>15</v>
      </c>
      <c r="G94" s="87">
        <v>15</v>
      </c>
      <c r="H94" s="87">
        <v>15</v>
      </c>
      <c r="I94" s="88">
        <f t="shared" si="34"/>
        <v>30</v>
      </c>
      <c r="J94" s="87">
        <v>14.5</v>
      </c>
      <c r="K94" s="88">
        <f>J94/I94*100</f>
        <v>48.333333333333336</v>
      </c>
      <c r="L94" s="88">
        <f t="shared" si="35"/>
        <v>24.166666666666668</v>
      </c>
    </row>
    <row r="95" spans="1:12" ht="12.75">
      <c r="A95" s="93" t="s">
        <v>183</v>
      </c>
      <c r="B95" s="93"/>
      <c r="C95" s="85" t="s">
        <v>184</v>
      </c>
      <c r="D95" s="86">
        <f t="shared" si="33"/>
        <v>0</v>
      </c>
      <c r="E95" s="87"/>
      <c r="F95" s="87"/>
      <c r="G95" s="87"/>
      <c r="H95" s="87"/>
      <c r="I95" s="88">
        <f t="shared" si="34"/>
        <v>0</v>
      </c>
      <c r="J95" s="87">
        <v>20.7</v>
      </c>
      <c r="K95" s="88"/>
      <c r="L95" s="88"/>
    </row>
    <row r="96" spans="1:12" ht="12.75">
      <c r="A96" s="93" t="s">
        <v>185</v>
      </c>
      <c r="B96" s="93"/>
      <c r="C96" s="85" t="s">
        <v>186</v>
      </c>
      <c r="D96" s="86">
        <f t="shared" si="33"/>
        <v>1</v>
      </c>
      <c r="E96" s="87">
        <v>0.1</v>
      </c>
      <c r="F96" s="87">
        <v>0.3</v>
      </c>
      <c r="G96" s="87">
        <v>0.3</v>
      </c>
      <c r="H96" s="87">
        <v>0.3</v>
      </c>
      <c r="I96" s="88">
        <f t="shared" si="34"/>
        <v>0.4</v>
      </c>
      <c r="J96" s="87">
        <v>7.2</v>
      </c>
      <c r="K96" s="88">
        <f>J96/I96*100</f>
        <v>1800</v>
      </c>
      <c r="L96" s="88">
        <f t="shared" si="35"/>
        <v>720</v>
      </c>
    </row>
    <row r="97" spans="1:12" ht="12.75">
      <c r="A97" s="93" t="s">
        <v>191</v>
      </c>
      <c r="B97" s="129"/>
      <c r="C97" s="96" t="s">
        <v>192</v>
      </c>
      <c r="D97" s="86">
        <f t="shared" si="33"/>
        <v>0</v>
      </c>
      <c r="E97" s="87"/>
      <c r="F97" s="87"/>
      <c r="G97" s="87"/>
      <c r="H97" s="87"/>
      <c r="I97" s="88">
        <f t="shared" si="34"/>
        <v>0</v>
      </c>
      <c r="J97" s="87"/>
      <c r="K97" s="83"/>
      <c r="L97" s="83"/>
    </row>
    <row r="98" spans="1:12" ht="12.75">
      <c r="A98" s="114" t="s">
        <v>197</v>
      </c>
      <c r="B98" s="114"/>
      <c r="C98" s="97" t="s">
        <v>198</v>
      </c>
      <c r="D98" s="98">
        <f>D99+D100</f>
        <v>30080.9</v>
      </c>
      <c r="E98" s="98">
        <f aca="true" t="shared" si="36" ref="E98:K98">E99+E100</f>
        <v>12354.000000000002</v>
      </c>
      <c r="F98" s="98">
        <f t="shared" si="36"/>
        <v>6354.2</v>
      </c>
      <c r="G98" s="98">
        <f t="shared" si="36"/>
        <v>5686.3</v>
      </c>
      <c r="H98" s="98">
        <f t="shared" si="36"/>
        <v>5686.4</v>
      </c>
      <c r="I98" s="98">
        <f t="shared" si="36"/>
        <v>18708.2</v>
      </c>
      <c r="J98" s="98">
        <f t="shared" si="36"/>
        <v>10340.3</v>
      </c>
      <c r="K98" s="98">
        <f t="shared" si="36"/>
        <v>146.7290969048013</v>
      </c>
      <c r="L98" s="83">
        <f t="shared" si="35"/>
        <v>34.37496883404419</v>
      </c>
    </row>
    <row r="99" spans="1:12" ht="24">
      <c r="A99" s="99" t="s">
        <v>229</v>
      </c>
      <c r="B99" s="89"/>
      <c r="C99" s="100" t="s">
        <v>199</v>
      </c>
      <c r="D99" s="86">
        <f>E99+F99+G99+H99</f>
        <v>27080.9</v>
      </c>
      <c r="E99" s="87">
        <f>3618.8+1550.7+3641.6+15+144+8.2+15+360.7</f>
        <v>9354.000000000002</v>
      </c>
      <c r="F99" s="87">
        <f>2067.5+3618.8+119.2+250+298.7</f>
        <v>6354.2</v>
      </c>
      <c r="G99" s="87">
        <f>2067.5+3618.8</f>
        <v>5686.3</v>
      </c>
      <c r="H99" s="87">
        <f>2067.5+3618.9</f>
        <v>5686.4</v>
      </c>
      <c r="I99" s="88">
        <f t="shared" si="34"/>
        <v>15708.2</v>
      </c>
      <c r="J99" s="87">
        <v>7340.3</v>
      </c>
      <c r="K99" s="88">
        <f>J99/I99*100</f>
        <v>46.72909690480132</v>
      </c>
      <c r="L99" s="88">
        <f t="shared" si="35"/>
        <v>27.105081441163325</v>
      </c>
    </row>
    <row r="100" spans="1:12" ht="12.75">
      <c r="A100" s="101" t="s">
        <v>200</v>
      </c>
      <c r="B100" s="101"/>
      <c r="C100" s="102" t="s">
        <v>201</v>
      </c>
      <c r="D100" s="86">
        <f>E100+F100+G100+H100</f>
        <v>3000</v>
      </c>
      <c r="E100" s="87">
        <v>3000</v>
      </c>
      <c r="F100" s="87"/>
      <c r="G100" s="87"/>
      <c r="H100" s="87"/>
      <c r="I100" s="88">
        <f t="shared" si="34"/>
        <v>3000</v>
      </c>
      <c r="J100" s="87">
        <v>3000</v>
      </c>
      <c r="K100" s="88">
        <f>J100/I100*100</f>
        <v>100</v>
      </c>
      <c r="L100" s="88">
        <f>J100/D100*100</f>
        <v>100</v>
      </c>
    </row>
    <row r="101" spans="1:12" ht="12.75">
      <c r="A101" s="84"/>
      <c r="B101" s="111"/>
      <c r="C101" s="112" t="s">
        <v>204</v>
      </c>
      <c r="D101" s="113">
        <f>D98+D90</f>
        <v>31532.4</v>
      </c>
      <c r="E101" s="113">
        <f aca="true" t="shared" si="37" ref="E101:K101">E98+E90</f>
        <v>12715.200000000003</v>
      </c>
      <c r="F101" s="113">
        <f t="shared" si="37"/>
        <v>6717.599999999999</v>
      </c>
      <c r="G101" s="113">
        <f t="shared" si="37"/>
        <v>6049.7</v>
      </c>
      <c r="H101" s="113">
        <f t="shared" si="37"/>
        <v>6049.9</v>
      </c>
      <c r="I101" s="113">
        <f t="shared" si="37"/>
        <v>19432.8</v>
      </c>
      <c r="J101" s="113">
        <f t="shared" si="37"/>
        <v>11166.4</v>
      </c>
      <c r="K101" s="113">
        <f t="shared" si="37"/>
        <v>2134.390268223589</v>
      </c>
      <c r="L101" s="83">
        <f t="shared" si="35"/>
        <v>35.412464639545355</v>
      </c>
    </row>
    <row r="102" spans="1:12" ht="12.75">
      <c r="A102" s="149"/>
      <c r="B102" s="150"/>
      <c r="C102" s="150"/>
      <c r="D102" s="150"/>
      <c r="E102" s="150"/>
      <c r="F102" s="150"/>
      <c r="G102" s="150"/>
      <c r="H102" s="150"/>
      <c r="I102" s="150"/>
      <c r="J102" s="150"/>
      <c r="K102" s="150"/>
      <c r="L102" s="151"/>
    </row>
    <row r="103" spans="1:12" ht="12.75">
      <c r="A103" s="146" t="s">
        <v>210</v>
      </c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8"/>
    </row>
    <row r="104" spans="1:12" ht="12.75">
      <c r="A104" s="81" t="s">
        <v>168</v>
      </c>
      <c r="B104" s="81"/>
      <c r="C104" s="82" t="s">
        <v>237</v>
      </c>
      <c r="D104" s="83">
        <f aca="true" t="shared" si="38" ref="D104:I104">D105+D106+D110+D107+D108+D111+D109</f>
        <v>1116.8</v>
      </c>
      <c r="E104" s="83">
        <f t="shared" si="38"/>
        <v>148.2</v>
      </c>
      <c r="F104" s="83">
        <f t="shared" si="38"/>
        <v>284.6</v>
      </c>
      <c r="G104" s="83">
        <f t="shared" si="38"/>
        <v>294.4</v>
      </c>
      <c r="H104" s="83">
        <f t="shared" si="38"/>
        <v>389.6</v>
      </c>
      <c r="I104" s="83">
        <f t="shared" si="38"/>
        <v>432.8</v>
      </c>
      <c r="J104" s="83">
        <f>J105+J106+J110+J107+J108+J111+J109</f>
        <v>455.6</v>
      </c>
      <c r="K104" s="83">
        <f>J104/I104*100</f>
        <v>105.26802218114604</v>
      </c>
      <c r="L104" s="83">
        <f>J104/D104*100</f>
        <v>40.79512893982808</v>
      </c>
    </row>
    <row r="105" spans="1:12" ht="12.75">
      <c r="A105" s="84" t="s">
        <v>169</v>
      </c>
      <c r="B105" s="84"/>
      <c r="C105" s="85" t="s">
        <v>170</v>
      </c>
      <c r="D105" s="86">
        <f aca="true" t="shared" si="39" ref="D105:D112">E105+F105+G105+H105</f>
        <v>844</v>
      </c>
      <c r="E105" s="87">
        <v>129.6</v>
      </c>
      <c r="F105" s="87">
        <v>223.6</v>
      </c>
      <c r="G105" s="87">
        <v>198.2</v>
      </c>
      <c r="H105" s="87">
        <v>292.6</v>
      </c>
      <c r="I105" s="88">
        <f aca="true" t="shared" si="40" ref="I105:I114">E105+F105</f>
        <v>353.2</v>
      </c>
      <c r="J105" s="87">
        <v>334.6</v>
      </c>
      <c r="K105" s="88">
        <f aca="true" t="shared" si="41" ref="K105:K115">J105/I105*100</f>
        <v>94.7338618346546</v>
      </c>
      <c r="L105" s="88">
        <f aca="true" t="shared" si="42" ref="L105:L115">J105/D105*100</f>
        <v>39.644549763033176</v>
      </c>
    </row>
    <row r="106" spans="1:12" ht="12.75">
      <c r="A106" s="89" t="s">
        <v>173</v>
      </c>
      <c r="B106" s="89"/>
      <c r="C106" s="85" t="s">
        <v>174</v>
      </c>
      <c r="D106" s="86">
        <f t="shared" si="39"/>
        <v>85</v>
      </c>
      <c r="E106" s="87">
        <f>0.4+3.8+6.6</f>
        <v>10.8</v>
      </c>
      <c r="F106" s="87">
        <f>2.1+6.1+14.2</f>
        <v>22.4</v>
      </c>
      <c r="G106" s="87">
        <f>3.6+12.5+14.1</f>
        <v>30.200000000000003</v>
      </c>
      <c r="H106" s="87">
        <f>7.7+2.8+11.1</f>
        <v>21.6</v>
      </c>
      <c r="I106" s="88">
        <f t="shared" si="40"/>
        <v>33.2</v>
      </c>
      <c r="J106" s="87">
        <v>15.7</v>
      </c>
      <c r="K106" s="88">
        <f t="shared" si="41"/>
        <v>47.28915662650602</v>
      </c>
      <c r="L106" s="88">
        <f t="shared" si="42"/>
        <v>18.470588235294116</v>
      </c>
    </row>
    <row r="107" spans="1:12" ht="12.75">
      <c r="A107" s="89" t="s">
        <v>175</v>
      </c>
      <c r="B107" s="89"/>
      <c r="C107" s="85" t="s">
        <v>176</v>
      </c>
      <c r="D107" s="86">
        <f t="shared" si="39"/>
        <v>31</v>
      </c>
      <c r="E107" s="87">
        <v>5.6</v>
      </c>
      <c r="F107" s="87">
        <v>2</v>
      </c>
      <c r="G107" s="87">
        <v>12.5</v>
      </c>
      <c r="H107" s="87">
        <v>10.9</v>
      </c>
      <c r="I107" s="88">
        <f t="shared" si="40"/>
        <v>7.6</v>
      </c>
      <c r="J107" s="87">
        <v>12.8</v>
      </c>
      <c r="K107" s="88">
        <f t="shared" si="41"/>
        <v>168.42105263157896</v>
      </c>
      <c r="L107" s="88">
        <f t="shared" si="42"/>
        <v>41.29032258064516</v>
      </c>
    </row>
    <row r="108" spans="1:12" ht="24">
      <c r="A108" s="90" t="s">
        <v>179</v>
      </c>
      <c r="B108" s="91"/>
      <c r="C108" s="85" t="s">
        <v>180</v>
      </c>
      <c r="D108" s="86">
        <f t="shared" si="39"/>
        <v>156</v>
      </c>
      <c r="E108" s="87">
        <f>2.2</f>
        <v>2.2</v>
      </c>
      <c r="F108" s="87">
        <f>35.8</f>
        <v>35.8</v>
      </c>
      <c r="G108" s="87">
        <f>53.1+0.4</f>
        <v>53.5</v>
      </c>
      <c r="H108" s="87">
        <f>55.6+8.9</f>
        <v>64.5</v>
      </c>
      <c r="I108" s="88">
        <f t="shared" si="40"/>
        <v>38</v>
      </c>
      <c r="J108" s="87">
        <v>65.8</v>
      </c>
      <c r="K108" s="88">
        <f t="shared" si="41"/>
        <v>173.15789473684208</v>
      </c>
      <c r="L108" s="88">
        <f t="shared" si="42"/>
        <v>42.17948717948718</v>
      </c>
    </row>
    <row r="109" spans="1:12" ht="12.75">
      <c r="A109" s="93" t="s">
        <v>183</v>
      </c>
      <c r="B109" s="93"/>
      <c r="C109" s="85" t="s">
        <v>184</v>
      </c>
      <c r="D109" s="86">
        <f t="shared" si="39"/>
        <v>0</v>
      </c>
      <c r="E109" s="87"/>
      <c r="F109" s="87"/>
      <c r="G109" s="87"/>
      <c r="H109" s="87"/>
      <c r="I109" s="88">
        <f t="shared" si="40"/>
        <v>0</v>
      </c>
      <c r="J109" s="87">
        <v>26</v>
      </c>
      <c r="K109" s="88"/>
      <c r="L109" s="88"/>
    </row>
    <row r="110" spans="1:12" ht="12.75">
      <c r="A110" s="92" t="s">
        <v>185</v>
      </c>
      <c r="B110" s="92"/>
      <c r="C110" s="85" t="s">
        <v>186</v>
      </c>
      <c r="D110" s="86">
        <f t="shared" si="39"/>
        <v>0.8</v>
      </c>
      <c r="E110" s="87"/>
      <c r="F110" s="87">
        <v>0.8</v>
      </c>
      <c r="G110" s="87"/>
      <c r="H110" s="87"/>
      <c r="I110" s="88">
        <f t="shared" si="40"/>
        <v>0.8</v>
      </c>
      <c r="J110" s="87">
        <v>0.7</v>
      </c>
      <c r="K110" s="88">
        <f t="shared" si="41"/>
        <v>87.49999999999999</v>
      </c>
      <c r="L110" s="88">
        <f t="shared" si="42"/>
        <v>87.49999999999999</v>
      </c>
    </row>
    <row r="111" spans="1:12" ht="12.75">
      <c r="A111" s="84" t="s">
        <v>189</v>
      </c>
      <c r="B111" s="84"/>
      <c r="C111" s="85" t="s">
        <v>190</v>
      </c>
      <c r="D111" s="86">
        <f t="shared" si="39"/>
        <v>0</v>
      </c>
      <c r="E111" s="87"/>
      <c r="F111" s="87"/>
      <c r="G111" s="87"/>
      <c r="H111" s="87"/>
      <c r="I111" s="88">
        <f t="shared" si="40"/>
        <v>0</v>
      </c>
      <c r="J111" s="87"/>
      <c r="K111" s="88"/>
      <c r="L111" s="88"/>
    </row>
    <row r="112" spans="1:12" ht="12.75">
      <c r="A112" s="92" t="s">
        <v>191</v>
      </c>
      <c r="B112" s="129"/>
      <c r="C112" s="96" t="s">
        <v>192</v>
      </c>
      <c r="D112" s="86">
        <f t="shared" si="39"/>
        <v>0</v>
      </c>
      <c r="E112" s="87"/>
      <c r="F112" s="87"/>
      <c r="G112" s="87"/>
      <c r="H112" s="87"/>
      <c r="I112" s="88">
        <f t="shared" si="40"/>
        <v>0</v>
      </c>
      <c r="J112" s="87"/>
      <c r="K112" s="88"/>
      <c r="L112" s="88"/>
    </row>
    <row r="113" spans="1:12" ht="12.75">
      <c r="A113" s="81" t="s">
        <v>197</v>
      </c>
      <c r="B113" s="81"/>
      <c r="C113" s="97" t="s">
        <v>198</v>
      </c>
      <c r="D113" s="98">
        <f>D114</f>
        <v>33093.00000000001</v>
      </c>
      <c r="E113" s="98">
        <f aca="true" t="shared" si="43" ref="E113:K113">E114</f>
        <v>7019.1</v>
      </c>
      <c r="F113" s="98">
        <f t="shared" si="43"/>
        <v>9777.7</v>
      </c>
      <c r="G113" s="98">
        <f t="shared" si="43"/>
        <v>8799.9</v>
      </c>
      <c r="H113" s="98">
        <f t="shared" si="43"/>
        <v>7496.3</v>
      </c>
      <c r="I113" s="98">
        <f t="shared" si="43"/>
        <v>16796.800000000003</v>
      </c>
      <c r="J113" s="98">
        <f t="shared" si="43"/>
        <v>8721</v>
      </c>
      <c r="K113" s="98">
        <f t="shared" si="43"/>
        <v>51.92060392455705</v>
      </c>
      <c r="L113" s="83">
        <f t="shared" si="42"/>
        <v>26.353005167255912</v>
      </c>
    </row>
    <row r="114" spans="1:12" ht="24">
      <c r="A114" s="99" t="s">
        <v>229</v>
      </c>
      <c r="B114" s="89"/>
      <c r="C114" s="100" t="s">
        <v>199</v>
      </c>
      <c r="D114" s="86">
        <f>E114+F114+G114+H114</f>
        <v>33093.00000000001</v>
      </c>
      <c r="E114" s="87">
        <f>1759.3+4077.6+510.1+36.7+6+28.8+100+27+35+438.6</f>
        <v>7019.1</v>
      </c>
      <c r="F114" s="87">
        <f>2638.9+6116.4+765.2+55+9+43.2+150</f>
        <v>9777.7</v>
      </c>
      <c r="G114" s="87">
        <f>2375+5504.8+688.6+49.5+8.1+38.9+135</f>
        <v>8799.9</v>
      </c>
      <c r="H114" s="87">
        <f>2023.2+4689.3+586.6+42.2+6.9+33.1+115</f>
        <v>7496.3</v>
      </c>
      <c r="I114" s="88">
        <f t="shared" si="40"/>
        <v>16796.800000000003</v>
      </c>
      <c r="J114" s="87">
        <v>8721</v>
      </c>
      <c r="K114" s="88">
        <f t="shared" si="41"/>
        <v>51.92060392455705</v>
      </c>
      <c r="L114" s="88">
        <f t="shared" si="42"/>
        <v>26.353005167255912</v>
      </c>
    </row>
    <row r="115" spans="1:12" ht="12.75">
      <c r="A115" s="84"/>
      <c r="B115" s="111"/>
      <c r="C115" s="112" t="s">
        <v>204</v>
      </c>
      <c r="D115" s="113">
        <f>D113+D104</f>
        <v>34209.80000000001</v>
      </c>
      <c r="E115" s="113">
        <f aca="true" t="shared" si="44" ref="E115:J115">E113+E104</f>
        <v>7167.3</v>
      </c>
      <c r="F115" s="113">
        <f t="shared" si="44"/>
        <v>10062.300000000001</v>
      </c>
      <c r="G115" s="113">
        <f t="shared" si="44"/>
        <v>9094.3</v>
      </c>
      <c r="H115" s="113">
        <f t="shared" si="44"/>
        <v>7885.900000000001</v>
      </c>
      <c r="I115" s="113">
        <f t="shared" si="44"/>
        <v>17229.600000000002</v>
      </c>
      <c r="J115" s="113">
        <f t="shared" si="44"/>
        <v>9176.6</v>
      </c>
      <c r="K115" s="83">
        <f t="shared" si="41"/>
        <v>53.26066768816455</v>
      </c>
      <c r="L115" s="83">
        <f t="shared" si="42"/>
        <v>26.824477196592785</v>
      </c>
    </row>
    <row r="116" spans="1:12" ht="12.75">
      <c r="A116" s="149"/>
      <c r="B116" s="150"/>
      <c r="C116" s="150"/>
      <c r="D116" s="150"/>
      <c r="E116" s="150"/>
      <c r="F116" s="150"/>
      <c r="G116" s="150"/>
      <c r="H116" s="150"/>
      <c r="I116" s="150"/>
      <c r="J116" s="150"/>
      <c r="K116" s="150"/>
      <c r="L116" s="151"/>
    </row>
    <row r="117" spans="1:12" ht="12.75">
      <c r="A117" s="146" t="s">
        <v>211</v>
      </c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8"/>
    </row>
    <row r="118" spans="1:12" ht="12.75">
      <c r="A118" s="81" t="s">
        <v>168</v>
      </c>
      <c r="B118" s="81"/>
      <c r="C118" s="82" t="s">
        <v>237</v>
      </c>
      <c r="D118" s="83">
        <f aca="true" t="shared" si="45" ref="D118:J118">D119+D120+D121+D122+D124+D126+D123+D125</f>
        <v>2352.5</v>
      </c>
      <c r="E118" s="83">
        <f t="shared" si="45"/>
        <v>470.49999999999994</v>
      </c>
      <c r="F118" s="83">
        <f t="shared" si="45"/>
        <v>705.8000000000001</v>
      </c>
      <c r="G118" s="83">
        <f t="shared" si="45"/>
        <v>635.0999999999999</v>
      </c>
      <c r="H118" s="83">
        <f t="shared" si="45"/>
        <v>541.1</v>
      </c>
      <c r="I118" s="83">
        <f t="shared" si="45"/>
        <v>1176.3</v>
      </c>
      <c r="J118" s="83">
        <f t="shared" si="45"/>
        <v>1054.8</v>
      </c>
      <c r="K118" s="83">
        <f>J118/I118*100</f>
        <v>89.67100229533283</v>
      </c>
      <c r="L118" s="83">
        <f>J118/D118*100</f>
        <v>44.83740701381509</v>
      </c>
    </row>
    <row r="119" spans="1:12" ht="12.75">
      <c r="A119" s="84" t="s">
        <v>169</v>
      </c>
      <c r="B119" s="84"/>
      <c r="C119" s="85" t="s">
        <v>170</v>
      </c>
      <c r="D119" s="86">
        <f aca="true" t="shared" si="46" ref="D119:D126">E119+F119+G119+H119</f>
        <v>1793.5</v>
      </c>
      <c r="E119" s="87">
        <v>358.7</v>
      </c>
      <c r="F119" s="87">
        <v>538.1</v>
      </c>
      <c r="G119" s="87">
        <v>484.2</v>
      </c>
      <c r="H119" s="87">
        <v>412.5</v>
      </c>
      <c r="I119" s="88">
        <f aca="true" t="shared" si="47" ref="I119:I128">E119+F119</f>
        <v>896.8</v>
      </c>
      <c r="J119" s="87">
        <v>574.4</v>
      </c>
      <c r="K119" s="88">
        <f aca="true" t="shared" si="48" ref="K119:K129">J119/I119*100</f>
        <v>64.049955396967</v>
      </c>
      <c r="L119" s="88">
        <f aca="true" t="shared" si="49" ref="L119:L129">J119/D119*100</f>
        <v>32.026763311959854</v>
      </c>
    </row>
    <row r="120" spans="1:12" ht="12.75">
      <c r="A120" s="89" t="s">
        <v>173</v>
      </c>
      <c r="B120" s="89"/>
      <c r="C120" s="85" t="s">
        <v>174</v>
      </c>
      <c r="D120" s="86">
        <f t="shared" si="46"/>
        <v>232</v>
      </c>
      <c r="E120" s="87">
        <v>46.4</v>
      </c>
      <c r="F120" s="87">
        <v>69.6</v>
      </c>
      <c r="G120" s="87">
        <v>62.6</v>
      </c>
      <c r="H120" s="87">
        <v>53.4</v>
      </c>
      <c r="I120" s="88">
        <f t="shared" si="47"/>
        <v>116</v>
      </c>
      <c r="J120" s="87">
        <v>52.6</v>
      </c>
      <c r="K120" s="88">
        <f t="shared" si="48"/>
        <v>45.3448275862069</v>
      </c>
      <c r="L120" s="88">
        <f t="shared" si="49"/>
        <v>22.67241379310345</v>
      </c>
    </row>
    <row r="121" spans="1:12" ht="12.75">
      <c r="A121" s="89" t="s">
        <v>175</v>
      </c>
      <c r="B121" s="89"/>
      <c r="C121" s="85" t="s">
        <v>176</v>
      </c>
      <c r="D121" s="86">
        <f t="shared" si="46"/>
        <v>35</v>
      </c>
      <c r="E121" s="87">
        <v>7</v>
      </c>
      <c r="F121" s="87">
        <v>10.5</v>
      </c>
      <c r="G121" s="87">
        <v>9.5</v>
      </c>
      <c r="H121" s="87">
        <v>8</v>
      </c>
      <c r="I121" s="88">
        <f t="shared" si="47"/>
        <v>17.5</v>
      </c>
      <c r="J121" s="87">
        <v>14.6</v>
      </c>
      <c r="K121" s="88">
        <f t="shared" si="48"/>
        <v>83.42857142857143</v>
      </c>
      <c r="L121" s="88">
        <f t="shared" si="49"/>
        <v>41.714285714285715</v>
      </c>
    </row>
    <row r="122" spans="1:12" ht="24">
      <c r="A122" s="90" t="s">
        <v>179</v>
      </c>
      <c r="B122" s="91"/>
      <c r="C122" s="85" t="s">
        <v>180</v>
      </c>
      <c r="D122" s="86">
        <f t="shared" si="46"/>
        <v>180</v>
      </c>
      <c r="E122" s="87">
        <v>36</v>
      </c>
      <c r="F122" s="87">
        <v>54</v>
      </c>
      <c r="G122" s="87">
        <v>48.6</v>
      </c>
      <c r="H122" s="87">
        <v>41.4</v>
      </c>
      <c r="I122" s="88">
        <f t="shared" si="47"/>
        <v>90</v>
      </c>
      <c r="J122" s="87">
        <v>63.4</v>
      </c>
      <c r="K122" s="88">
        <f t="shared" si="48"/>
        <v>70.44444444444444</v>
      </c>
      <c r="L122" s="88">
        <f t="shared" si="49"/>
        <v>35.22222222222222</v>
      </c>
    </row>
    <row r="123" spans="1:12" ht="12.75">
      <c r="A123" s="93" t="s">
        <v>183</v>
      </c>
      <c r="B123" s="93"/>
      <c r="C123" s="85" t="s">
        <v>184</v>
      </c>
      <c r="D123" s="86">
        <f t="shared" si="46"/>
        <v>90</v>
      </c>
      <c r="E123" s="87">
        <v>18</v>
      </c>
      <c r="F123" s="87">
        <v>27</v>
      </c>
      <c r="G123" s="87">
        <v>24.3</v>
      </c>
      <c r="H123" s="87">
        <v>20.7</v>
      </c>
      <c r="I123" s="88">
        <f t="shared" si="47"/>
        <v>45</v>
      </c>
      <c r="J123" s="87">
        <v>23</v>
      </c>
      <c r="K123" s="88">
        <f t="shared" si="48"/>
        <v>51.11111111111111</v>
      </c>
      <c r="L123" s="88">
        <f t="shared" si="49"/>
        <v>25.555555555555554</v>
      </c>
    </row>
    <row r="124" spans="1:12" ht="12.75">
      <c r="A124" s="93" t="s">
        <v>185</v>
      </c>
      <c r="B124" s="93"/>
      <c r="C124" s="85" t="s">
        <v>186</v>
      </c>
      <c r="D124" s="86">
        <f t="shared" si="46"/>
        <v>22</v>
      </c>
      <c r="E124" s="87">
        <v>4.4</v>
      </c>
      <c r="F124" s="87">
        <v>6.6</v>
      </c>
      <c r="G124" s="87">
        <v>5.9</v>
      </c>
      <c r="H124" s="87">
        <v>5.1</v>
      </c>
      <c r="I124" s="88">
        <f t="shared" si="47"/>
        <v>11</v>
      </c>
      <c r="J124" s="87"/>
      <c r="K124" s="88">
        <f t="shared" si="48"/>
        <v>0</v>
      </c>
      <c r="L124" s="88">
        <f t="shared" si="49"/>
        <v>0</v>
      </c>
    </row>
    <row r="125" spans="1:12" ht="12.75">
      <c r="A125" s="84" t="s">
        <v>189</v>
      </c>
      <c r="B125" s="84"/>
      <c r="C125" s="85" t="s">
        <v>190</v>
      </c>
      <c r="D125" s="86"/>
      <c r="E125" s="87"/>
      <c r="F125" s="87"/>
      <c r="G125" s="87"/>
      <c r="H125" s="87"/>
      <c r="I125" s="88"/>
      <c r="J125" s="87">
        <v>323.4</v>
      </c>
      <c r="K125" s="88"/>
      <c r="L125" s="88"/>
    </row>
    <row r="126" spans="1:12" ht="12.75">
      <c r="A126" s="93" t="s">
        <v>191</v>
      </c>
      <c r="B126" s="129"/>
      <c r="C126" s="96" t="s">
        <v>192</v>
      </c>
      <c r="D126" s="86">
        <f t="shared" si="46"/>
        <v>0</v>
      </c>
      <c r="E126" s="87"/>
      <c r="F126" s="87"/>
      <c r="G126" s="87"/>
      <c r="H126" s="87"/>
      <c r="I126" s="88">
        <f t="shared" si="47"/>
        <v>0</v>
      </c>
      <c r="J126" s="86">
        <v>3.4</v>
      </c>
      <c r="K126" s="88"/>
      <c r="L126" s="88"/>
    </row>
    <row r="127" spans="1:12" ht="12.75">
      <c r="A127" s="114" t="s">
        <v>197</v>
      </c>
      <c r="B127" s="114"/>
      <c r="C127" s="97" t="s">
        <v>198</v>
      </c>
      <c r="D127" s="98">
        <f>D128</f>
        <v>48413.4</v>
      </c>
      <c r="E127" s="98">
        <f aca="true" t="shared" si="50" ref="E127:J127">E128</f>
        <v>9380.999999999998</v>
      </c>
      <c r="F127" s="98">
        <f t="shared" si="50"/>
        <v>15401.5</v>
      </c>
      <c r="G127" s="98">
        <f t="shared" si="50"/>
        <v>13987.8</v>
      </c>
      <c r="H127" s="98">
        <f t="shared" si="50"/>
        <v>9643.1</v>
      </c>
      <c r="I127" s="98">
        <f t="shared" si="50"/>
        <v>24782.5</v>
      </c>
      <c r="J127" s="98">
        <f t="shared" si="50"/>
        <v>12903.6</v>
      </c>
      <c r="K127" s="83">
        <f t="shared" si="48"/>
        <v>52.06738626046605</v>
      </c>
      <c r="L127" s="83">
        <f t="shared" si="49"/>
        <v>26.65295145558874</v>
      </c>
    </row>
    <row r="128" spans="1:12" ht="24">
      <c r="A128" s="99" t="s">
        <v>229</v>
      </c>
      <c r="B128" s="89"/>
      <c r="C128" s="100" t="s">
        <v>199</v>
      </c>
      <c r="D128" s="86">
        <f>E128+F128+G128+H128</f>
        <v>48413.4</v>
      </c>
      <c r="E128" s="87">
        <f>8298.3+30+37.3+1015.4</f>
        <v>9380.999999999998</v>
      </c>
      <c r="F128" s="87">
        <f>15232.6+168.9</f>
        <v>15401.5</v>
      </c>
      <c r="G128" s="87">
        <v>13987.8</v>
      </c>
      <c r="H128" s="87">
        <v>9643.1</v>
      </c>
      <c r="I128" s="88">
        <f t="shared" si="47"/>
        <v>24782.5</v>
      </c>
      <c r="J128" s="87">
        <v>12903.6</v>
      </c>
      <c r="K128" s="88">
        <f t="shared" si="48"/>
        <v>52.06738626046605</v>
      </c>
      <c r="L128" s="88">
        <f t="shared" si="49"/>
        <v>26.65295145558874</v>
      </c>
    </row>
    <row r="129" spans="1:12" ht="12.75">
      <c r="A129" s="84"/>
      <c r="B129" s="111"/>
      <c r="C129" s="112" t="s">
        <v>204</v>
      </c>
      <c r="D129" s="113">
        <f>D127+D118</f>
        <v>50765.9</v>
      </c>
      <c r="E129" s="113">
        <f aca="true" t="shared" si="51" ref="E129:J129">E127+E118</f>
        <v>9851.499999999998</v>
      </c>
      <c r="F129" s="113">
        <f t="shared" si="51"/>
        <v>16107.3</v>
      </c>
      <c r="G129" s="113">
        <f t="shared" si="51"/>
        <v>14622.9</v>
      </c>
      <c r="H129" s="113">
        <f t="shared" si="51"/>
        <v>10184.2</v>
      </c>
      <c r="I129" s="113">
        <f t="shared" si="51"/>
        <v>25958.8</v>
      </c>
      <c r="J129" s="113">
        <f t="shared" si="51"/>
        <v>13958.4</v>
      </c>
      <c r="K129" s="83">
        <f t="shared" si="48"/>
        <v>53.771360771684364</v>
      </c>
      <c r="L129" s="83">
        <f t="shared" si="49"/>
        <v>27.495622061265536</v>
      </c>
    </row>
    <row r="130" spans="1:12" ht="12.75">
      <c r="A130" s="156"/>
      <c r="B130" s="157"/>
      <c r="C130" s="157"/>
      <c r="D130" s="157"/>
      <c r="E130" s="157"/>
      <c r="F130" s="157"/>
      <c r="G130" s="157"/>
      <c r="H130" s="157"/>
      <c r="I130" s="157"/>
      <c r="J130" s="157"/>
      <c r="K130" s="157"/>
      <c r="L130" s="158"/>
    </row>
    <row r="131" spans="1:12" ht="12.75">
      <c r="A131" s="146" t="s">
        <v>212</v>
      </c>
      <c r="B131" s="147"/>
      <c r="C131" s="147"/>
      <c r="D131" s="147"/>
      <c r="E131" s="147"/>
      <c r="F131" s="147"/>
      <c r="G131" s="147"/>
      <c r="H131" s="147"/>
      <c r="I131" s="147"/>
      <c r="J131" s="147"/>
      <c r="K131" s="147"/>
      <c r="L131" s="148"/>
    </row>
    <row r="132" spans="1:12" ht="12.75">
      <c r="A132" s="81" t="s">
        <v>168</v>
      </c>
      <c r="B132" s="81"/>
      <c r="C132" s="82" t="s">
        <v>237</v>
      </c>
      <c r="D132" s="83">
        <f aca="true" t="shared" si="52" ref="D132:I132">D133+D134+D136+D138+D135+D139+D137+D140</f>
        <v>15260.5</v>
      </c>
      <c r="E132" s="83">
        <f t="shared" si="52"/>
        <v>3025</v>
      </c>
      <c r="F132" s="83">
        <f t="shared" si="52"/>
        <v>4088</v>
      </c>
      <c r="G132" s="83">
        <f t="shared" si="52"/>
        <v>4574</v>
      </c>
      <c r="H132" s="83">
        <f t="shared" si="52"/>
        <v>3573.5</v>
      </c>
      <c r="I132" s="83">
        <f t="shared" si="52"/>
        <v>7113</v>
      </c>
      <c r="J132" s="83">
        <f>J133+J134+J136+J138+J135+J139+J137+J140</f>
        <v>4105.8</v>
      </c>
      <c r="K132" s="83">
        <f>J132/I132*100</f>
        <v>57.722479966258966</v>
      </c>
      <c r="L132" s="83">
        <f>J132/D132*100</f>
        <v>26.90475410373186</v>
      </c>
    </row>
    <row r="133" spans="1:12" ht="12.75">
      <c r="A133" s="84" t="s">
        <v>169</v>
      </c>
      <c r="B133" s="84"/>
      <c r="C133" s="85" t="s">
        <v>170</v>
      </c>
      <c r="D133" s="86">
        <f aca="true" t="shared" si="53" ref="D133:D141">E133+F133+G133+H133</f>
        <v>13404.5</v>
      </c>
      <c r="E133" s="87">
        <f>2600+3</f>
        <v>2603</v>
      </c>
      <c r="F133" s="87">
        <f>3600+1+3+6</f>
        <v>3610</v>
      </c>
      <c r="G133" s="87">
        <f>4083</f>
        <v>4083</v>
      </c>
      <c r="H133" s="87">
        <v>3108.5</v>
      </c>
      <c r="I133" s="88">
        <f aca="true" t="shared" si="54" ref="I133:I140">E133+F133</f>
        <v>6213</v>
      </c>
      <c r="J133" s="87">
        <v>3725.7</v>
      </c>
      <c r="K133" s="88">
        <f aca="true" t="shared" si="55" ref="K133:K144">J133/I133*100</f>
        <v>59.9661999034283</v>
      </c>
      <c r="L133" s="88">
        <f aca="true" t="shared" si="56" ref="L133:L144">J133/D133*100</f>
        <v>27.794397403856912</v>
      </c>
    </row>
    <row r="134" spans="1:12" ht="12.75">
      <c r="A134" s="89" t="s">
        <v>173</v>
      </c>
      <c r="B134" s="89"/>
      <c r="C134" s="85" t="s">
        <v>174</v>
      </c>
      <c r="D134" s="86">
        <f t="shared" si="53"/>
        <v>616</v>
      </c>
      <c r="E134" s="87">
        <f>75+50+20</f>
        <v>145</v>
      </c>
      <c r="F134" s="87">
        <f>75+60+30-16</f>
        <v>149</v>
      </c>
      <c r="G134" s="87">
        <f>75+60+39</f>
        <v>174</v>
      </c>
      <c r="H134" s="87">
        <f>75+50+23</f>
        <v>148</v>
      </c>
      <c r="I134" s="88">
        <f t="shared" si="54"/>
        <v>294</v>
      </c>
      <c r="J134" s="87">
        <v>60</v>
      </c>
      <c r="K134" s="88">
        <f t="shared" si="55"/>
        <v>20.408163265306122</v>
      </c>
      <c r="L134" s="88">
        <f t="shared" si="56"/>
        <v>9.740259740259742</v>
      </c>
    </row>
    <row r="135" spans="1:12" ht="12.75">
      <c r="A135" s="89" t="s">
        <v>175</v>
      </c>
      <c r="B135" s="89"/>
      <c r="C135" s="85" t="s">
        <v>176</v>
      </c>
      <c r="D135" s="86">
        <f t="shared" si="53"/>
        <v>120</v>
      </c>
      <c r="E135" s="87">
        <v>30</v>
      </c>
      <c r="F135" s="87">
        <v>32</v>
      </c>
      <c r="G135" s="87">
        <v>30</v>
      </c>
      <c r="H135" s="87">
        <v>28</v>
      </c>
      <c r="I135" s="88">
        <f t="shared" si="54"/>
        <v>62</v>
      </c>
      <c r="J135" s="87">
        <v>3.9</v>
      </c>
      <c r="K135" s="88">
        <f t="shared" si="55"/>
        <v>6.290322580645161</v>
      </c>
      <c r="L135" s="88">
        <f t="shared" si="56"/>
        <v>3.25</v>
      </c>
    </row>
    <row r="136" spans="1:12" ht="24">
      <c r="A136" s="90" t="s">
        <v>179</v>
      </c>
      <c r="B136" s="91"/>
      <c r="C136" s="85" t="s">
        <v>180</v>
      </c>
      <c r="D136" s="86">
        <f t="shared" si="53"/>
        <v>1102</v>
      </c>
      <c r="E136" s="87">
        <v>245</v>
      </c>
      <c r="F136" s="87">
        <v>285</v>
      </c>
      <c r="G136" s="87">
        <v>285</v>
      </c>
      <c r="H136" s="87">
        <v>287</v>
      </c>
      <c r="I136" s="88">
        <f t="shared" si="54"/>
        <v>530</v>
      </c>
      <c r="J136" s="87">
        <v>288.6</v>
      </c>
      <c r="K136" s="88">
        <f t="shared" si="55"/>
        <v>54.45283018867924</v>
      </c>
      <c r="L136" s="88">
        <f t="shared" si="56"/>
        <v>26.18874773139746</v>
      </c>
    </row>
    <row r="137" spans="1:12" ht="12.75">
      <c r="A137" s="93" t="s">
        <v>183</v>
      </c>
      <c r="B137" s="93"/>
      <c r="C137" s="85" t="s">
        <v>184</v>
      </c>
      <c r="D137" s="86">
        <f t="shared" si="53"/>
        <v>0</v>
      </c>
      <c r="E137" s="87"/>
      <c r="F137" s="87"/>
      <c r="G137" s="87"/>
      <c r="H137" s="87"/>
      <c r="I137" s="88">
        <f t="shared" si="54"/>
        <v>0</v>
      </c>
      <c r="J137" s="87"/>
      <c r="K137" s="88"/>
      <c r="L137" s="88"/>
    </row>
    <row r="138" spans="1:12" ht="12.75">
      <c r="A138" s="92" t="s">
        <v>185</v>
      </c>
      <c r="B138" s="92"/>
      <c r="C138" s="85" t="s">
        <v>186</v>
      </c>
      <c r="D138" s="86">
        <f t="shared" si="53"/>
        <v>18</v>
      </c>
      <c r="E138" s="87">
        <v>2</v>
      </c>
      <c r="F138" s="87">
        <f>2+10</f>
        <v>12</v>
      </c>
      <c r="G138" s="87">
        <v>2</v>
      </c>
      <c r="H138" s="87">
        <v>2</v>
      </c>
      <c r="I138" s="88">
        <f t="shared" si="54"/>
        <v>14</v>
      </c>
      <c r="J138" s="87">
        <v>16.8</v>
      </c>
      <c r="K138" s="88">
        <f>J138/I138*100</f>
        <v>120</v>
      </c>
      <c r="L138" s="88">
        <f>J138/D138*100</f>
        <v>93.33333333333333</v>
      </c>
    </row>
    <row r="139" spans="1:12" ht="12.75">
      <c r="A139" s="84" t="s">
        <v>189</v>
      </c>
      <c r="B139" s="84"/>
      <c r="C139" s="85" t="s">
        <v>190</v>
      </c>
      <c r="D139" s="86">
        <f t="shared" si="53"/>
        <v>0</v>
      </c>
      <c r="E139" s="87"/>
      <c r="F139" s="87"/>
      <c r="G139" s="87"/>
      <c r="H139" s="87"/>
      <c r="I139" s="88">
        <f t="shared" si="54"/>
        <v>0</v>
      </c>
      <c r="J139" s="87"/>
      <c r="K139" s="88" t="e">
        <f>J139/I139*100</f>
        <v>#DIV/0!</v>
      </c>
      <c r="L139" s="88" t="e">
        <f>J139/D139*100</f>
        <v>#DIV/0!</v>
      </c>
    </row>
    <row r="140" spans="1:12" ht="12.75">
      <c r="A140" s="92" t="s">
        <v>191</v>
      </c>
      <c r="B140" s="130"/>
      <c r="C140" s="96" t="s">
        <v>192</v>
      </c>
      <c r="D140" s="86">
        <f t="shared" si="53"/>
        <v>0</v>
      </c>
      <c r="E140" s="87"/>
      <c r="F140" s="87"/>
      <c r="G140" s="87"/>
      <c r="H140" s="87"/>
      <c r="I140" s="88">
        <f t="shared" si="54"/>
        <v>0</v>
      </c>
      <c r="J140" s="87">
        <v>10.8</v>
      </c>
      <c r="K140" s="88"/>
      <c r="L140" s="88"/>
    </row>
    <row r="141" spans="1:12" ht="12.75">
      <c r="A141" s="92" t="s">
        <v>195</v>
      </c>
      <c r="B141" s="130"/>
      <c r="C141" s="96" t="s">
        <v>196</v>
      </c>
      <c r="D141" s="86">
        <f t="shared" si="53"/>
        <v>0</v>
      </c>
      <c r="E141" s="87"/>
      <c r="F141" s="87"/>
      <c r="G141" s="87"/>
      <c r="H141" s="87"/>
      <c r="I141" s="83">
        <f>E141</f>
        <v>0</v>
      </c>
      <c r="J141" s="87"/>
      <c r="K141" s="83"/>
      <c r="L141" s="83"/>
    </row>
    <row r="142" spans="1:12" ht="12.75">
      <c r="A142" s="81" t="s">
        <v>197</v>
      </c>
      <c r="B142" s="81"/>
      <c r="C142" s="97" t="s">
        <v>198</v>
      </c>
      <c r="D142" s="98">
        <f>D143</f>
        <v>33018.9</v>
      </c>
      <c r="E142" s="98">
        <f aca="true" t="shared" si="57" ref="E142:J142">E143</f>
        <v>12257.5</v>
      </c>
      <c r="F142" s="98">
        <f t="shared" si="57"/>
        <v>8378.8</v>
      </c>
      <c r="G142" s="98">
        <f t="shared" si="57"/>
        <v>6094.8</v>
      </c>
      <c r="H142" s="98">
        <f t="shared" si="57"/>
        <v>6287.8</v>
      </c>
      <c r="I142" s="98">
        <f t="shared" si="57"/>
        <v>20636.3</v>
      </c>
      <c r="J142" s="98">
        <f t="shared" si="57"/>
        <v>12131.3</v>
      </c>
      <c r="K142" s="83">
        <f t="shared" si="55"/>
        <v>58.78621652137254</v>
      </c>
      <c r="L142" s="83">
        <f t="shared" si="56"/>
        <v>36.740472880683484</v>
      </c>
    </row>
    <row r="143" spans="1:12" ht="24">
      <c r="A143" s="99" t="s">
        <v>229</v>
      </c>
      <c r="B143" s="89"/>
      <c r="C143" s="100" t="s">
        <v>199</v>
      </c>
      <c r="D143" s="86">
        <f>E143+F143+G143+H143</f>
        <v>33018.9</v>
      </c>
      <c r="E143" s="87">
        <v>12257.5</v>
      </c>
      <c r="F143" s="87">
        <f>3193.8+2613.3+1676.8+698.1+21+69+106.8</f>
        <v>8378.8</v>
      </c>
      <c r="G143" s="87">
        <f>3001.8+3000+21+72</f>
        <v>6094.8</v>
      </c>
      <c r="H143" s="87">
        <f>3193.8+3000+22+72</f>
        <v>6287.8</v>
      </c>
      <c r="I143" s="88">
        <f>E143+F143</f>
        <v>20636.3</v>
      </c>
      <c r="J143" s="87">
        <v>12131.3</v>
      </c>
      <c r="K143" s="88">
        <f t="shared" si="55"/>
        <v>58.78621652137254</v>
      </c>
      <c r="L143" s="88">
        <f t="shared" si="56"/>
        <v>36.740472880683484</v>
      </c>
    </row>
    <row r="144" spans="1:12" ht="12.75">
      <c r="A144" s="84"/>
      <c r="B144" s="111"/>
      <c r="C144" s="112" t="s">
        <v>204</v>
      </c>
      <c r="D144" s="113">
        <f>D142+D132</f>
        <v>48279.4</v>
      </c>
      <c r="E144" s="113">
        <f aca="true" t="shared" si="58" ref="E144:J144">E142+E132</f>
        <v>15282.5</v>
      </c>
      <c r="F144" s="113">
        <f t="shared" si="58"/>
        <v>12466.8</v>
      </c>
      <c r="G144" s="113">
        <f t="shared" si="58"/>
        <v>10668.8</v>
      </c>
      <c r="H144" s="113">
        <f t="shared" si="58"/>
        <v>9861.3</v>
      </c>
      <c r="I144" s="113">
        <f t="shared" si="58"/>
        <v>27749.3</v>
      </c>
      <c r="J144" s="113">
        <f t="shared" si="58"/>
        <v>16237.099999999999</v>
      </c>
      <c r="K144" s="83">
        <f t="shared" si="55"/>
        <v>58.513548089501356</v>
      </c>
      <c r="L144" s="83">
        <f t="shared" si="56"/>
        <v>33.63152814658011</v>
      </c>
    </row>
    <row r="145" spans="1:12" ht="12.75">
      <c r="A145" s="149"/>
      <c r="B145" s="150"/>
      <c r="C145" s="150"/>
      <c r="D145" s="150"/>
      <c r="E145" s="150"/>
      <c r="F145" s="150"/>
      <c r="G145" s="150"/>
      <c r="H145" s="150"/>
      <c r="I145" s="150"/>
      <c r="J145" s="150"/>
      <c r="K145" s="150"/>
      <c r="L145" s="151"/>
    </row>
    <row r="146" spans="1:12" ht="12.75">
      <c r="A146" s="146" t="s">
        <v>213</v>
      </c>
      <c r="B146" s="147"/>
      <c r="C146" s="147"/>
      <c r="D146" s="147"/>
      <c r="E146" s="147"/>
      <c r="F146" s="147"/>
      <c r="G146" s="147"/>
      <c r="H146" s="147"/>
      <c r="I146" s="147"/>
      <c r="J146" s="147"/>
      <c r="K146" s="147"/>
      <c r="L146" s="148"/>
    </row>
    <row r="147" spans="1:12" ht="12.75">
      <c r="A147" s="81" t="s">
        <v>168</v>
      </c>
      <c r="B147" s="81"/>
      <c r="C147" s="82" t="s">
        <v>237</v>
      </c>
      <c r="D147" s="83">
        <f aca="true" t="shared" si="59" ref="D147:J147">D148+D149+D150+D151+D153+D154+D155+D152</f>
        <v>3590</v>
      </c>
      <c r="E147" s="83">
        <f t="shared" si="59"/>
        <v>630.5</v>
      </c>
      <c r="F147" s="83">
        <f t="shared" si="59"/>
        <v>799.5</v>
      </c>
      <c r="G147" s="83">
        <f t="shared" si="59"/>
        <v>766.5</v>
      </c>
      <c r="H147" s="83">
        <f t="shared" si="59"/>
        <v>1393.5</v>
      </c>
      <c r="I147" s="83">
        <f t="shared" si="59"/>
        <v>1430</v>
      </c>
      <c r="J147" s="83">
        <f t="shared" si="59"/>
        <v>1192.6</v>
      </c>
      <c r="K147" s="83">
        <f>J147/I147*100</f>
        <v>83.39860139860139</v>
      </c>
      <c r="L147" s="83">
        <f>J147/D147*100</f>
        <v>33.220055710306404</v>
      </c>
    </row>
    <row r="148" spans="1:12" ht="12.75">
      <c r="A148" s="84" t="s">
        <v>169</v>
      </c>
      <c r="B148" s="84"/>
      <c r="C148" s="85" t="s">
        <v>170</v>
      </c>
      <c r="D148" s="86">
        <f aca="true" t="shared" si="60" ref="D148:D155">E148+F148+G148+H148</f>
        <v>3059.5</v>
      </c>
      <c r="E148" s="87">
        <f>540</f>
        <v>540</v>
      </c>
      <c r="F148" s="87">
        <v>650</v>
      </c>
      <c r="G148" s="87">
        <f>650</f>
        <v>650</v>
      </c>
      <c r="H148" s="87">
        <v>1219.5</v>
      </c>
      <c r="I148" s="88">
        <f aca="true" t="shared" si="61" ref="I148:I157">E148+F148</f>
        <v>1190</v>
      </c>
      <c r="J148" s="87">
        <v>832.8</v>
      </c>
      <c r="K148" s="88">
        <f aca="true" t="shared" si="62" ref="K148:K158">J148/I148*100</f>
        <v>69.98319327731092</v>
      </c>
      <c r="L148" s="88">
        <f aca="true" t="shared" si="63" ref="L148:L158">J148/D148*100</f>
        <v>27.22013400882497</v>
      </c>
    </row>
    <row r="149" spans="1:12" ht="12.75">
      <c r="A149" s="89" t="s">
        <v>173</v>
      </c>
      <c r="B149" s="89"/>
      <c r="C149" s="85" t="s">
        <v>174</v>
      </c>
      <c r="D149" s="86">
        <f t="shared" si="60"/>
        <v>219</v>
      </c>
      <c r="E149" s="87">
        <f>47</f>
        <v>47</v>
      </c>
      <c r="F149" s="87">
        <f>47</f>
        <v>47</v>
      </c>
      <c r="G149" s="87">
        <f>47</f>
        <v>47</v>
      </c>
      <c r="H149" s="87">
        <f>10+21+47</f>
        <v>78</v>
      </c>
      <c r="I149" s="88">
        <f t="shared" si="61"/>
        <v>94</v>
      </c>
      <c r="J149" s="87">
        <v>113.3</v>
      </c>
      <c r="K149" s="88">
        <f t="shared" si="62"/>
        <v>120.53191489361701</v>
      </c>
      <c r="L149" s="88">
        <f t="shared" si="63"/>
        <v>51.735159817351594</v>
      </c>
    </row>
    <row r="150" spans="1:12" ht="12.75">
      <c r="A150" s="89" t="s">
        <v>175</v>
      </c>
      <c r="B150" s="89"/>
      <c r="C150" s="85" t="s">
        <v>176</v>
      </c>
      <c r="D150" s="86">
        <f t="shared" si="60"/>
        <v>20</v>
      </c>
      <c r="E150" s="87">
        <v>4</v>
      </c>
      <c r="F150" s="87">
        <v>5</v>
      </c>
      <c r="G150" s="87">
        <v>5</v>
      </c>
      <c r="H150" s="87">
        <v>6</v>
      </c>
      <c r="I150" s="88">
        <f t="shared" si="61"/>
        <v>9</v>
      </c>
      <c r="J150" s="87">
        <v>17</v>
      </c>
      <c r="K150" s="88">
        <f>J150/I150*100</f>
        <v>188.88888888888889</v>
      </c>
      <c r="L150" s="88">
        <f>J150/D150*100</f>
        <v>85</v>
      </c>
    </row>
    <row r="151" spans="1:12" ht="24">
      <c r="A151" s="90" t="s">
        <v>179</v>
      </c>
      <c r="B151" s="91"/>
      <c r="C151" s="85" t="s">
        <v>180</v>
      </c>
      <c r="D151" s="86">
        <f t="shared" si="60"/>
        <v>246.5</v>
      </c>
      <c r="E151" s="87">
        <f>30</f>
        <v>30</v>
      </c>
      <c r="F151" s="87">
        <f>25+60</f>
        <v>85</v>
      </c>
      <c r="G151" s="87">
        <f>25+30</f>
        <v>55</v>
      </c>
      <c r="H151" s="87">
        <f>46.5+30</f>
        <v>76.5</v>
      </c>
      <c r="I151" s="88">
        <f t="shared" si="61"/>
        <v>115</v>
      </c>
      <c r="J151" s="87">
        <v>195.3</v>
      </c>
      <c r="K151" s="88">
        <f t="shared" si="62"/>
        <v>169.82608695652175</v>
      </c>
      <c r="L151" s="88">
        <f t="shared" si="63"/>
        <v>79.22920892494929</v>
      </c>
    </row>
    <row r="152" spans="1:12" ht="12.75">
      <c r="A152" s="93" t="s">
        <v>183</v>
      </c>
      <c r="B152" s="93"/>
      <c r="C152" s="85" t="s">
        <v>184</v>
      </c>
      <c r="D152" s="86">
        <f t="shared" si="60"/>
        <v>38</v>
      </c>
      <c r="E152" s="87">
        <v>9.5</v>
      </c>
      <c r="F152" s="87">
        <v>9.5</v>
      </c>
      <c r="G152" s="87">
        <v>9.5</v>
      </c>
      <c r="H152" s="87">
        <v>9.5</v>
      </c>
      <c r="I152" s="88">
        <f t="shared" si="61"/>
        <v>19</v>
      </c>
      <c r="J152" s="87">
        <v>26.8</v>
      </c>
      <c r="K152" s="88">
        <f t="shared" si="62"/>
        <v>141.05263157894737</v>
      </c>
      <c r="L152" s="88">
        <f t="shared" si="63"/>
        <v>70.52631578947368</v>
      </c>
    </row>
    <row r="153" spans="1:12" ht="12.75">
      <c r="A153" s="92" t="s">
        <v>185</v>
      </c>
      <c r="B153" s="92"/>
      <c r="C153" s="85" t="s">
        <v>186</v>
      </c>
      <c r="D153" s="86">
        <f t="shared" si="60"/>
        <v>7</v>
      </c>
      <c r="E153" s="87"/>
      <c r="F153" s="87">
        <f>3</f>
        <v>3</v>
      </c>
      <c r="G153" s="87"/>
      <c r="H153" s="87">
        <f>4</f>
        <v>4</v>
      </c>
      <c r="I153" s="88">
        <f t="shared" si="61"/>
        <v>3</v>
      </c>
      <c r="J153" s="87">
        <v>7.4</v>
      </c>
      <c r="K153" s="88">
        <f t="shared" si="62"/>
        <v>246.66666666666669</v>
      </c>
      <c r="L153" s="88">
        <f t="shared" si="63"/>
        <v>105.71428571428572</v>
      </c>
    </row>
    <row r="154" spans="1:12" ht="12.75">
      <c r="A154" s="84" t="s">
        <v>189</v>
      </c>
      <c r="B154" s="84"/>
      <c r="C154" s="85" t="s">
        <v>190</v>
      </c>
      <c r="D154" s="86">
        <f t="shared" si="60"/>
        <v>0</v>
      </c>
      <c r="E154" s="87"/>
      <c r="F154" s="87"/>
      <c r="G154" s="87"/>
      <c r="H154" s="87"/>
      <c r="I154" s="88">
        <f t="shared" si="61"/>
        <v>0</v>
      </c>
      <c r="J154" s="87"/>
      <c r="K154" s="88"/>
      <c r="L154" s="88"/>
    </row>
    <row r="155" spans="1:12" ht="12.75">
      <c r="A155" s="122" t="s">
        <v>191</v>
      </c>
      <c r="B155" s="95"/>
      <c r="C155" s="96" t="s">
        <v>192</v>
      </c>
      <c r="D155" s="86">
        <f t="shared" si="60"/>
        <v>0</v>
      </c>
      <c r="E155" s="87"/>
      <c r="F155" s="87"/>
      <c r="G155" s="87"/>
      <c r="H155" s="87"/>
      <c r="I155" s="88">
        <f t="shared" si="61"/>
        <v>0</v>
      </c>
      <c r="J155" s="87"/>
      <c r="K155" s="88"/>
      <c r="L155" s="88"/>
    </row>
    <row r="156" spans="1:12" ht="12.75">
      <c r="A156" s="81" t="s">
        <v>197</v>
      </c>
      <c r="B156" s="81"/>
      <c r="C156" s="97" t="s">
        <v>198</v>
      </c>
      <c r="D156" s="98">
        <f aca="true" t="shared" si="64" ref="D156:J156">D157</f>
        <v>23916.399999999998</v>
      </c>
      <c r="E156" s="98">
        <f t="shared" si="64"/>
        <v>5587</v>
      </c>
      <c r="F156" s="98">
        <f t="shared" si="64"/>
        <v>6123.8</v>
      </c>
      <c r="G156" s="98">
        <f t="shared" si="64"/>
        <v>7740.8</v>
      </c>
      <c r="H156" s="98">
        <f t="shared" si="64"/>
        <v>4464.799999999999</v>
      </c>
      <c r="I156" s="98">
        <f t="shared" si="64"/>
        <v>11710.8</v>
      </c>
      <c r="J156" s="98">
        <f t="shared" si="64"/>
        <v>7333.5</v>
      </c>
      <c r="K156" s="83">
        <f t="shared" si="62"/>
        <v>62.62168254944155</v>
      </c>
      <c r="L156" s="83">
        <f t="shared" si="63"/>
        <v>30.663059657808034</v>
      </c>
    </row>
    <row r="157" spans="1:12" ht="24">
      <c r="A157" s="99" t="s">
        <v>229</v>
      </c>
      <c r="B157" s="89"/>
      <c r="C157" s="100" t="s">
        <v>199</v>
      </c>
      <c r="D157" s="86">
        <f>E157+F157+G157+H157</f>
        <v>23916.399999999998</v>
      </c>
      <c r="E157" s="87">
        <v>5587</v>
      </c>
      <c r="F157" s="87">
        <f>2778.5+3045.3+300</f>
        <v>6123.8</v>
      </c>
      <c r="G157" s="87">
        <f>2500.6+2740.8+2205.6+293.8</f>
        <v>7740.8</v>
      </c>
      <c r="H157" s="87">
        <f>2130.1+2334.7</f>
        <v>4464.799999999999</v>
      </c>
      <c r="I157" s="88">
        <f t="shared" si="61"/>
        <v>11710.8</v>
      </c>
      <c r="J157" s="87">
        <v>7333.5</v>
      </c>
      <c r="K157" s="88">
        <f t="shared" si="62"/>
        <v>62.62168254944155</v>
      </c>
      <c r="L157" s="88">
        <f t="shared" si="63"/>
        <v>30.663059657808034</v>
      </c>
    </row>
    <row r="158" spans="1:12" ht="12.75">
      <c r="A158" s="84"/>
      <c r="B158" s="111"/>
      <c r="C158" s="112" t="s">
        <v>204</v>
      </c>
      <c r="D158" s="113">
        <f>D156+D147</f>
        <v>27506.399999999998</v>
      </c>
      <c r="E158" s="113">
        <f aca="true" t="shared" si="65" ref="E158:J158">E156+E147</f>
        <v>6217.5</v>
      </c>
      <c r="F158" s="113">
        <f t="shared" si="65"/>
        <v>6923.3</v>
      </c>
      <c r="G158" s="113">
        <f t="shared" si="65"/>
        <v>8507.3</v>
      </c>
      <c r="H158" s="113">
        <f t="shared" si="65"/>
        <v>5858.299999999999</v>
      </c>
      <c r="I158" s="113">
        <f t="shared" si="65"/>
        <v>13140.8</v>
      </c>
      <c r="J158" s="113">
        <f t="shared" si="65"/>
        <v>8526.1</v>
      </c>
      <c r="K158" s="83">
        <f t="shared" si="62"/>
        <v>64.88265554608547</v>
      </c>
      <c r="L158" s="83">
        <f t="shared" si="63"/>
        <v>30.99678620248379</v>
      </c>
    </row>
    <row r="159" spans="1:12" ht="12.75">
      <c r="A159" s="149"/>
      <c r="B159" s="150"/>
      <c r="C159" s="150"/>
      <c r="D159" s="150"/>
      <c r="E159" s="150"/>
      <c r="F159" s="150"/>
      <c r="G159" s="150"/>
      <c r="H159" s="150"/>
      <c r="I159" s="150"/>
      <c r="J159" s="150"/>
      <c r="K159" s="150"/>
      <c r="L159" s="151"/>
    </row>
    <row r="160" spans="1:12" ht="12.75">
      <c r="A160" s="146" t="s">
        <v>214</v>
      </c>
      <c r="B160" s="147"/>
      <c r="C160" s="147"/>
      <c r="D160" s="147"/>
      <c r="E160" s="147"/>
      <c r="F160" s="147"/>
      <c r="G160" s="147"/>
      <c r="H160" s="147"/>
      <c r="I160" s="147"/>
      <c r="J160" s="147"/>
      <c r="K160" s="147"/>
      <c r="L160" s="148"/>
    </row>
    <row r="161" spans="1:12" ht="12.75">
      <c r="A161" s="81" t="s">
        <v>168</v>
      </c>
      <c r="B161" s="81"/>
      <c r="C161" s="82" t="s">
        <v>237</v>
      </c>
      <c r="D161" s="83">
        <f aca="true" t="shared" si="66" ref="D161:J161">D162+D163+D164+D165+D166+D168+D170+D169+D167</f>
        <v>16175</v>
      </c>
      <c r="E161" s="83">
        <f t="shared" si="66"/>
        <v>3977.4</v>
      </c>
      <c r="F161" s="83">
        <f t="shared" si="66"/>
        <v>3978.4</v>
      </c>
      <c r="G161" s="83">
        <f t="shared" si="66"/>
        <v>4046.4</v>
      </c>
      <c r="H161" s="83">
        <f t="shared" si="66"/>
        <v>4172.8</v>
      </c>
      <c r="I161" s="83">
        <f t="shared" si="66"/>
        <v>7955.8</v>
      </c>
      <c r="J161" s="83">
        <f t="shared" si="66"/>
        <v>5237.9</v>
      </c>
      <c r="K161" s="83">
        <f>J161/I161*100</f>
        <v>65.83750219965307</v>
      </c>
      <c r="L161" s="83">
        <f>J161/D161*100</f>
        <v>32.382689335394126</v>
      </c>
    </row>
    <row r="162" spans="1:12" ht="12.75">
      <c r="A162" s="84" t="s">
        <v>169</v>
      </c>
      <c r="B162" s="84"/>
      <c r="C162" s="85" t="s">
        <v>170</v>
      </c>
      <c r="D162" s="86">
        <f>E162+F162+G162+H162</f>
        <v>13504</v>
      </c>
      <c r="E162" s="87">
        <v>3376</v>
      </c>
      <c r="F162" s="87">
        <v>3376</v>
      </c>
      <c r="G162" s="87">
        <v>3376</v>
      </c>
      <c r="H162" s="87">
        <v>3376</v>
      </c>
      <c r="I162" s="88">
        <f aca="true" t="shared" si="67" ref="I162:I172">E162+F162</f>
        <v>6752</v>
      </c>
      <c r="J162" s="87">
        <v>4205.5</v>
      </c>
      <c r="K162" s="88">
        <f aca="true" t="shared" si="68" ref="K162:K173">J162/I162*100</f>
        <v>62.28524881516587</v>
      </c>
      <c r="L162" s="88">
        <f aca="true" t="shared" si="69" ref="L162:L173">J162/D162*100</f>
        <v>31.142624407582936</v>
      </c>
    </row>
    <row r="163" spans="1:12" ht="12.75">
      <c r="A163" s="89" t="s">
        <v>171</v>
      </c>
      <c r="B163" s="89"/>
      <c r="C163" s="85" t="s">
        <v>172</v>
      </c>
      <c r="D163" s="86">
        <f>E163+F163+G163+H163</f>
        <v>0</v>
      </c>
      <c r="E163" s="87"/>
      <c r="F163" s="87"/>
      <c r="G163" s="87"/>
      <c r="H163" s="87"/>
      <c r="I163" s="88">
        <f t="shared" si="67"/>
        <v>0</v>
      </c>
      <c r="J163" s="87"/>
      <c r="K163" s="88"/>
      <c r="L163" s="88"/>
    </row>
    <row r="164" spans="1:12" ht="12.75">
      <c r="A164" s="89" t="s">
        <v>173</v>
      </c>
      <c r="B164" s="89"/>
      <c r="C164" s="85" t="s">
        <v>174</v>
      </c>
      <c r="D164" s="86">
        <f aca="true" t="shared" si="70" ref="D164:D170">E164+F164+G164+H164</f>
        <v>1700</v>
      </c>
      <c r="E164" s="87">
        <f>15+9+362.5</f>
        <v>386.5</v>
      </c>
      <c r="F164" s="87">
        <f>25+12+362.5</f>
        <v>399.5</v>
      </c>
      <c r="G164" s="87">
        <f>75+30+362.5</f>
        <v>467.5</v>
      </c>
      <c r="H164" s="87">
        <f>65+19+362.5</f>
        <v>446.5</v>
      </c>
      <c r="I164" s="88">
        <f t="shared" si="67"/>
        <v>786</v>
      </c>
      <c r="J164" s="87">
        <v>271.1</v>
      </c>
      <c r="K164" s="88">
        <f t="shared" si="68"/>
        <v>34.4910941475827</v>
      </c>
      <c r="L164" s="88">
        <f t="shared" si="69"/>
        <v>15.947058823529414</v>
      </c>
    </row>
    <row r="165" spans="1:12" ht="12.75">
      <c r="A165" s="89" t="s">
        <v>175</v>
      </c>
      <c r="B165" s="89"/>
      <c r="C165" s="85" t="s">
        <v>176</v>
      </c>
      <c r="D165" s="86">
        <f t="shared" si="70"/>
        <v>190</v>
      </c>
      <c r="E165" s="87">
        <v>47.4</v>
      </c>
      <c r="F165" s="87">
        <v>47.4</v>
      </c>
      <c r="G165" s="87">
        <v>47.4</v>
      </c>
      <c r="H165" s="87">
        <v>47.8</v>
      </c>
      <c r="I165" s="88">
        <f t="shared" si="67"/>
        <v>94.8</v>
      </c>
      <c r="J165" s="87">
        <v>47.9</v>
      </c>
      <c r="K165" s="88">
        <f t="shared" si="68"/>
        <v>50.527426160337555</v>
      </c>
      <c r="L165" s="88">
        <f t="shared" si="69"/>
        <v>25.210526315789473</v>
      </c>
    </row>
    <row r="166" spans="1:12" ht="24">
      <c r="A166" s="90" t="s">
        <v>179</v>
      </c>
      <c r="B166" s="91"/>
      <c r="C166" s="85" t="s">
        <v>180</v>
      </c>
      <c r="D166" s="86">
        <f t="shared" si="70"/>
        <v>440.5</v>
      </c>
      <c r="E166" s="87">
        <f>50+60</f>
        <v>110</v>
      </c>
      <c r="F166" s="87">
        <f>50+60</f>
        <v>110</v>
      </c>
      <c r="G166" s="87">
        <v>110</v>
      </c>
      <c r="H166" s="87">
        <v>110.5</v>
      </c>
      <c r="I166" s="88">
        <f t="shared" si="67"/>
        <v>220</v>
      </c>
      <c r="J166" s="87">
        <v>147.7</v>
      </c>
      <c r="K166" s="88">
        <f t="shared" si="68"/>
        <v>67.13636363636363</v>
      </c>
      <c r="L166" s="88">
        <f t="shared" si="69"/>
        <v>33.53007945516458</v>
      </c>
    </row>
    <row r="167" spans="1:12" ht="12.75">
      <c r="A167" s="93" t="s">
        <v>183</v>
      </c>
      <c r="B167" s="93"/>
      <c r="C167" s="85" t="s">
        <v>184</v>
      </c>
      <c r="D167" s="86">
        <f t="shared" si="70"/>
        <v>145</v>
      </c>
      <c r="E167" s="87">
        <v>45</v>
      </c>
      <c r="F167" s="87">
        <v>33</v>
      </c>
      <c r="G167" s="87">
        <v>33</v>
      </c>
      <c r="H167" s="87">
        <v>34</v>
      </c>
      <c r="I167" s="88">
        <f t="shared" si="67"/>
        <v>78</v>
      </c>
      <c r="J167" s="87">
        <v>56.1</v>
      </c>
      <c r="K167" s="88">
        <f t="shared" si="68"/>
        <v>71.92307692307692</v>
      </c>
      <c r="L167" s="88">
        <f t="shared" si="69"/>
        <v>38.689655172413794</v>
      </c>
    </row>
    <row r="168" spans="1:12" ht="12.75">
      <c r="A168" s="93" t="s">
        <v>185</v>
      </c>
      <c r="B168" s="93"/>
      <c r="C168" s="85" t="s">
        <v>186</v>
      </c>
      <c r="D168" s="86">
        <f t="shared" si="70"/>
        <v>195.5</v>
      </c>
      <c r="E168" s="87">
        <v>12.5</v>
      </c>
      <c r="F168" s="87">
        <v>12.5</v>
      </c>
      <c r="G168" s="87">
        <v>12.5</v>
      </c>
      <c r="H168" s="87">
        <f>12.5+145.5</f>
        <v>158</v>
      </c>
      <c r="I168" s="88">
        <f t="shared" si="67"/>
        <v>25</v>
      </c>
      <c r="J168" s="87">
        <v>88.2</v>
      </c>
      <c r="K168" s="88">
        <f t="shared" si="68"/>
        <v>352.8</v>
      </c>
      <c r="L168" s="88">
        <f t="shared" si="69"/>
        <v>45.1150895140665</v>
      </c>
    </row>
    <row r="169" spans="1:12" ht="12.75">
      <c r="A169" s="84" t="s">
        <v>189</v>
      </c>
      <c r="B169" s="84"/>
      <c r="C169" s="85" t="s">
        <v>190</v>
      </c>
      <c r="D169" s="86">
        <v>0</v>
      </c>
      <c r="E169" s="87"/>
      <c r="F169" s="87"/>
      <c r="G169" s="87"/>
      <c r="H169" s="87"/>
      <c r="I169" s="88">
        <f t="shared" si="67"/>
        <v>0</v>
      </c>
      <c r="J169" s="87">
        <v>421.4</v>
      </c>
      <c r="K169" s="88"/>
      <c r="L169" s="88"/>
    </row>
    <row r="170" spans="1:12" ht="12.75">
      <c r="A170" s="122" t="s">
        <v>191</v>
      </c>
      <c r="B170" s="95"/>
      <c r="C170" s="96" t="s">
        <v>192</v>
      </c>
      <c r="D170" s="86">
        <f t="shared" si="70"/>
        <v>0</v>
      </c>
      <c r="E170" s="87"/>
      <c r="F170" s="87"/>
      <c r="G170" s="87"/>
      <c r="H170" s="87"/>
      <c r="I170" s="88">
        <f t="shared" si="67"/>
        <v>0</v>
      </c>
      <c r="J170" s="87"/>
      <c r="K170" s="88"/>
      <c r="L170" s="88"/>
    </row>
    <row r="171" spans="1:12" ht="12.75">
      <c r="A171" s="81" t="s">
        <v>197</v>
      </c>
      <c r="B171" s="81"/>
      <c r="C171" s="97" t="s">
        <v>198</v>
      </c>
      <c r="D171" s="116">
        <f>D172</f>
        <v>48800.49999999999</v>
      </c>
      <c r="E171" s="116">
        <f aca="true" t="shared" si="71" ref="E171:J171">E172</f>
        <v>14217</v>
      </c>
      <c r="F171" s="116">
        <f t="shared" si="71"/>
        <v>7320.6</v>
      </c>
      <c r="G171" s="116">
        <f t="shared" si="71"/>
        <v>19977.3</v>
      </c>
      <c r="H171" s="116">
        <f t="shared" si="71"/>
        <v>7285.6</v>
      </c>
      <c r="I171" s="116">
        <f t="shared" si="71"/>
        <v>21537.6</v>
      </c>
      <c r="J171" s="116">
        <f t="shared" si="71"/>
        <v>9584.7</v>
      </c>
      <c r="K171" s="83">
        <f t="shared" si="68"/>
        <v>44.502172944060625</v>
      </c>
      <c r="L171" s="83">
        <f t="shared" si="69"/>
        <v>19.64057745309987</v>
      </c>
    </row>
    <row r="172" spans="1:12" ht="24">
      <c r="A172" s="99" t="s">
        <v>229</v>
      </c>
      <c r="B172" s="89"/>
      <c r="C172" s="100" t="s">
        <v>199</v>
      </c>
      <c r="D172" s="86">
        <f>E172+F172+G172+H172</f>
        <v>48800.49999999999</v>
      </c>
      <c r="E172" s="87">
        <v>14217</v>
      </c>
      <c r="F172" s="87">
        <f>2710.6+4575+35</f>
        <v>7320.6</v>
      </c>
      <c r="G172" s="87">
        <f>2710.5+4575+2647.6+9279.5+764.7</f>
        <v>19977.3</v>
      </c>
      <c r="H172" s="87">
        <f>2710.6+4575</f>
        <v>7285.6</v>
      </c>
      <c r="I172" s="88">
        <f t="shared" si="67"/>
        <v>21537.6</v>
      </c>
      <c r="J172" s="87">
        <v>9584.7</v>
      </c>
      <c r="K172" s="88">
        <f t="shared" si="68"/>
        <v>44.502172944060625</v>
      </c>
      <c r="L172" s="88">
        <f t="shared" si="69"/>
        <v>19.64057745309987</v>
      </c>
    </row>
    <row r="173" spans="1:12" ht="12.75">
      <c r="A173" s="84"/>
      <c r="B173" s="111"/>
      <c r="C173" s="112" t="s">
        <v>204</v>
      </c>
      <c r="D173" s="113">
        <f>D171+D161</f>
        <v>64975.49999999999</v>
      </c>
      <c r="E173" s="113">
        <f aca="true" t="shared" si="72" ref="E173:J173">E171+E161</f>
        <v>18194.4</v>
      </c>
      <c r="F173" s="113">
        <f t="shared" si="72"/>
        <v>11299</v>
      </c>
      <c r="G173" s="113">
        <f t="shared" si="72"/>
        <v>24023.7</v>
      </c>
      <c r="H173" s="113">
        <f t="shared" si="72"/>
        <v>11458.400000000001</v>
      </c>
      <c r="I173" s="113">
        <f t="shared" si="72"/>
        <v>29493.399999999998</v>
      </c>
      <c r="J173" s="113">
        <f t="shared" si="72"/>
        <v>14822.6</v>
      </c>
      <c r="K173" s="83">
        <f t="shared" si="68"/>
        <v>50.25734571124387</v>
      </c>
      <c r="L173" s="83">
        <f t="shared" si="69"/>
        <v>22.81259859485499</v>
      </c>
    </row>
    <row r="174" spans="1:12" ht="12.75">
      <c r="A174" s="149"/>
      <c r="B174" s="150"/>
      <c r="C174" s="150"/>
      <c r="D174" s="150"/>
      <c r="E174" s="150"/>
      <c r="F174" s="150"/>
      <c r="G174" s="150"/>
      <c r="H174" s="150"/>
      <c r="I174" s="150"/>
      <c r="J174" s="150"/>
      <c r="K174" s="150"/>
      <c r="L174" s="151"/>
    </row>
    <row r="175" spans="1:12" ht="12.75">
      <c r="A175" s="146" t="s">
        <v>215</v>
      </c>
      <c r="B175" s="147"/>
      <c r="C175" s="147"/>
      <c r="D175" s="147"/>
      <c r="E175" s="147"/>
      <c r="F175" s="147"/>
      <c r="G175" s="147"/>
      <c r="H175" s="147"/>
      <c r="I175" s="147"/>
      <c r="J175" s="147"/>
      <c r="K175" s="147"/>
      <c r="L175" s="148"/>
    </row>
    <row r="176" spans="1:12" ht="12.75">
      <c r="A176" s="81" t="s">
        <v>168</v>
      </c>
      <c r="B176" s="81"/>
      <c r="C176" s="82" t="s">
        <v>237</v>
      </c>
      <c r="D176" s="83">
        <f>D177+D179+D181+D182+D180+D183+D184+D185+D178</f>
        <v>1347.8</v>
      </c>
      <c r="E176" s="83">
        <f aca="true" t="shared" si="73" ref="E176:J176">E177+E179+E181+E182+E180+E183+E184+E185+E178</f>
        <v>178.2</v>
      </c>
      <c r="F176" s="83">
        <f t="shared" si="73"/>
        <v>369</v>
      </c>
      <c r="G176" s="83">
        <f t="shared" si="73"/>
        <v>380.3</v>
      </c>
      <c r="H176" s="83">
        <f t="shared" si="73"/>
        <v>420.3</v>
      </c>
      <c r="I176" s="83">
        <f t="shared" si="73"/>
        <v>547.2</v>
      </c>
      <c r="J176" s="83">
        <f t="shared" si="73"/>
        <v>664.5000000000001</v>
      </c>
      <c r="K176" s="83">
        <f>J176/I176*100</f>
        <v>121.43640350877195</v>
      </c>
      <c r="L176" s="83">
        <f>J176/D176*100</f>
        <v>49.30256714646091</v>
      </c>
    </row>
    <row r="177" spans="1:12" ht="12.75">
      <c r="A177" s="84" t="s">
        <v>169</v>
      </c>
      <c r="B177" s="84"/>
      <c r="C177" s="85" t="s">
        <v>170</v>
      </c>
      <c r="D177" s="86">
        <f aca="true" t="shared" si="74" ref="D177:D185">E177+F177+G177+H177</f>
        <v>1018.1</v>
      </c>
      <c r="E177" s="87">
        <v>120</v>
      </c>
      <c r="F177" s="87">
        <v>300</v>
      </c>
      <c r="G177" s="87">
        <v>280</v>
      </c>
      <c r="H177" s="87">
        <v>318.1</v>
      </c>
      <c r="I177" s="88">
        <f aca="true" t="shared" si="75" ref="I177:I184">E177+F177</f>
        <v>420</v>
      </c>
      <c r="J177" s="87">
        <v>322.6</v>
      </c>
      <c r="K177" s="88">
        <f>J177/I177*100</f>
        <v>76.80952380952381</v>
      </c>
      <c r="L177" s="88">
        <f aca="true" t="shared" si="76" ref="L177:L188">J177/D177*100</f>
        <v>31.6864748060112</v>
      </c>
    </row>
    <row r="178" spans="1:12" ht="12.75">
      <c r="A178" s="89" t="s">
        <v>171</v>
      </c>
      <c r="B178" s="131" t="s">
        <v>218</v>
      </c>
      <c r="C178" s="85" t="s">
        <v>172</v>
      </c>
      <c r="D178" s="86"/>
      <c r="E178" s="87"/>
      <c r="F178" s="87"/>
      <c r="G178" s="87"/>
      <c r="H178" s="87"/>
      <c r="I178" s="88"/>
      <c r="J178" s="87">
        <v>13.2</v>
      </c>
      <c r="K178" s="88"/>
      <c r="L178" s="88"/>
    </row>
    <row r="179" spans="1:12" ht="12.75">
      <c r="A179" s="89" t="s">
        <v>173</v>
      </c>
      <c r="B179" s="89"/>
      <c r="C179" s="85" t="s">
        <v>174</v>
      </c>
      <c r="D179" s="86">
        <f t="shared" si="74"/>
        <v>127</v>
      </c>
      <c r="E179" s="87">
        <f>4+11+1</f>
        <v>16</v>
      </c>
      <c r="F179" s="87">
        <f>3+10+1</f>
        <v>14</v>
      </c>
      <c r="G179" s="87">
        <f>25+22+1</f>
        <v>48</v>
      </c>
      <c r="H179" s="87">
        <f>10+37+2</f>
        <v>49</v>
      </c>
      <c r="I179" s="88">
        <f t="shared" si="75"/>
        <v>30</v>
      </c>
      <c r="J179" s="87">
        <v>6.8</v>
      </c>
      <c r="K179" s="88">
        <f>J179/I179*100</f>
        <v>22.666666666666664</v>
      </c>
      <c r="L179" s="88">
        <f t="shared" si="76"/>
        <v>5.354330708661418</v>
      </c>
    </row>
    <row r="180" spans="1:12" ht="12.75">
      <c r="A180" s="89" t="s">
        <v>175</v>
      </c>
      <c r="B180" s="89"/>
      <c r="C180" s="85" t="s">
        <v>176</v>
      </c>
      <c r="D180" s="86">
        <f t="shared" si="74"/>
        <v>27</v>
      </c>
      <c r="E180" s="87">
        <v>5</v>
      </c>
      <c r="F180" s="87">
        <v>7</v>
      </c>
      <c r="G180" s="87">
        <v>8</v>
      </c>
      <c r="H180" s="87">
        <v>7</v>
      </c>
      <c r="I180" s="88">
        <f t="shared" si="75"/>
        <v>12</v>
      </c>
      <c r="J180" s="87">
        <v>0.5</v>
      </c>
      <c r="K180" s="88">
        <f>J180/I180*100</f>
        <v>4.166666666666666</v>
      </c>
      <c r="L180" s="88">
        <f t="shared" si="76"/>
        <v>1.8518518518518516</v>
      </c>
    </row>
    <row r="181" spans="1:12" ht="24">
      <c r="A181" s="90" t="s">
        <v>179</v>
      </c>
      <c r="B181" s="91"/>
      <c r="C181" s="85" t="s">
        <v>180</v>
      </c>
      <c r="D181" s="86">
        <f t="shared" si="74"/>
        <v>175</v>
      </c>
      <c r="E181" s="87">
        <f>21+11.2+5</f>
        <v>37.2</v>
      </c>
      <c r="F181" s="87">
        <f>36+11.3</f>
        <v>47.3</v>
      </c>
      <c r="G181" s="87">
        <f>33+11.3</f>
        <v>44.3</v>
      </c>
      <c r="H181" s="87">
        <f>35+11.2</f>
        <v>46.2</v>
      </c>
      <c r="I181" s="88">
        <f t="shared" si="75"/>
        <v>84.5</v>
      </c>
      <c r="J181" s="87">
        <v>131.9</v>
      </c>
      <c r="K181" s="88">
        <f>J181/I181*100</f>
        <v>156.09467455621302</v>
      </c>
      <c r="L181" s="88">
        <f t="shared" si="76"/>
        <v>75.37142857142858</v>
      </c>
    </row>
    <row r="182" spans="1:12" ht="12.75">
      <c r="A182" s="92" t="s">
        <v>185</v>
      </c>
      <c r="B182" s="92"/>
      <c r="C182" s="85" t="s">
        <v>186</v>
      </c>
      <c r="D182" s="86">
        <f t="shared" si="74"/>
        <v>0.7</v>
      </c>
      <c r="E182" s="87"/>
      <c r="F182" s="87">
        <v>0.7</v>
      </c>
      <c r="G182" s="87"/>
      <c r="H182" s="87"/>
      <c r="I182" s="88">
        <f t="shared" si="75"/>
        <v>0.7</v>
      </c>
      <c r="J182" s="87">
        <v>0.4</v>
      </c>
      <c r="K182" s="88">
        <f>J182/I182*100</f>
        <v>57.14285714285715</v>
      </c>
      <c r="L182" s="88">
        <f t="shared" si="76"/>
        <v>57.14285714285715</v>
      </c>
    </row>
    <row r="183" spans="1:12" ht="12.75">
      <c r="A183" s="92" t="s">
        <v>189</v>
      </c>
      <c r="B183" s="130"/>
      <c r="C183" s="85" t="s">
        <v>190</v>
      </c>
      <c r="D183" s="86">
        <f t="shared" si="74"/>
        <v>0</v>
      </c>
      <c r="E183" s="87"/>
      <c r="F183" s="87"/>
      <c r="G183" s="87"/>
      <c r="H183" s="87"/>
      <c r="I183" s="88">
        <f t="shared" si="75"/>
        <v>0</v>
      </c>
      <c r="J183" s="87">
        <v>189.1</v>
      </c>
      <c r="K183" s="88"/>
      <c r="L183" s="88"/>
    </row>
    <row r="184" spans="1:12" ht="12.75">
      <c r="A184" s="122" t="s">
        <v>191</v>
      </c>
      <c r="B184" s="95"/>
      <c r="C184" s="96" t="s">
        <v>192</v>
      </c>
      <c r="D184" s="86">
        <f t="shared" si="74"/>
        <v>0</v>
      </c>
      <c r="E184" s="87"/>
      <c r="F184" s="87"/>
      <c r="G184" s="87"/>
      <c r="H184" s="87"/>
      <c r="I184" s="88">
        <f t="shared" si="75"/>
        <v>0</v>
      </c>
      <c r="J184" s="87"/>
      <c r="K184" s="88"/>
      <c r="L184" s="88"/>
    </row>
    <row r="185" spans="1:12" ht="12.75">
      <c r="A185" s="94" t="s">
        <v>195</v>
      </c>
      <c r="B185" s="95"/>
      <c r="C185" s="96" t="s">
        <v>196</v>
      </c>
      <c r="D185" s="86">
        <f t="shared" si="74"/>
        <v>0</v>
      </c>
      <c r="E185" s="86"/>
      <c r="F185" s="86"/>
      <c r="G185" s="86"/>
      <c r="H185" s="86"/>
      <c r="I185" s="83">
        <f>E185</f>
        <v>0</v>
      </c>
      <c r="J185" s="87"/>
      <c r="K185" s="83"/>
      <c r="L185" s="83"/>
    </row>
    <row r="186" spans="1:12" ht="12.75">
      <c r="A186" s="81" t="s">
        <v>197</v>
      </c>
      <c r="B186" s="81"/>
      <c r="C186" s="97" t="s">
        <v>198</v>
      </c>
      <c r="D186" s="98">
        <f aca="true" t="shared" si="77" ref="D186:J186">D187</f>
        <v>23410.7</v>
      </c>
      <c r="E186" s="98">
        <f t="shared" si="77"/>
        <v>4784</v>
      </c>
      <c r="F186" s="98">
        <f t="shared" si="77"/>
        <v>9022.599999999999</v>
      </c>
      <c r="G186" s="98">
        <f t="shared" si="77"/>
        <v>4802.4</v>
      </c>
      <c r="H186" s="98">
        <f t="shared" si="77"/>
        <v>4801.7</v>
      </c>
      <c r="I186" s="98">
        <f t="shared" si="77"/>
        <v>13806.599999999999</v>
      </c>
      <c r="J186" s="98">
        <f t="shared" si="77"/>
        <v>6699.1</v>
      </c>
      <c r="K186" s="83">
        <f>J186/I186*100</f>
        <v>48.52099720423566</v>
      </c>
      <c r="L186" s="83">
        <f t="shared" si="76"/>
        <v>28.615547591485946</v>
      </c>
    </row>
    <row r="187" spans="1:12" ht="24">
      <c r="A187" s="99" t="s">
        <v>229</v>
      </c>
      <c r="B187" s="89"/>
      <c r="C187" s="100" t="s">
        <v>199</v>
      </c>
      <c r="D187" s="86">
        <f>E187+F187+G187+H187</f>
        <v>23410.7</v>
      </c>
      <c r="E187" s="87">
        <f>1548+2293+700+30+33+144+15+21</f>
        <v>4784</v>
      </c>
      <c r="F187" s="87">
        <f>2325.4+3441+2201.4+125.7+929.1</f>
        <v>9022.599999999999</v>
      </c>
      <c r="G187" s="87">
        <f>1935+2867.4</f>
        <v>4802.4</v>
      </c>
      <c r="H187" s="87">
        <f>1932.6+2869.1</f>
        <v>4801.7</v>
      </c>
      <c r="I187" s="88">
        <f>E187+F187</f>
        <v>13806.599999999999</v>
      </c>
      <c r="J187" s="87">
        <v>6699.1</v>
      </c>
      <c r="K187" s="88">
        <f>J187/I187*100</f>
        <v>48.52099720423566</v>
      </c>
      <c r="L187" s="88">
        <f t="shared" si="76"/>
        <v>28.615547591485946</v>
      </c>
    </row>
    <row r="188" spans="1:12" ht="12.75">
      <c r="A188" s="84"/>
      <c r="B188" s="111"/>
      <c r="C188" s="112" t="s">
        <v>204</v>
      </c>
      <c r="D188" s="113">
        <f>D186+D176</f>
        <v>24758.5</v>
      </c>
      <c r="E188" s="113">
        <f aca="true" t="shared" si="78" ref="E188:J188">E186+E176</f>
        <v>4962.2</v>
      </c>
      <c r="F188" s="113">
        <f t="shared" si="78"/>
        <v>9391.599999999999</v>
      </c>
      <c r="G188" s="113">
        <f t="shared" si="78"/>
        <v>5182.7</v>
      </c>
      <c r="H188" s="113">
        <f t="shared" si="78"/>
        <v>5222</v>
      </c>
      <c r="I188" s="113">
        <f t="shared" si="78"/>
        <v>14353.8</v>
      </c>
      <c r="J188" s="113">
        <f t="shared" si="78"/>
        <v>7363.6</v>
      </c>
      <c r="K188" s="83">
        <f>J188/I188*100</f>
        <v>51.300700859702665</v>
      </c>
      <c r="L188" s="83">
        <f t="shared" si="76"/>
        <v>29.74170486903488</v>
      </c>
    </row>
    <row r="189" spans="1:12" ht="12.75">
      <c r="A189" s="149"/>
      <c r="B189" s="150"/>
      <c r="C189" s="150"/>
      <c r="D189" s="150"/>
      <c r="E189" s="150"/>
      <c r="F189" s="150"/>
      <c r="G189" s="150"/>
      <c r="H189" s="150"/>
      <c r="I189" s="150"/>
      <c r="J189" s="150"/>
      <c r="K189" s="150"/>
      <c r="L189" s="151"/>
    </row>
    <row r="190" spans="1:12" ht="12.75">
      <c r="A190" s="146" t="s">
        <v>216</v>
      </c>
      <c r="B190" s="147"/>
      <c r="C190" s="147"/>
      <c r="D190" s="147"/>
      <c r="E190" s="147"/>
      <c r="F190" s="147"/>
      <c r="G190" s="147"/>
      <c r="H190" s="147"/>
      <c r="I190" s="147"/>
      <c r="J190" s="147"/>
      <c r="K190" s="147"/>
      <c r="L190" s="148"/>
    </row>
    <row r="191" spans="1:12" ht="12.75">
      <c r="A191" s="81" t="s">
        <v>168</v>
      </c>
      <c r="B191" s="132"/>
      <c r="C191" s="82" t="s">
        <v>237</v>
      </c>
      <c r="D191" s="83">
        <f aca="true" t="shared" si="79" ref="D191:J191">D192+D193+D194+D195+D197+D198+D200+D202+D199+D196+D205+D203+D201+D204</f>
        <v>762943.9</v>
      </c>
      <c r="E191" s="83">
        <f t="shared" si="79"/>
        <v>175069.89999999997</v>
      </c>
      <c r="F191" s="83">
        <f t="shared" si="79"/>
        <v>191706.8</v>
      </c>
      <c r="G191" s="83">
        <f t="shared" si="79"/>
        <v>180250.90000000002</v>
      </c>
      <c r="H191" s="83">
        <f t="shared" si="79"/>
        <v>215916.30000000002</v>
      </c>
      <c r="I191" s="83">
        <f t="shared" si="79"/>
        <v>366776.70000000007</v>
      </c>
      <c r="J191" s="83">
        <f t="shared" si="79"/>
        <v>308695.5999999999</v>
      </c>
      <c r="K191" s="83">
        <f>J191/I191*100</f>
        <v>84.16445210396404</v>
      </c>
      <c r="L191" s="83">
        <f>J191/D191*100</f>
        <v>40.461113851228106</v>
      </c>
    </row>
    <row r="192" spans="1:12" ht="12.75">
      <c r="A192" s="84" t="s">
        <v>169</v>
      </c>
      <c r="B192" s="133" t="s">
        <v>217</v>
      </c>
      <c r="C192" s="85" t="s">
        <v>170</v>
      </c>
      <c r="D192" s="86">
        <f aca="true" t="shared" si="80" ref="D192:D205">E192+F192+G192+H192</f>
        <v>594412.8</v>
      </c>
      <c r="E192" s="87">
        <f aca="true" t="shared" si="81" ref="E192:J192">E9+E32+E44+E59+E74+E91+E105+E119+E133+E148+E162+E177</f>
        <v>133974.8</v>
      </c>
      <c r="F192" s="87">
        <f t="shared" si="81"/>
        <v>147763.00000000003</v>
      </c>
      <c r="G192" s="87">
        <f t="shared" si="81"/>
        <v>140725.80000000002</v>
      </c>
      <c r="H192" s="87">
        <f t="shared" si="81"/>
        <v>171949.2</v>
      </c>
      <c r="I192" s="87">
        <f t="shared" si="81"/>
        <v>281737.8</v>
      </c>
      <c r="J192" s="87">
        <f t="shared" si="81"/>
        <v>223282.8</v>
      </c>
      <c r="K192" s="88">
        <f aca="true" t="shared" si="82" ref="K192:K210">J192/I192*100</f>
        <v>79.25198535659752</v>
      </c>
      <c r="L192" s="88">
        <f aca="true" t="shared" si="83" ref="L192:L210">J192/D192*100</f>
        <v>37.56359217028973</v>
      </c>
    </row>
    <row r="193" spans="1:12" ht="12.75">
      <c r="A193" s="89" t="s">
        <v>171</v>
      </c>
      <c r="B193" s="131" t="s">
        <v>218</v>
      </c>
      <c r="C193" s="85" t="s">
        <v>172</v>
      </c>
      <c r="D193" s="86">
        <f t="shared" si="80"/>
        <v>33985.6</v>
      </c>
      <c r="E193" s="87">
        <f>E10+E45+E60</f>
        <v>6928.4</v>
      </c>
      <c r="F193" s="87">
        <f>F10+F45+F60</f>
        <v>11828.3</v>
      </c>
      <c r="G193" s="87">
        <f>G10+G45+G60</f>
        <v>8171.4</v>
      </c>
      <c r="H193" s="87">
        <f>H10+H45+H60</f>
        <v>7057.5</v>
      </c>
      <c r="I193" s="87">
        <f>I10+I45+I60+I178</f>
        <v>18756.699999999997</v>
      </c>
      <c r="J193" s="87">
        <f>J10+J45+J60+J178</f>
        <v>14962.400000000001</v>
      </c>
      <c r="K193" s="88">
        <f t="shared" si="82"/>
        <v>79.77096184296813</v>
      </c>
      <c r="L193" s="88">
        <f t="shared" si="83"/>
        <v>44.025705004472485</v>
      </c>
    </row>
    <row r="194" spans="1:12" ht="12.75">
      <c r="A194" s="89" t="s">
        <v>173</v>
      </c>
      <c r="B194" s="131" t="s">
        <v>219</v>
      </c>
      <c r="C194" s="85" t="s">
        <v>174</v>
      </c>
      <c r="D194" s="86">
        <f t="shared" si="80"/>
        <v>27754.800000000003</v>
      </c>
      <c r="E194" s="87">
        <f aca="true" t="shared" si="84" ref="E194:J194">E11+E33+E46+E61+E76+E92+E106+E120+E134+E149+E164+E179</f>
        <v>5740.999999999999</v>
      </c>
      <c r="F194" s="87">
        <f t="shared" si="84"/>
        <v>6105</v>
      </c>
      <c r="G194" s="87">
        <f t="shared" si="84"/>
        <v>6449.400000000001</v>
      </c>
      <c r="H194" s="87">
        <f t="shared" si="84"/>
        <v>9459.4</v>
      </c>
      <c r="I194" s="87">
        <f t="shared" si="84"/>
        <v>11846</v>
      </c>
      <c r="J194" s="87">
        <f t="shared" si="84"/>
        <v>11299.1</v>
      </c>
      <c r="K194" s="88">
        <f t="shared" si="82"/>
        <v>95.38325173054196</v>
      </c>
      <c r="L194" s="88">
        <f t="shared" si="83"/>
        <v>40.71043567238819</v>
      </c>
    </row>
    <row r="195" spans="1:12" ht="12.75">
      <c r="A195" s="89" t="s">
        <v>175</v>
      </c>
      <c r="B195" s="131" t="s">
        <v>220</v>
      </c>
      <c r="C195" s="85" t="s">
        <v>176</v>
      </c>
      <c r="D195" s="86">
        <f t="shared" si="80"/>
        <v>3353</v>
      </c>
      <c r="E195" s="87">
        <f>E12+E34+E62+E77+E93+E107+E121+E135+E150+E165+E180</f>
        <v>774.8</v>
      </c>
      <c r="F195" s="87">
        <f>F12+F34+F62+F77+F93+F107+F121+F135+F150+F165+F180</f>
        <v>785.6</v>
      </c>
      <c r="G195" s="87">
        <f>G12+G34+G62+G77+G93+G107+G121+G135+G150+G165+G180</f>
        <v>995.1</v>
      </c>
      <c r="H195" s="87">
        <f>H12+H34+H62+H77+H93+H107+H121+H135+H150+H165+H180</f>
        <v>797.4999999999999</v>
      </c>
      <c r="I195" s="87">
        <f>I12+I34+I62+I77+I93+I107+I121+I135+I150+I165+I180</f>
        <v>1560.3999999999999</v>
      </c>
      <c r="J195" s="87">
        <f>J12+J34+J47+J62+J77+J93+J107+J121+J135+J150+J165+J180</f>
        <v>1319.9</v>
      </c>
      <c r="K195" s="88">
        <f t="shared" si="82"/>
        <v>84.58728531145861</v>
      </c>
      <c r="L195" s="88">
        <f t="shared" si="83"/>
        <v>39.364747986877425</v>
      </c>
    </row>
    <row r="196" spans="1:12" ht="24">
      <c r="A196" s="134" t="s">
        <v>177</v>
      </c>
      <c r="B196" s="131" t="s">
        <v>221</v>
      </c>
      <c r="C196" s="85" t="s">
        <v>178</v>
      </c>
      <c r="D196" s="86">
        <f t="shared" si="80"/>
        <v>0</v>
      </c>
      <c r="E196" s="135">
        <f aca="true" t="shared" si="85" ref="E196:J196">E13</f>
        <v>0</v>
      </c>
      <c r="F196" s="135">
        <f t="shared" si="85"/>
        <v>0</v>
      </c>
      <c r="G196" s="135">
        <f t="shared" si="85"/>
        <v>0</v>
      </c>
      <c r="H196" s="135">
        <f t="shared" si="85"/>
        <v>0</v>
      </c>
      <c r="I196" s="135">
        <f t="shared" si="85"/>
        <v>0</v>
      </c>
      <c r="J196" s="135">
        <f t="shared" si="85"/>
        <v>0</v>
      </c>
      <c r="K196" s="88"/>
      <c r="L196" s="88"/>
    </row>
    <row r="197" spans="1:12" ht="24">
      <c r="A197" s="90" t="s">
        <v>179</v>
      </c>
      <c r="B197" s="136" t="s">
        <v>222</v>
      </c>
      <c r="C197" s="85" t="s">
        <v>257</v>
      </c>
      <c r="D197" s="86">
        <f t="shared" si="80"/>
        <v>77551</v>
      </c>
      <c r="E197" s="87">
        <f aca="true" t="shared" si="86" ref="E197:J197">E14+E35+E48+E63+E78+E94+E108+E122+E136+E151+E166+E181</f>
        <v>18919.9</v>
      </c>
      <c r="F197" s="87">
        <f t="shared" si="86"/>
        <v>19744</v>
      </c>
      <c r="G197" s="87">
        <f t="shared" si="86"/>
        <v>18696.3</v>
      </c>
      <c r="H197" s="87">
        <f t="shared" si="86"/>
        <v>20190.800000000003</v>
      </c>
      <c r="I197" s="87">
        <f t="shared" si="86"/>
        <v>38663.9</v>
      </c>
      <c r="J197" s="87">
        <f t="shared" si="86"/>
        <v>24890.1</v>
      </c>
      <c r="K197" s="88">
        <f t="shared" si="82"/>
        <v>64.37555445777585</v>
      </c>
      <c r="L197" s="88">
        <f t="shared" si="83"/>
        <v>32.09513739345721</v>
      </c>
    </row>
    <row r="198" spans="1:12" ht="12.75">
      <c r="A198" s="92" t="s">
        <v>181</v>
      </c>
      <c r="B198" s="137" t="s">
        <v>223</v>
      </c>
      <c r="C198" s="85" t="s">
        <v>182</v>
      </c>
      <c r="D198" s="86">
        <f t="shared" si="80"/>
        <v>13500</v>
      </c>
      <c r="E198" s="87">
        <f aca="true" t="shared" si="87" ref="E198:J198">E15</f>
        <v>5600</v>
      </c>
      <c r="F198" s="87">
        <f t="shared" si="87"/>
        <v>2600</v>
      </c>
      <c r="G198" s="87">
        <f t="shared" si="87"/>
        <v>2600</v>
      </c>
      <c r="H198" s="87">
        <f t="shared" si="87"/>
        <v>2700</v>
      </c>
      <c r="I198" s="87">
        <f t="shared" si="87"/>
        <v>8200</v>
      </c>
      <c r="J198" s="87">
        <f t="shared" si="87"/>
        <v>10383.8</v>
      </c>
      <c r="K198" s="88">
        <f t="shared" si="82"/>
        <v>126.63170731707316</v>
      </c>
      <c r="L198" s="88">
        <f t="shared" si="83"/>
        <v>76.91703703703703</v>
      </c>
    </row>
    <row r="199" spans="1:12" ht="12.75">
      <c r="A199" s="93" t="s">
        <v>183</v>
      </c>
      <c r="B199" s="138" t="s">
        <v>224</v>
      </c>
      <c r="C199" s="85" t="s">
        <v>184</v>
      </c>
      <c r="D199" s="86">
        <f t="shared" si="80"/>
        <v>1870.0000000000002</v>
      </c>
      <c r="E199" s="139">
        <f>E16+E79+E95+E123+E137+E152+E167</f>
        <v>420.1</v>
      </c>
      <c r="F199" s="139">
        <f>F16+F79+F95+F123+F137+F152+F167</f>
        <v>420.3</v>
      </c>
      <c r="G199" s="139">
        <f>G16+G79+G95+G123+G137+G152+G167</f>
        <v>400.2</v>
      </c>
      <c r="H199" s="139">
        <f>H16+H79+H95+H123+H137+H152+H167</f>
        <v>629.4000000000001</v>
      </c>
      <c r="I199" s="139">
        <f>I16+I79+I95+I123+I137+I152+I167+I109</f>
        <v>840.4000000000001</v>
      </c>
      <c r="J199" s="139">
        <f>J16+J79+J95+J123+J137+J152+J167+J109</f>
        <v>9229.6</v>
      </c>
      <c r="K199" s="88">
        <f>J199/I199*100</f>
        <v>1098.238933841028</v>
      </c>
      <c r="L199" s="88">
        <f>J199/D199*100</f>
        <v>493.5614973262032</v>
      </c>
    </row>
    <row r="200" spans="1:12" ht="12.75">
      <c r="A200" s="93" t="s">
        <v>185</v>
      </c>
      <c r="B200" s="138" t="s">
        <v>225</v>
      </c>
      <c r="C200" s="85" t="s">
        <v>186</v>
      </c>
      <c r="D200" s="86">
        <f t="shared" si="80"/>
        <v>7200</v>
      </c>
      <c r="E200" s="87">
        <f aca="true" t="shared" si="88" ref="E200:J200">E17+E36+E49+E64+E80+E96+E110+E138+E153+E168+E182+E124</f>
        <v>1892.8999999999999</v>
      </c>
      <c r="F200" s="87">
        <f t="shared" si="88"/>
        <v>1630.7999999999997</v>
      </c>
      <c r="G200" s="87">
        <f t="shared" si="88"/>
        <v>1381.2</v>
      </c>
      <c r="H200" s="87">
        <f t="shared" si="88"/>
        <v>2295.1000000000004</v>
      </c>
      <c r="I200" s="87">
        <f t="shared" si="88"/>
        <v>3523.7</v>
      </c>
      <c r="J200" s="87">
        <f t="shared" si="88"/>
        <v>4548.0999999999985</v>
      </c>
      <c r="K200" s="88">
        <f t="shared" si="82"/>
        <v>129.07171439112292</v>
      </c>
      <c r="L200" s="88">
        <f t="shared" si="83"/>
        <v>63.16805555555553</v>
      </c>
    </row>
    <row r="201" spans="1:12" ht="12.75">
      <c r="A201" s="93" t="s">
        <v>187</v>
      </c>
      <c r="B201" s="93"/>
      <c r="C201" s="85" t="s">
        <v>188</v>
      </c>
      <c r="D201" s="86">
        <f t="shared" si="80"/>
        <v>10</v>
      </c>
      <c r="E201" s="87">
        <f aca="true" t="shared" si="89" ref="E201:J201">E18</f>
        <v>1</v>
      </c>
      <c r="F201" s="87">
        <f t="shared" si="89"/>
        <v>3</v>
      </c>
      <c r="G201" s="87">
        <f t="shared" si="89"/>
        <v>3</v>
      </c>
      <c r="H201" s="87">
        <f t="shared" si="89"/>
        <v>3</v>
      </c>
      <c r="I201" s="87">
        <f t="shared" si="89"/>
        <v>4</v>
      </c>
      <c r="J201" s="87">
        <f t="shared" si="89"/>
        <v>6.4</v>
      </c>
      <c r="K201" s="88">
        <f t="shared" si="82"/>
        <v>160</v>
      </c>
      <c r="L201" s="88">
        <f t="shared" si="83"/>
        <v>64</v>
      </c>
    </row>
    <row r="202" spans="1:12" ht="12.75">
      <c r="A202" s="84" t="s">
        <v>189</v>
      </c>
      <c r="B202" s="133" t="s">
        <v>226</v>
      </c>
      <c r="C202" s="85" t="s">
        <v>190</v>
      </c>
      <c r="D202" s="87">
        <f aca="true" t="shared" si="90" ref="D202:I202">D19+D169+D183+D65+D125</f>
        <v>3306.7000000000003</v>
      </c>
      <c r="E202" s="87">
        <f t="shared" si="90"/>
        <v>817</v>
      </c>
      <c r="F202" s="87">
        <f t="shared" si="90"/>
        <v>826.8</v>
      </c>
      <c r="G202" s="87">
        <f t="shared" si="90"/>
        <v>828.5</v>
      </c>
      <c r="H202" s="87">
        <f t="shared" si="90"/>
        <v>834.4</v>
      </c>
      <c r="I202" s="87">
        <f t="shared" si="90"/>
        <v>1643.8</v>
      </c>
      <c r="J202" s="87">
        <f>J19+J169+J183+J65+J125</f>
        <v>7691.6</v>
      </c>
      <c r="K202" s="88">
        <f t="shared" si="82"/>
        <v>467.91580484243826</v>
      </c>
      <c r="L202" s="88">
        <f t="shared" si="83"/>
        <v>232.60652614388965</v>
      </c>
    </row>
    <row r="203" spans="1:12" ht="12.75">
      <c r="A203" s="94" t="s">
        <v>191</v>
      </c>
      <c r="B203" s="140" t="s">
        <v>221</v>
      </c>
      <c r="C203" s="96" t="s">
        <v>192</v>
      </c>
      <c r="D203" s="86">
        <f t="shared" si="80"/>
        <v>0</v>
      </c>
      <c r="E203" s="87">
        <f aca="true" t="shared" si="91" ref="E203:J203">E20+E37+E51+E66+E82+E97+E112+E126+E140+E155+E170+E184</f>
        <v>0</v>
      </c>
      <c r="F203" s="87">
        <f t="shared" si="91"/>
        <v>0</v>
      </c>
      <c r="G203" s="87">
        <f t="shared" si="91"/>
        <v>0</v>
      </c>
      <c r="H203" s="87">
        <f t="shared" si="91"/>
        <v>0</v>
      </c>
      <c r="I203" s="87">
        <f t="shared" si="91"/>
        <v>0</v>
      </c>
      <c r="J203" s="87">
        <f t="shared" si="91"/>
        <v>1081.8</v>
      </c>
      <c r="K203" s="88"/>
      <c r="L203" s="88"/>
    </row>
    <row r="204" spans="1:12" ht="12.75">
      <c r="A204" s="94" t="s">
        <v>193</v>
      </c>
      <c r="B204" s="95"/>
      <c r="C204" s="96" t="s">
        <v>194</v>
      </c>
      <c r="D204" s="86">
        <f t="shared" si="80"/>
        <v>0</v>
      </c>
      <c r="E204" s="87">
        <f aca="true" t="shared" si="92" ref="E204:H205">E21</f>
        <v>0</v>
      </c>
      <c r="F204" s="87">
        <f t="shared" si="92"/>
        <v>0</v>
      </c>
      <c r="G204" s="87">
        <f t="shared" si="92"/>
        <v>0</v>
      </c>
      <c r="H204" s="87">
        <f t="shared" si="92"/>
        <v>0</v>
      </c>
      <c r="I204" s="88">
        <f>E204</f>
        <v>0</v>
      </c>
      <c r="J204" s="87">
        <f>J21</f>
        <v>0</v>
      </c>
      <c r="K204" s="88"/>
      <c r="L204" s="88"/>
    </row>
    <row r="205" spans="1:12" ht="12.75">
      <c r="A205" s="94" t="s">
        <v>195</v>
      </c>
      <c r="B205" s="140" t="s">
        <v>221</v>
      </c>
      <c r="C205" s="96" t="s">
        <v>196</v>
      </c>
      <c r="D205" s="86">
        <f t="shared" si="80"/>
        <v>0</v>
      </c>
      <c r="E205" s="87">
        <f t="shared" si="92"/>
        <v>0</v>
      </c>
      <c r="F205" s="87">
        <f t="shared" si="92"/>
        <v>0</v>
      </c>
      <c r="G205" s="87">
        <f t="shared" si="92"/>
        <v>0</v>
      </c>
      <c r="H205" s="87">
        <f t="shared" si="92"/>
        <v>0</v>
      </c>
      <c r="I205" s="88">
        <f>E205</f>
        <v>0</v>
      </c>
      <c r="J205" s="87">
        <f>J22+J185+J83+J141</f>
        <v>0</v>
      </c>
      <c r="K205" s="88"/>
      <c r="L205" s="88"/>
    </row>
    <row r="206" spans="1:12" ht="12.75">
      <c r="A206" s="81" t="s">
        <v>197</v>
      </c>
      <c r="B206" s="132"/>
      <c r="C206" s="97" t="s">
        <v>198</v>
      </c>
      <c r="D206" s="98">
        <f>D207+D208+D209</f>
        <v>3133595.9000000004</v>
      </c>
      <c r="E206" s="98">
        <f aca="true" t="shared" si="93" ref="E206:J206">E207+E208+E209</f>
        <v>584312.4</v>
      </c>
      <c r="F206" s="98">
        <f t="shared" si="93"/>
        <v>1184775.2</v>
      </c>
      <c r="G206" s="98">
        <f t="shared" si="93"/>
        <v>680257.8</v>
      </c>
      <c r="H206" s="98">
        <f t="shared" si="93"/>
        <v>684250.5</v>
      </c>
      <c r="I206" s="98">
        <f t="shared" si="93"/>
        <v>1769087.6</v>
      </c>
      <c r="J206" s="98">
        <f t="shared" si="93"/>
        <v>869124.2</v>
      </c>
      <c r="K206" s="83">
        <f t="shared" si="82"/>
        <v>49.12838685885311</v>
      </c>
      <c r="L206" s="83">
        <f t="shared" si="83"/>
        <v>27.735682191823134</v>
      </c>
    </row>
    <row r="207" spans="1:12" ht="24">
      <c r="A207" s="99" t="s">
        <v>229</v>
      </c>
      <c r="B207" s="131" t="s">
        <v>227</v>
      </c>
      <c r="C207" s="100" t="s">
        <v>199</v>
      </c>
      <c r="D207" s="105">
        <f>E207+F207+G207+H207</f>
        <v>3104395.9000000004</v>
      </c>
      <c r="E207" s="105">
        <f>E24-5301.3</f>
        <v>575017.4</v>
      </c>
      <c r="F207" s="105">
        <f>F24-7951.9-535.1</f>
        <v>1177460.2</v>
      </c>
      <c r="G207" s="105">
        <f>G24-7243</f>
        <v>673962.8</v>
      </c>
      <c r="H207" s="105">
        <f>H24-6170</f>
        <v>677955.5</v>
      </c>
      <c r="I207" s="105">
        <f>E207+F207</f>
        <v>1752477.6</v>
      </c>
      <c r="J207" s="105">
        <f>J24-5390.8</f>
        <v>858055.7</v>
      </c>
      <c r="K207" s="107">
        <f t="shared" si="82"/>
        <v>48.96243466963571</v>
      </c>
      <c r="L207" s="107">
        <f t="shared" si="83"/>
        <v>27.640021686666955</v>
      </c>
    </row>
    <row r="208" spans="1:12" ht="12.75">
      <c r="A208" s="101" t="s">
        <v>200</v>
      </c>
      <c r="B208" s="101" t="s">
        <v>228</v>
      </c>
      <c r="C208" s="102" t="s">
        <v>201</v>
      </c>
      <c r="D208" s="106">
        <f aca="true" t="shared" si="94" ref="D208:I208">D25+D86+D100</f>
        <v>29200</v>
      </c>
      <c r="E208" s="106">
        <f>E25+E86+E100</f>
        <v>9295</v>
      </c>
      <c r="F208" s="106">
        <f t="shared" si="94"/>
        <v>7315</v>
      </c>
      <c r="G208" s="106">
        <f t="shared" si="94"/>
        <v>6295</v>
      </c>
      <c r="H208" s="106">
        <f t="shared" si="94"/>
        <v>6295</v>
      </c>
      <c r="I208" s="106">
        <f t="shared" si="94"/>
        <v>16610</v>
      </c>
      <c r="J208" s="106">
        <f>J25+J86+J100</f>
        <v>17355.9</v>
      </c>
      <c r="K208" s="107">
        <f t="shared" si="82"/>
        <v>104.49066827212523</v>
      </c>
      <c r="L208" s="107">
        <f t="shared" si="83"/>
        <v>59.438013698630144</v>
      </c>
    </row>
    <row r="209" spans="1:12" ht="24">
      <c r="A209" s="99" t="s">
        <v>230</v>
      </c>
      <c r="B209" s="141"/>
      <c r="C209" s="124" t="s">
        <v>203</v>
      </c>
      <c r="D209" s="105">
        <f>E209+F209+G209+H209</f>
        <v>0</v>
      </c>
      <c r="E209" s="106">
        <f aca="true" t="shared" si="95" ref="E209:J209">E27</f>
        <v>0</v>
      </c>
      <c r="F209" s="106">
        <f t="shared" si="95"/>
        <v>0</v>
      </c>
      <c r="G209" s="106">
        <f t="shared" si="95"/>
        <v>0</v>
      </c>
      <c r="H209" s="106">
        <f t="shared" si="95"/>
        <v>0</v>
      </c>
      <c r="I209" s="105">
        <f t="shared" si="95"/>
        <v>0</v>
      </c>
      <c r="J209" s="106">
        <f t="shared" si="95"/>
        <v>-6287.4</v>
      </c>
      <c r="K209" s="110"/>
      <c r="L209" s="110"/>
    </row>
    <row r="210" spans="1:12" ht="12.75">
      <c r="A210" s="142"/>
      <c r="B210" s="143"/>
      <c r="C210" s="144" t="s">
        <v>204</v>
      </c>
      <c r="D210" s="145">
        <f>D206+D191</f>
        <v>3896539.8000000003</v>
      </c>
      <c r="E210" s="145">
        <f aca="true" t="shared" si="96" ref="E210:J210">E206+E191</f>
        <v>759382.3</v>
      </c>
      <c r="F210" s="145">
        <f t="shared" si="96"/>
        <v>1376482</v>
      </c>
      <c r="G210" s="145">
        <f t="shared" si="96"/>
        <v>860508.7000000001</v>
      </c>
      <c r="H210" s="145">
        <f t="shared" si="96"/>
        <v>900166.8</v>
      </c>
      <c r="I210" s="145">
        <f t="shared" si="96"/>
        <v>2135864.3000000003</v>
      </c>
      <c r="J210" s="145">
        <f t="shared" si="96"/>
        <v>1177819.7999999998</v>
      </c>
      <c r="K210" s="83">
        <f t="shared" si="82"/>
        <v>55.14487975663995</v>
      </c>
      <c r="L210" s="83">
        <f t="shared" si="83"/>
        <v>30.227326306278197</v>
      </c>
    </row>
  </sheetData>
  <sheetProtection/>
  <mergeCells count="27">
    <mergeCell ref="A146:L146"/>
    <mergeCell ref="A159:L159"/>
    <mergeCell ref="A160:L160"/>
    <mergeCell ref="A174:L174"/>
    <mergeCell ref="A175:L175"/>
    <mergeCell ref="A103:L103"/>
    <mergeCell ref="A116:L116"/>
    <mergeCell ref="A117:L117"/>
    <mergeCell ref="A130:L130"/>
    <mergeCell ref="A131:L131"/>
    <mergeCell ref="A145:L145"/>
    <mergeCell ref="A57:L57"/>
    <mergeCell ref="A71:L71"/>
    <mergeCell ref="A72:L72"/>
    <mergeCell ref="A88:L88"/>
    <mergeCell ref="A89:L89"/>
    <mergeCell ref="A102:L102"/>
    <mergeCell ref="A42:L42"/>
    <mergeCell ref="A189:L189"/>
    <mergeCell ref="A190:L190"/>
    <mergeCell ref="A1:L1"/>
    <mergeCell ref="A2:L2"/>
    <mergeCell ref="A7:L7"/>
    <mergeCell ref="A29:L29"/>
    <mergeCell ref="A30:L30"/>
    <mergeCell ref="C41:L41"/>
    <mergeCell ref="A56:L56"/>
  </mergeCells>
  <printOptions/>
  <pageMargins left="0.79" right="0.1968503937007874" top="0.1968503937007874" bottom="0.19" header="0.15748031496062992" footer="0.1968503937007874"/>
  <pageSetup fitToHeight="7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1"/>
  <sheetViews>
    <sheetView zoomScalePageLayoutView="0" workbookViewId="0" topLeftCell="A96">
      <selection activeCell="B138" sqref="B137:B138"/>
    </sheetView>
  </sheetViews>
  <sheetFormatPr defaultColWidth="9.00390625" defaultRowHeight="12.75"/>
  <cols>
    <col min="2" max="2" width="46.25390625" style="0" customWidth="1"/>
    <col min="3" max="3" width="13.625" style="0" customWidth="1"/>
    <col min="4" max="4" width="12.375" style="0" customWidth="1"/>
    <col min="5" max="5" width="11.25390625" style="0" customWidth="1"/>
    <col min="6" max="6" width="14.00390625" style="0" customWidth="1"/>
    <col min="7" max="7" width="11.375" style="0" customWidth="1"/>
    <col min="9" max="9" width="12.00390625" style="0" customWidth="1"/>
    <col min="10" max="10" width="12.875" style="0" customWidth="1"/>
  </cols>
  <sheetData>
    <row r="1" spans="1:11" ht="14.25" customHeight="1">
      <c r="A1" s="179" t="s">
        <v>246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ht="14.25" customHeight="1" thickBot="1">
      <c r="A2" s="57"/>
      <c r="B2" s="58"/>
      <c r="C2" s="59"/>
      <c r="D2" s="2"/>
      <c r="E2" s="60"/>
      <c r="F2" s="3"/>
      <c r="G2" s="4"/>
      <c r="H2" s="4"/>
      <c r="I2" s="5"/>
      <c r="J2" s="6"/>
      <c r="K2" s="6"/>
    </row>
    <row r="3" spans="1:11" ht="12.75" customHeight="1">
      <c r="A3" s="180" t="s">
        <v>0</v>
      </c>
      <c r="B3" s="182" t="s">
        <v>1</v>
      </c>
      <c r="C3" s="184" t="s">
        <v>2</v>
      </c>
      <c r="D3" s="184"/>
      <c r="E3" s="184"/>
      <c r="F3" s="185" t="s">
        <v>3</v>
      </c>
      <c r="G3" s="185"/>
      <c r="H3" s="185"/>
      <c r="I3" s="162" t="s">
        <v>4</v>
      </c>
      <c r="J3" s="162"/>
      <c r="K3" s="163"/>
    </row>
    <row r="4" spans="1:11" ht="12.75" customHeight="1">
      <c r="A4" s="181"/>
      <c r="B4" s="183"/>
      <c r="C4" s="164" t="s">
        <v>5</v>
      </c>
      <c r="D4" s="164" t="s">
        <v>247</v>
      </c>
      <c r="E4" s="164" t="s">
        <v>6</v>
      </c>
      <c r="F4" s="164" t="s">
        <v>5</v>
      </c>
      <c r="G4" s="171" t="s">
        <v>247</v>
      </c>
      <c r="H4" s="171" t="s">
        <v>6</v>
      </c>
      <c r="I4" s="172" t="s">
        <v>5</v>
      </c>
      <c r="J4" s="167" t="s">
        <v>248</v>
      </c>
      <c r="K4" s="168" t="s">
        <v>6</v>
      </c>
    </row>
    <row r="5" spans="1:11" ht="12.75" customHeight="1">
      <c r="A5" s="181"/>
      <c r="B5" s="183"/>
      <c r="C5" s="165"/>
      <c r="D5" s="164"/>
      <c r="E5" s="166"/>
      <c r="F5" s="165"/>
      <c r="G5" s="171"/>
      <c r="H5" s="165"/>
      <c r="I5" s="173"/>
      <c r="J5" s="167"/>
      <c r="K5" s="169"/>
    </row>
    <row r="6" spans="1:11" ht="24.75" customHeight="1">
      <c r="A6" s="181"/>
      <c r="B6" s="174" t="s">
        <v>7</v>
      </c>
      <c r="C6" s="174"/>
      <c r="D6" s="174"/>
      <c r="E6" s="174"/>
      <c r="F6" s="174"/>
      <c r="G6" s="174"/>
      <c r="H6" s="174"/>
      <c r="I6" s="174"/>
      <c r="J6" s="174"/>
      <c r="K6" s="175"/>
    </row>
    <row r="7" spans="1:11" ht="12.75">
      <c r="A7" s="181"/>
      <c r="B7" s="174"/>
      <c r="C7" s="174"/>
      <c r="D7" s="174"/>
      <c r="E7" s="174"/>
      <c r="F7" s="174"/>
      <c r="G7" s="174"/>
      <c r="H7" s="174"/>
      <c r="I7" s="174"/>
      <c r="J7" s="174"/>
      <c r="K7" s="175"/>
    </row>
    <row r="8" spans="1:11" ht="12.75">
      <c r="A8" s="181"/>
      <c r="B8" s="174"/>
      <c r="C8" s="174"/>
      <c r="D8" s="174"/>
      <c r="E8" s="174"/>
      <c r="F8" s="174"/>
      <c r="G8" s="174"/>
      <c r="H8" s="174"/>
      <c r="I8" s="174"/>
      <c r="J8" s="174"/>
      <c r="K8" s="175"/>
    </row>
    <row r="9" spans="1:11" ht="12.75">
      <c r="A9" s="32" t="s">
        <v>8</v>
      </c>
      <c r="B9" s="33" t="s">
        <v>9</v>
      </c>
      <c r="C9" s="34">
        <f>SUM(C10:C17)</f>
        <v>240029.09999999998</v>
      </c>
      <c r="D9" s="34">
        <f>SUM(D10:D17)</f>
        <v>94224.1</v>
      </c>
      <c r="E9" s="34">
        <f>D9/C9*100</f>
        <v>39.25528196372857</v>
      </c>
      <c r="F9" s="34">
        <f>F10+F11+F12+F13+F14+F16+F17+F15</f>
        <v>180301.5</v>
      </c>
      <c r="G9" s="34">
        <f>SUM(G10:G17)</f>
        <v>65784.5</v>
      </c>
      <c r="H9" s="35">
        <f>G9/F9*100</f>
        <v>36.4858306780587</v>
      </c>
      <c r="I9" s="34">
        <f>SUM(I10:I17)</f>
        <v>419656.6</v>
      </c>
      <c r="J9" s="34">
        <f>SUM(J10:J17)</f>
        <v>159414.59999999998</v>
      </c>
      <c r="K9" s="36">
        <f>J9/I9*100</f>
        <v>37.98691596891363</v>
      </c>
    </row>
    <row r="10" spans="1:11" ht="12.75">
      <c r="A10" s="37" t="s">
        <v>10</v>
      </c>
      <c r="B10" s="38" t="s">
        <v>11</v>
      </c>
      <c r="C10" s="29">
        <v>14331</v>
      </c>
      <c r="D10" s="29">
        <v>6825.9</v>
      </c>
      <c r="E10" s="29">
        <f>D10/C10*100</f>
        <v>47.630311911241364</v>
      </c>
      <c r="F10" s="39">
        <v>33628.3</v>
      </c>
      <c r="G10" s="30">
        <v>14161.7</v>
      </c>
      <c r="H10" s="39">
        <f>G10/F10*100</f>
        <v>42.11244695687858</v>
      </c>
      <c r="I10" s="40">
        <f aca="true" t="shared" si="0" ref="I10:J80">C10+F10</f>
        <v>47959.3</v>
      </c>
      <c r="J10" s="31">
        <f t="shared" si="0"/>
        <v>20987.6</v>
      </c>
      <c r="K10" s="41">
        <f aca="true" t="shared" si="1" ref="K10:K82">J10/I10*100</f>
        <v>43.76127257904097</v>
      </c>
    </row>
    <row r="11" spans="1:11" ht="22.5">
      <c r="A11" s="37" t="s">
        <v>12</v>
      </c>
      <c r="B11" s="38" t="s">
        <v>13</v>
      </c>
      <c r="C11" s="29">
        <v>24324</v>
      </c>
      <c r="D11" s="29">
        <v>10252.1</v>
      </c>
      <c r="E11" s="29">
        <f aca="true" t="shared" si="2" ref="E11:E19">D11/C11*100</f>
        <v>42.148084196678184</v>
      </c>
      <c r="F11" s="39">
        <v>0</v>
      </c>
      <c r="G11" s="30">
        <v>0</v>
      </c>
      <c r="H11" s="39">
        <v>0</v>
      </c>
      <c r="I11" s="40">
        <f t="shared" si="0"/>
        <v>24324</v>
      </c>
      <c r="J11" s="31">
        <f t="shared" si="0"/>
        <v>10252.1</v>
      </c>
      <c r="K11" s="41">
        <f t="shared" si="1"/>
        <v>42.148084196678184</v>
      </c>
    </row>
    <row r="12" spans="1:11" ht="12.75">
      <c r="A12" s="37" t="s">
        <v>14</v>
      </c>
      <c r="B12" s="38" t="s">
        <v>15</v>
      </c>
      <c r="C12" s="29">
        <v>113281.4</v>
      </c>
      <c r="D12" s="29">
        <v>45962.9</v>
      </c>
      <c r="E12" s="29">
        <f t="shared" si="2"/>
        <v>40.57409248120168</v>
      </c>
      <c r="F12" s="39">
        <v>111571.4</v>
      </c>
      <c r="G12" s="30">
        <v>42429</v>
      </c>
      <c r="H12" s="39">
        <f aca="true" t="shared" si="3" ref="H12:H19">G12/F12*100</f>
        <v>38.028562875432236</v>
      </c>
      <c r="I12" s="40">
        <f t="shared" si="0"/>
        <v>224852.8</v>
      </c>
      <c r="J12" s="31">
        <f t="shared" si="0"/>
        <v>88391.9</v>
      </c>
      <c r="K12" s="41">
        <f t="shared" si="1"/>
        <v>39.31100702326144</v>
      </c>
    </row>
    <row r="13" spans="1:11" ht="12.75">
      <c r="A13" s="37" t="s">
        <v>16</v>
      </c>
      <c r="B13" s="38" t="s">
        <v>17</v>
      </c>
      <c r="C13" s="29">
        <v>5.8</v>
      </c>
      <c r="D13" s="29">
        <v>0</v>
      </c>
      <c r="E13" s="29"/>
      <c r="F13" s="39">
        <v>0</v>
      </c>
      <c r="G13" s="30">
        <v>0</v>
      </c>
      <c r="H13" s="39">
        <v>0</v>
      </c>
      <c r="I13" s="40">
        <f t="shared" si="0"/>
        <v>5.8</v>
      </c>
      <c r="J13" s="31">
        <f t="shared" si="0"/>
        <v>0</v>
      </c>
      <c r="K13" s="41"/>
    </row>
    <row r="14" spans="1:11" ht="12.75">
      <c r="A14" s="37" t="s">
        <v>18</v>
      </c>
      <c r="B14" s="38" t="s">
        <v>19</v>
      </c>
      <c r="C14" s="29">
        <v>28851.6</v>
      </c>
      <c r="D14" s="29">
        <v>12491.1</v>
      </c>
      <c r="E14" s="29">
        <f t="shared" si="2"/>
        <v>43.29430603502059</v>
      </c>
      <c r="F14" s="39">
        <v>594</v>
      </c>
      <c r="G14" s="30">
        <v>154.6</v>
      </c>
      <c r="H14" s="39">
        <f t="shared" si="3"/>
        <v>26.026936026936028</v>
      </c>
      <c r="I14" s="40">
        <f>C14+F14-594</f>
        <v>28851.6</v>
      </c>
      <c r="J14" s="31">
        <f>D14+G14-594</f>
        <v>12051.7</v>
      </c>
      <c r="K14" s="41">
        <f t="shared" si="1"/>
        <v>41.77134023762981</v>
      </c>
    </row>
    <row r="15" spans="1:11" ht="12.75">
      <c r="A15" s="42" t="s">
        <v>239</v>
      </c>
      <c r="B15" s="38" t="s">
        <v>240</v>
      </c>
      <c r="C15" s="29"/>
      <c r="D15" s="29"/>
      <c r="E15" s="29"/>
      <c r="F15" s="39">
        <v>8625</v>
      </c>
      <c r="G15" s="30">
        <v>0</v>
      </c>
      <c r="H15" s="39"/>
      <c r="I15" s="40">
        <f>C15+F15</f>
        <v>8625</v>
      </c>
      <c r="J15" s="31">
        <f t="shared" si="0"/>
        <v>0</v>
      </c>
      <c r="K15" s="41">
        <f t="shared" si="1"/>
        <v>0</v>
      </c>
    </row>
    <row r="16" spans="1:11" ht="12.75">
      <c r="A16" s="42" t="s">
        <v>20</v>
      </c>
      <c r="B16" s="38" t="s">
        <v>21</v>
      </c>
      <c r="C16" s="29">
        <v>4536</v>
      </c>
      <c r="D16" s="29">
        <v>0</v>
      </c>
      <c r="E16" s="29">
        <f t="shared" si="2"/>
        <v>0</v>
      </c>
      <c r="F16" s="39">
        <v>1340.5</v>
      </c>
      <c r="G16" s="30">
        <v>0</v>
      </c>
      <c r="H16" s="39">
        <f t="shared" si="3"/>
        <v>0</v>
      </c>
      <c r="I16" s="40">
        <f t="shared" si="0"/>
        <v>5876.5</v>
      </c>
      <c r="J16" s="31">
        <f t="shared" si="0"/>
        <v>0</v>
      </c>
      <c r="K16" s="41">
        <f t="shared" si="1"/>
        <v>0</v>
      </c>
    </row>
    <row r="17" spans="1:11" ht="12.75">
      <c r="A17" s="37" t="s">
        <v>22</v>
      </c>
      <c r="B17" s="38" t="s">
        <v>23</v>
      </c>
      <c r="C17" s="29">
        <v>54699.3</v>
      </c>
      <c r="D17" s="29">
        <v>18692.1</v>
      </c>
      <c r="E17" s="29">
        <f t="shared" si="2"/>
        <v>34.17246655807295</v>
      </c>
      <c r="F17" s="39">
        <v>24542.3</v>
      </c>
      <c r="G17" s="30">
        <v>9039.2</v>
      </c>
      <c r="H17" s="39">
        <f t="shared" si="3"/>
        <v>36.83110384927248</v>
      </c>
      <c r="I17" s="40">
        <f>C17+F17-80</f>
        <v>79161.6</v>
      </c>
      <c r="J17" s="31">
        <f>D17+G17</f>
        <v>27731.3</v>
      </c>
      <c r="K17" s="41">
        <f t="shared" si="1"/>
        <v>35.03125252647748</v>
      </c>
    </row>
    <row r="18" spans="1:11" ht="12.75" customHeight="1">
      <c r="A18" s="32" t="s">
        <v>24</v>
      </c>
      <c r="B18" s="33" t="s">
        <v>25</v>
      </c>
      <c r="C18" s="34">
        <f aca="true" t="shared" si="4" ref="C18:J18">C19</f>
        <v>3567.9</v>
      </c>
      <c r="D18" s="34">
        <f t="shared" si="4"/>
        <v>3567.9</v>
      </c>
      <c r="E18" s="34">
        <f t="shared" si="4"/>
        <v>100</v>
      </c>
      <c r="F18" s="34">
        <f t="shared" si="4"/>
        <v>3567.9</v>
      </c>
      <c r="G18" s="34">
        <f t="shared" si="4"/>
        <v>878.6</v>
      </c>
      <c r="H18" s="43">
        <f t="shared" si="4"/>
        <v>24.625129628072536</v>
      </c>
      <c r="I18" s="34">
        <f t="shared" si="4"/>
        <v>3567.9</v>
      </c>
      <c r="J18" s="34">
        <f t="shared" si="4"/>
        <v>878.5999999999999</v>
      </c>
      <c r="K18" s="44">
        <f t="shared" si="1"/>
        <v>24.625129628072532</v>
      </c>
    </row>
    <row r="19" spans="1:11" ht="12.75" customHeight="1">
      <c r="A19" s="37" t="s">
        <v>26</v>
      </c>
      <c r="B19" s="38" t="s">
        <v>27</v>
      </c>
      <c r="C19" s="29">
        <v>3567.9</v>
      </c>
      <c r="D19" s="29">
        <v>3567.9</v>
      </c>
      <c r="E19" s="29">
        <f t="shared" si="2"/>
        <v>100</v>
      </c>
      <c r="F19" s="39">
        <v>3567.9</v>
      </c>
      <c r="G19" s="30">
        <v>878.6</v>
      </c>
      <c r="H19" s="39">
        <f t="shared" si="3"/>
        <v>24.625129628072536</v>
      </c>
      <c r="I19" s="40">
        <f>C19+F19-3567.9</f>
        <v>3567.9</v>
      </c>
      <c r="J19" s="31">
        <f>D19+G19-3567.9</f>
        <v>878.5999999999999</v>
      </c>
      <c r="K19" s="41">
        <f t="shared" si="1"/>
        <v>24.625129628072532</v>
      </c>
    </row>
    <row r="20" spans="1:11" ht="12.75" customHeight="1">
      <c r="A20" s="178" t="s">
        <v>28</v>
      </c>
      <c r="B20" s="186" t="s">
        <v>29</v>
      </c>
      <c r="C20" s="170">
        <f>C23+C24+C22</f>
        <v>31604.7</v>
      </c>
      <c r="D20" s="170">
        <f>D23+D24+D22</f>
        <v>8402.4</v>
      </c>
      <c r="E20" s="170">
        <f>D20/C20*100</f>
        <v>26.585919182906338</v>
      </c>
      <c r="F20" s="170">
        <f>F23+F24+F22</f>
        <v>11030.8</v>
      </c>
      <c r="G20" s="170">
        <f>G23+G24+G22</f>
        <v>1028.4</v>
      </c>
      <c r="H20" s="170">
        <f>G20/F20*100</f>
        <v>9.322986546759983</v>
      </c>
      <c r="I20" s="170">
        <f>I23+I24+I22</f>
        <v>40934.5</v>
      </c>
      <c r="J20" s="170">
        <f>SUM(J22:J24)</f>
        <v>8629.8</v>
      </c>
      <c r="K20" s="170">
        <f>J20/I20*100</f>
        <v>21.08197241935287</v>
      </c>
    </row>
    <row r="21" spans="1:11" ht="12.75" customHeight="1">
      <c r="A21" s="178"/>
      <c r="B21" s="186"/>
      <c r="C21" s="170"/>
      <c r="D21" s="170"/>
      <c r="E21" s="170"/>
      <c r="F21" s="170"/>
      <c r="G21" s="170"/>
      <c r="H21" s="170"/>
      <c r="I21" s="170"/>
      <c r="J21" s="170"/>
      <c r="K21" s="170"/>
    </row>
    <row r="22" spans="1:11" ht="12.75">
      <c r="A22" s="42" t="s">
        <v>30</v>
      </c>
      <c r="B22" s="38" t="s">
        <v>31</v>
      </c>
      <c r="C22" s="29">
        <v>5428.2</v>
      </c>
      <c r="D22" s="29">
        <v>2325</v>
      </c>
      <c r="E22" s="29">
        <f aca="true" t="shared" si="5" ref="E22:E95">D22/C22*100</f>
        <v>42.83187797059799</v>
      </c>
      <c r="F22" s="187">
        <v>761</v>
      </c>
      <c r="G22" s="30">
        <v>164.2</v>
      </c>
      <c r="H22" s="39">
        <f>G22/F22*100</f>
        <v>21.57687253613666</v>
      </c>
      <c r="I22" s="40">
        <f>C22+F22-761</f>
        <v>5428.2</v>
      </c>
      <c r="J22" s="31">
        <f>D22+G22-761</f>
        <v>1728.1999999999998</v>
      </c>
      <c r="K22" s="41">
        <f>J22/I22*100</f>
        <v>31.83744150915589</v>
      </c>
    </row>
    <row r="23" spans="1:11" ht="12.75">
      <c r="A23" s="37" t="s">
        <v>32</v>
      </c>
      <c r="B23" s="38" t="s">
        <v>33</v>
      </c>
      <c r="C23" s="29">
        <v>16640.8</v>
      </c>
      <c r="D23" s="29">
        <v>6037.4</v>
      </c>
      <c r="E23" s="29">
        <f t="shared" si="5"/>
        <v>36.280707658285664</v>
      </c>
      <c r="F23" s="39">
        <v>10229.8</v>
      </c>
      <c r="G23" s="30">
        <v>853.7</v>
      </c>
      <c r="H23" s="39">
        <f>G23/F23*100</f>
        <v>8.34522669064889</v>
      </c>
      <c r="I23" s="40">
        <f>C23+F23-900</f>
        <v>25970.6</v>
      </c>
      <c r="J23" s="31">
        <f>D23+G23</f>
        <v>6891.099999999999</v>
      </c>
      <c r="K23" s="41">
        <f>J23/I23*100</f>
        <v>26.53423486557877</v>
      </c>
    </row>
    <row r="24" spans="1:11" ht="22.5">
      <c r="A24" s="42" t="s">
        <v>34</v>
      </c>
      <c r="B24" s="38" t="s">
        <v>35</v>
      </c>
      <c r="C24" s="29">
        <v>9535.7</v>
      </c>
      <c r="D24" s="29">
        <v>40</v>
      </c>
      <c r="E24" s="29">
        <f t="shared" si="5"/>
        <v>0.41947628385960123</v>
      </c>
      <c r="F24" s="39">
        <v>40</v>
      </c>
      <c r="G24" s="30">
        <v>10.5</v>
      </c>
      <c r="H24" s="39">
        <f>G24/F24*100</f>
        <v>26.25</v>
      </c>
      <c r="I24" s="40">
        <f>C24+F24-40</f>
        <v>9535.7</v>
      </c>
      <c r="J24" s="31">
        <f>D24+G24-40</f>
        <v>10.5</v>
      </c>
      <c r="K24" s="41">
        <f>J24/I24*100</f>
        <v>0.11011252451314532</v>
      </c>
    </row>
    <row r="25" spans="1:11" ht="12.75">
      <c r="A25" s="32" t="s">
        <v>36</v>
      </c>
      <c r="B25" s="33" t="s">
        <v>37</v>
      </c>
      <c r="C25" s="34">
        <f>SUM(C26:C44)</f>
        <v>208461.8</v>
      </c>
      <c r="D25" s="34">
        <f>SUM(D26:D44)</f>
        <v>45791.7</v>
      </c>
      <c r="E25" s="34">
        <f>D25/C25*100</f>
        <v>21.966470595571945</v>
      </c>
      <c r="F25" s="34">
        <f>SUM(F26:F44)</f>
        <v>92782.99999999999</v>
      </c>
      <c r="G25" s="34">
        <f>SUM(G26:G44)</f>
        <v>14550.099999999999</v>
      </c>
      <c r="H25" s="35">
        <f>G25/F25*100</f>
        <v>15.68185982345904</v>
      </c>
      <c r="I25" s="34">
        <f>SUM(I26:I44)</f>
        <v>255617.90000000002</v>
      </c>
      <c r="J25" s="34">
        <f>SUM(J26:J44)</f>
        <v>56105.200000000004</v>
      </c>
      <c r="K25" s="36">
        <f t="shared" si="1"/>
        <v>21.94885412954257</v>
      </c>
    </row>
    <row r="26" spans="1:11" ht="22.5">
      <c r="A26" s="42" t="s">
        <v>38</v>
      </c>
      <c r="B26" s="45" t="s">
        <v>39</v>
      </c>
      <c r="C26" s="29">
        <v>10341.5</v>
      </c>
      <c r="D26" s="29">
        <v>3229.8</v>
      </c>
      <c r="E26" s="29">
        <f t="shared" si="5"/>
        <v>31.23144611516705</v>
      </c>
      <c r="F26" s="27">
        <v>3474.2</v>
      </c>
      <c r="G26" s="28">
        <v>2830.3</v>
      </c>
      <c r="H26" s="39">
        <f>G26/F26*100</f>
        <v>81.46623683150078</v>
      </c>
      <c r="I26" s="40">
        <f>C26+F26-2752.1</f>
        <v>11063.6</v>
      </c>
      <c r="J26" s="40">
        <f>D26+G26-2752.1</f>
        <v>3308.0000000000005</v>
      </c>
      <c r="K26" s="41">
        <f t="shared" si="1"/>
        <v>29.899851766152068</v>
      </c>
    </row>
    <row r="27" spans="1:11" ht="12.75">
      <c r="A27" s="37" t="s">
        <v>40</v>
      </c>
      <c r="B27" s="38" t="s">
        <v>41</v>
      </c>
      <c r="C27" s="29">
        <v>52997.8</v>
      </c>
      <c r="D27" s="29">
        <v>14852.9</v>
      </c>
      <c r="E27" s="29">
        <f t="shared" si="5"/>
        <v>28.02550294540528</v>
      </c>
      <c r="F27" s="39">
        <v>0</v>
      </c>
      <c r="G27" s="30">
        <v>0</v>
      </c>
      <c r="H27" s="39">
        <v>0</v>
      </c>
      <c r="I27" s="40">
        <f t="shared" si="0"/>
        <v>52997.8</v>
      </c>
      <c r="J27" s="31">
        <f t="shared" si="0"/>
        <v>14852.9</v>
      </c>
      <c r="K27" s="41">
        <f t="shared" si="1"/>
        <v>28.02550294540528</v>
      </c>
    </row>
    <row r="28" spans="1:11" ht="12.75">
      <c r="A28" s="37" t="s">
        <v>42</v>
      </c>
      <c r="B28" s="38" t="s">
        <v>43</v>
      </c>
      <c r="C28" s="27">
        <v>6650</v>
      </c>
      <c r="D28" s="29">
        <v>3798.1</v>
      </c>
      <c r="E28" s="29">
        <f t="shared" si="5"/>
        <v>57.114285714285714</v>
      </c>
      <c r="F28" s="39">
        <v>0</v>
      </c>
      <c r="G28" s="30">
        <v>0</v>
      </c>
      <c r="H28" s="39">
        <v>0</v>
      </c>
      <c r="I28" s="40">
        <f t="shared" si="0"/>
        <v>6650</v>
      </c>
      <c r="J28" s="31">
        <f t="shared" si="0"/>
        <v>3798.1</v>
      </c>
      <c r="K28" s="41">
        <f t="shared" si="1"/>
        <v>57.114285714285714</v>
      </c>
    </row>
    <row r="29" spans="1:11" ht="12.75">
      <c r="A29" s="37" t="s">
        <v>42</v>
      </c>
      <c r="B29" s="38" t="s">
        <v>44</v>
      </c>
      <c r="C29" s="27">
        <v>13896</v>
      </c>
      <c r="D29" s="29">
        <v>4296.7</v>
      </c>
      <c r="E29" s="29">
        <f t="shared" si="5"/>
        <v>30.92040875071963</v>
      </c>
      <c r="F29" s="28">
        <v>13405</v>
      </c>
      <c r="G29" s="187">
        <v>4497.7</v>
      </c>
      <c r="H29" s="39">
        <f>G29/F29*100</f>
        <v>33.55240581872436</v>
      </c>
      <c r="I29" s="40">
        <f t="shared" si="0"/>
        <v>27301</v>
      </c>
      <c r="J29" s="31">
        <f t="shared" si="0"/>
        <v>8794.4</v>
      </c>
      <c r="K29" s="41">
        <f t="shared" si="1"/>
        <v>32.21273946009304</v>
      </c>
    </row>
    <row r="30" spans="1:11" ht="12.75">
      <c r="A30" s="37" t="s">
        <v>42</v>
      </c>
      <c r="B30" s="38" t="s">
        <v>45</v>
      </c>
      <c r="C30" s="27">
        <v>7931</v>
      </c>
      <c r="D30" s="29">
        <v>0</v>
      </c>
      <c r="E30" s="29">
        <f t="shared" si="5"/>
        <v>0</v>
      </c>
      <c r="F30" s="187">
        <v>0</v>
      </c>
      <c r="G30" s="187">
        <v>0</v>
      </c>
      <c r="H30" s="39">
        <v>0</v>
      </c>
      <c r="I30" s="40">
        <f t="shared" si="0"/>
        <v>7931</v>
      </c>
      <c r="J30" s="31">
        <f t="shared" si="0"/>
        <v>0</v>
      </c>
      <c r="K30" s="41">
        <f t="shared" si="1"/>
        <v>0</v>
      </c>
    </row>
    <row r="31" spans="1:11" ht="12.75">
      <c r="A31" s="37" t="s">
        <v>46</v>
      </c>
      <c r="B31" s="38" t="s">
        <v>47</v>
      </c>
      <c r="C31" s="27">
        <v>40682</v>
      </c>
      <c r="D31" s="29">
        <v>2115.5</v>
      </c>
      <c r="E31" s="29">
        <f t="shared" si="5"/>
        <v>5.20008849122462</v>
      </c>
      <c r="F31" s="187">
        <v>40000.7</v>
      </c>
      <c r="G31" s="187">
        <v>0</v>
      </c>
      <c r="H31" s="39">
        <f>G31/F31*100</f>
        <v>0</v>
      </c>
      <c r="I31" s="40">
        <f>C31+F31-36021.8</f>
        <v>44660.899999999994</v>
      </c>
      <c r="J31" s="31">
        <f>D31+G31</f>
        <v>2115.5</v>
      </c>
      <c r="K31" s="41">
        <f t="shared" si="1"/>
        <v>4.736805572659755</v>
      </c>
    </row>
    <row r="32" spans="1:11" ht="33.75">
      <c r="A32" s="37" t="s">
        <v>46</v>
      </c>
      <c r="B32" s="46" t="s">
        <v>136</v>
      </c>
      <c r="C32" s="27">
        <v>2092.2</v>
      </c>
      <c r="D32" s="29">
        <v>540</v>
      </c>
      <c r="E32" s="29">
        <f t="shared" si="5"/>
        <v>25.810151993117298</v>
      </c>
      <c r="F32" s="187">
        <v>0</v>
      </c>
      <c r="G32" s="187">
        <v>0</v>
      </c>
      <c r="H32" s="39">
        <v>0</v>
      </c>
      <c r="I32" s="40">
        <f t="shared" si="0"/>
        <v>2092.2</v>
      </c>
      <c r="J32" s="31">
        <f t="shared" si="0"/>
        <v>540</v>
      </c>
      <c r="K32" s="41">
        <f t="shared" si="1"/>
        <v>25.810151993117298</v>
      </c>
    </row>
    <row r="33" spans="1:11" ht="12.75">
      <c r="A33" s="42" t="s">
        <v>46</v>
      </c>
      <c r="B33" s="38" t="s">
        <v>120</v>
      </c>
      <c r="C33" s="27">
        <v>0</v>
      </c>
      <c r="D33" s="29">
        <v>0</v>
      </c>
      <c r="E33" s="29">
        <v>0</v>
      </c>
      <c r="F33" s="28">
        <v>24998.2</v>
      </c>
      <c r="G33" s="28">
        <v>5846.5</v>
      </c>
      <c r="H33" s="39">
        <f>G33/F33*100</f>
        <v>23.38768391324175</v>
      </c>
      <c r="I33" s="40">
        <f>C33+F33</f>
        <v>24998.2</v>
      </c>
      <c r="J33" s="31">
        <f>D33+G33</f>
        <v>5846.5</v>
      </c>
      <c r="K33" s="41">
        <f>J33/I33*100</f>
        <v>23.38768391324175</v>
      </c>
    </row>
    <row r="34" spans="1:11" ht="33.75">
      <c r="A34" s="42" t="s">
        <v>46</v>
      </c>
      <c r="B34" s="38" t="s">
        <v>148</v>
      </c>
      <c r="C34" s="27">
        <v>5406.3</v>
      </c>
      <c r="D34" s="29">
        <v>37.8</v>
      </c>
      <c r="E34" s="29">
        <f t="shared" si="5"/>
        <v>0.6991842850008323</v>
      </c>
      <c r="F34" s="28">
        <v>5857.7</v>
      </c>
      <c r="G34" s="28">
        <v>98.4</v>
      </c>
      <c r="H34" s="39">
        <f>G34/F34*100</f>
        <v>1.6798402103214574</v>
      </c>
      <c r="I34" s="40">
        <f>C34+F34-5406.3</f>
        <v>5857.7</v>
      </c>
      <c r="J34" s="31">
        <f>D34+G34-37.8</f>
        <v>98.39999999999999</v>
      </c>
      <c r="K34" s="41">
        <f>J34/I34*100</f>
        <v>1.6798402103214574</v>
      </c>
    </row>
    <row r="35" spans="1:11" ht="12.75">
      <c r="A35" s="37" t="s">
        <v>48</v>
      </c>
      <c r="B35" s="38" t="s">
        <v>49</v>
      </c>
      <c r="C35" s="27">
        <v>4232.1</v>
      </c>
      <c r="D35" s="29">
        <v>1115.5</v>
      </c>
      <c r="E35" s="29">
        <f t="shared" si="5"/>
        <v>26.358072824366154</v>
      </c>
      <c r="F35" s="28">
        <v>3100.5</v>
      </c>
      <c r="G35" s="187">
        <v>958.4</v>
      </c>
      <c r="H35" s="39">
        <f>G35/F35*100</f>
        <v>30.911143363973554</v>
      </c>
      <c r="I35" s="40">
        <f t="shared" si="0"/>
        <v>7332.6</v>
      </c>
      <c r="J35" s="31">
        <f t="shared" si="0"/>
        <v>2073.9</v>
      </c>
      <c r="K35" s="41">
        <f t="shared" si="1"/>
        <v>28.28328287374192</v>
      </c>
    </row>
    <row r="36" spans="1:11" ht="12.75">
      <c r="A36" s="37" t="s">
        <v>50</v>
      </c>
      <c r="B36" s="38" t="s">
        <v>51</v>
      </c>
      <c r="C36" s="27">
        <v>3500</v>
      </c>
      <c r="D36" s="27">
        <v>89.1</v>
      </c>
      <c r="E36" s="27">
        <f t="shared" si="5"/>
        <v>2.5457142857142854</v>
      </c>
      <c r="F36" s="28">
        <v>500</v>
      </c>
      <c r="G36" s="28">
        <v>110.5</v>
      </c>
      <c r="H36" s="39">
        <f>G36/F36*100</f>
        <v>22.1</v>
      </c>
      <c r="I36" s="40">
        <f t="shared" si="0"/>
        <v>4000</v>
      </c>
      <c r="J36" s="31">
        <f t="shared" si="0"/>
        <v>199.6</v>
      </c>
      <c r="K36" s="41">
        <f t="shared" si="1"/>
        <v>4.99</v>
      </c>
    </row>
    <row r="37" spans="1:11" ht="56.25">
      <c r="A37" s="37" t="s">
        <v>50</v>
      </c>
      <c r="B37" s="46" t="s">
        <v>241</v>
      </c>
      <c r="C37" s="27">
        <v>26459.3</v>
      </c>
      <c r="D37" s="27">
        <v>5387.1</v>
      </c>
      <c r="E37" s="27">
        <f t="shared" si="5"/>
        <v>20.359949053829844</v>
      </c>
      <c r="F37" s="28">
        <v>0</v>
      </c>
      <c r="G37" s="28">
        <v>0</v>
      </c>
      <c r="H37" s="39">
        <v>0</v>
      </c>
      <c r="I37" s="40">
        <f t="shared" si="0"/>
        <v>26459.3</v>
      </c>
      <c r="J37" s="31">
        <f t="shared" si="0"/>
        <v>5387.1</v>
      </c>
      <c r="K37" s="41">
        <f t="shared" si="1"/>
        <v>20.359949053829844</v>
      </c>
    </row>
    <row r="38" spans="1:11" ht="33.75">
      <c r="A38" s="37" t="s">
        <v>50</v>
      </c>
      <c r="B38" s="46" t="s">
        <v>137</v>
      </c>
      <c r="C38" s="27">
        <v>2738.3</v>
      </c>
      <c r="D38" s="28">
        <v>2663.8</v>
      </c>
      <c r="E38" s="27">
        <f t="shared" si="5"/>
        <v>97.27933389329145</v>
      </c>
      <c r="F38" s="28">
        <v>0</v>
      </c>
      <c r="G38" s="28">
        <v>0</v>
      </c>
      <c r="H38" s="39">
        <v>0</v>
      </c>
      <c r="I38" s="40">
        <f t="shared" si="0"/>
        <v>2738.3</v>
      </c>
      <c r="J38" s="31">
        <f t="shared" si="0"/>
        <v>2663.8</v>
      </c>
      <c r="K38" s="41">
        <f t="shared" si="1"/>
        <v>97.27933389329145</v>
      </c>
    </row>
    <row r="39" spans="1:11" ht="33.75">
      <c r="A39" s="37" t="s">
        <v>50</v>
      </c>
      <c r="B39" s="46" t="s">
        <v>138</v>
      </c>
      <c r="C39" s="27">
        <v>4000</v>
      </c>
      <c r="D39" s="28">
        <v>843.9</v>
      </c>
      <c r="E39" s="27">
        <f t="shared" si="5"/>
        <v>21.0975</v>
      </c>
      <c r="F39" s="28">
        <v>0</v>
      </c>
      <c r="G39" s="28">
        <v>0</v>
      </c>
      <c r="H39" s="39">
        <v>0</v>
      </c>
      <c r="I39" s="40">
        <f t="shared" si="0"/>
        <v>4000</v>
      </c>
      <c r="J39" s="31">
        <f t="shared" si="0"/>
        <v>843.9</v>
      </c>
      <c r="K39" s="41">
        <f t="shared" si="1"/>
        <v>21.0975</v>
      </c>
    </row>
    <row r="40" spans="1:11" ht="22.5">
      <c r="A40" s="42" t="s">
        <v>50</v>
      </c>
      <c r="B40" s="46" t="s">
        <v>52</v>
      </c>
      <c r="C40" s="27">
        <v>18107.5</v>
      </c>
      <c r="D40" s="28">
        <v>4149.2</v>
      </c>
      <c r="E40" s="27">
        <f t="shared" si="5"/>
        <v>22.914262046113485</v>
      </c>
      <c r="F40" s="28">
        <v>0</v>
      </c>
      <c r="G40" s="28">
        <v>0</v>
      </c>
      <c r="H40" s="39">
        <v>0</v>
      </c>
      <c r="I40" s="40">
        <f t="shared" si="0"/>
        <v>18107.5</v>
      </c>
      <c r="J40" s="31">
        <f t="shared" si="0"/>
        <v>4149.2</v>
      </c>
      <c r="K40" s="41">
        <f t="shared" si="1"/>
        <v>22.914262046113485</v>
      </c>
    </row>
    <row r="41" spans="1:11" ht="22.5">
      <c r="A41" s="42" t="s">
        <v>50</v>
      </c>
      <c r="B41" s="46" t="s">
        <v>53</v>
      </c>
      <c r="C41" s="27">
        <v>1588.6</v>
      </c>
      <c r="D41" s="28">
        <v>180.6</v>
      </c>
      <c r="E41" s="27">
        <f>D41/C41*100</f>
        <v>11.368500566536573</v>
      </c>
      <c r="F41" s="28">
        <v>0</v>
      </c>
      <c r="G41" s="28">
        <v>0</v>
      </c>
      <c r="H41" s="39">
        <v>0</v>
      </c>
      <c r="I41" s="40">
        <f t="shared" si="0"/>
        <v>1588.6</v>
      </c>
      <c r="J41" s="31">
        <f t="shared" si="0"/>
        <v>180.6</v>
      </c>
      <c r="K41" s="41">
        <f>J41/I41*100</f>
        <v>11.368500566536573</v>
      </c>
    </row>
    <row r="42" spans="1:11" ht="45">
      <c r="A42" s="42" t="s">
        <v>50</v>
      </c>
      <c r="B42" s="46" t="s">
        <v>249</v>
      </c>
      <c r="C42" s="27">
        <v>1856.7</v>
      </c>
      <c r="D42" s="28">
        <v>660</v>
      </c>
      <c r="E42" s="27">
        <f>D42/C42*100</f>
        <v>35.54693811601228</v>
      </c>
      <c r="F42" s="28">
        <v>0</v>
      </c>
      <c r="G42" s="28">
        <v>0</v>
      </c>
      <c r="H42" s="39"/>
      <c r="I42" s="40">
        <f t="shared" si="0"/>
        <v>1856.7</v>
      </c>
      <c r="J42" s="31">
        <f t="shared" si="0"/>
        <v>660</v>
      </c>
      <c r="K42" s="41">
        <f>J42/I42*100</f>
        <v>35.54693811601228</v>
      </c>
    </row>
    <row r="43" spans="1:11" ht="22.5">
      <c r="A43" s="42" t="s">
        <v>50</v>
      </c>
      <c r="B43" s="46" t="s">
        <v>250</v>
      </c>
      <c r="C43" s="27">
        <v>3741</v>
      </c>
      <c r="D43" s="28">
        <v>0</v>
      </c>
      <c r="E43" s="27">
        <f>D43/C43*100</f>
        <v>0</v>
      </c>
      <c r="F43" s="28">
        <v>0</v>
      </c>
      <c r="G43" s="28">
        <v>0</v>
      </c>
      <c r="H43" s="39"/>
      <c r="I43" s="40">
        <f t="shared" si="0"/>
        <v>3741</v>
      </c>
      <c r="J43" s="31">
        <f t="shared" si="0"/>
        <v>0</v>
      </c>
      <c r="K43" s="41">
        <f>J43/I43*100</f>
        <v>0</v>
      </c>
    </row>
    <row r="44" spans="1:11" ht="33.75">
      <c r="A44" s="42" t="s">
        <v>50</v>
      </c>
      <c r="B44" s="46" t="s">
        <v>155</v>
      </c>
      <c r="C44" s="27">
        <v>2241.5</v>
      </c>
      <c r="D44" s="28">
        <v>1831.7</v>
      </c>
      <c r="E44" s="27">
        <f>D44/C44*100</f>
        <v>81.71759982154808</v>
      </c>
      <c r="F44" s="28">
        <f>1446.7</f>
        <v>1446.7</v>
      </c>
      <c r="G44" s="28">
        <v>208.3</v>
      </c>
      <c r="H44" s="39">
        <f>G44/F44*100</f>
        <v>14.398285753784476</v>
      </c>
      <c r="I44" s="40">
        <f>C44+F44-1446.7</f>
        <v>2241.5</v>
      </c>
      <c r="J44" s="31">
        <f>D44+G44-1446.7</f>
        <v>593.3</v>
      </c>
      <c r="K44" s="41">
        <f>J44/I44*100</f>
        <v>26.46888244479143</v>
      </c>
    </row>
    <row r="45" spans="1:11" ht="12.75">
      <c r="A45" s="32" t="s">
        <v>54</v>
      </c>
      <c r="B45" s="33" t="s">
        <v>55</v>
      </c>
      <c r="C45" s="34">
        <f>SUM(C46:C70)</f>
        <v>856139.0999999999</v>
      </c>
      <c r="D45" s="34">
        <f>SUM(D46:D70)</f>
        <v>224609.50000000006</v>
      </c>
      <c r="E45" s="34">
        <f>D45/C45*100</f>
        <v>26.235164355885637</v>
      </c>
      <c r="F45" s="47">
        <f>SUM(F46:F69)</f>
        <v>128633.20000000001</v>
      </c>
      <c r="G45" s="47">
        <f>SUM(G46:G69)</f>
        <v>19620.4</v>
      </c>
      <c r="H45" s="47">
        <f>G45/F45*100</f>
        <v>15.252982900215494</v>
      </c>
      <c r="I45" s="34">
        <f>SUM(I46:I70)</f>
        <v>942542.4999999998</v>
      </c>
      <c r="J45" s="34">
        <f>SUM(J46:J70)</f>
        <v>236760.20000000007</v>
      </c>
      <c r="K45" s="36">
        <f t="shared" si="1"/>
        <v>25.119312922228985</v>
      </c>
    </row>
    <row r="46" spans="1:11" ht="12.75">
      <c r="A46" s="37" t="s">
        <v>56</v>
      </c>
      <c r="B46" s="38" t="s">
        <v>57</v>
      </c>
      <c r="C46" s="27">
        <v>0</v>
      </c>
      <c r="D46" s="27"/>
      <c r="E46" s="27"/>
      <c r="F46" s="28">
        <v>27497.5</v>
      </c>
      <c r="G46" s="28">
        <v>3818</v>
      </c>
      <c r="H46" s="39">
        <f>G46/F46*100</f>
        <v>13.884898627147923</v>
      </c>
      <c r="I46" s="40">
        <f t="shared" si="0"/>
        <v>27497.5</v>
      </c>
      <c r="J46" s="31">
        <f t="shared" si="0"/>
        <v>3818</v>
      </c>
      <c r="K46" s="41">
        <f t="shared" si="1"/>
        <v>13.884898627147923</v>
      </c>
    </row>
    <row r="47" spans="1:11" ht="45">
      <c r="A47" s="37" t="s">
        <v>56</v>
      </c>
      <c r="B47" s="38" t="s">
        <v>121</v>
      </c>
      <c r="C47" s="27">
        <v>572309.6</v>
      </c>
      <c r="D47" s="27">
        <v>122309.6</v>
      </c>
      <c r="E47" s="29">
        <f t="shared" si="5"/>
        <v>21.371229837836026</v>
      </c>
      <c r="F47" s="39">
        <v>0</v>
      </c>
      <c r="G47" s="30">
        <v>0</v>
      </c>
      <c r="H47" s="39">
        <v>0</v>
      </c>
      <c r="I47" s="40">
        <f>C47+F47</f>
        <v>572309.6</v>
      </c>
      <c r="J47" s="31">
        <f>D47+G47</f>
        <v>122309.6</v>
      </c>
      <c r="K47" s="41">
        <f t="shared" si="1"/>
        <v>21.371229837836026</v>
      </c>
    </row>
    <row r="48" spans="1:11" ht="33.75">
      <c r="A48" s="37" t="s">
        <v>56</v>
      </c>
      <c r="B48" s="38" t="s">
        <v>251</v>
      </c>
      <c r="C48" s="27">
        <v>18650.2</v>
      </c>
      <c r="D48" s="27">
        <v>14450.2</v>
      </c>
      <c r="E48" s="29">
        <f t="shared" si="5"/>
        <v>77.48013426129478</v>
      </c>
      <c r="F48" s="39">
        <v>0</v>
      </c>
      <c r="G48" s="30">
        <v>0</v>
      </c>
      <c r="H48" s="39">
        <v>0</v>
      </c>
      <c r="I48" s="40">
        <f t="shared" si="0"/>
        <v>18650.2</v>
      </c>
      <c r="J48" s="31">
        <f t="shared" si="0"/>
        <v>14450.2</v>
      </c>
      <c r="K48" s="41">
        <f t="shared" si="1"/>
        <v>77.48013426129478</v>
      </c>
    </row>
    <row r="49" spans="1:11" ht="22.5">
      <c r="A49" s="42" t="s">
        <v>56</v>
      </c>
      <c r="B49" s="38" t="s">
        <v>149</v>
      </c>
      <c r="C49" s="27">
        <v>29636.7</v>
      </c>
      <c r="D49" s="27">
        <v>160.7</v>
      </c>
      <c r="E49" s="29">
        <f t="shared" si="5"/>
        <v>0.5422331096242159</v>
      </c>
      <c r="F49" s="39">
        <v>31972.2</v>
      </c>
      <c r="G49" s="30">
        <v>0</v>
      </c>
      <c r="H49" s="39">
        <f aca="true" t="shared" si="6" ref="H49:H54">G49/F49*100</f>
        <v>0</v>
      </c>
      <c r="I49" s="40">
        <f>C49+F49-29636.7</f>
        <v>31972.2</v>
      </c>
      <c r="J49" s="31">
        <f>D49+G49-160.7</f>
        <v>0</v>
      </c>
      <c r="K49" s="41">
        <f t="shared" si="1"/>
        <v>0</v>
      </c>
    </row>
    <row r="50" spans="1:11" ht="33.75">
      <c r="A50" s="42" t="s">
        <v>56</v>
      </c>
      <c r="B50" s="38" t="s">
        <v>139</v>
      </c>
      <c r="C50" s="27">
        <v>200</v>
      </c>
      <c r="D50" s="27"/>
      <c r="E50" s="29">
        <v>0</v>
      </c>
      <c r="F50" s="39">
        <v>200</v>
      </c>
      <c r="G50" s="30">
        <v>20.8</v>
      </c>
      <c r="H50" s="39">
        <f t="shared" si="6"/>
        <v>10.4</v>
      </c>
      <c r="I50" s="40">
        <f>C50+F50-200</f>
        <v>200</v>
      </c>
      <c r="J50" s="31">
        <f t="shared" si="0"/>
        <v>20.8</v>
      </c>
      <c r="K50" s="41">
        <f t="shared" si="1"/>
        <v>10.4</v>
      </c>
    </row>
    <row r="51" spans="1:11" ht="45">
      <c r="A51" s="42" t="s">
        <v>56</v>
      </c>
      <c r="B51" s="46" t="s">
        <v>132</v>
      </c>
      <c r="C51" s="27">
        <v>107.7</v>
      </c>
      <c r="D51" s="27">
        <v>107.7</v>
      </c>
      <c r="E51" s="29">
        <v>0</v>
      </c>
      <c r="F51" s="39"/>
      <c r="G51" s="30"/>
      <c r="H51" s="39"/>
      <c r="I51" s="40">
        <f>C51+F51</f>
        <v>107.7</v>
      </c>
      <c r="J51" s="31">
        <f t="shared" si="0"/>
        <v>107.7</v>
      </c>
      <c r="K51" s="41">
        <f t="shared" si="1"/>
        <v>100</v>
      </c>
    </row>
    <row r="52" spans="1:11" ht="33.75">
      <c r="A52" s="37" t="s">
        <v>58</v>
      </c>
      <c r="B52" s="38" t="s">
        <v>59</v>
      </c>
      <c r="C52" s="27">
        <v>5786.2</v>
      </c>
      <c r="D52" s="27">
        <v>1678.5</v>
      </c>
      <c r="E52" s="29">
        <f t="shared" si="5"/>
        <v>29.008675814869868</v>
      </c>
      <c r="F52" s="39">
        <v>5000</v>
      </c>
      <c r="G52" s="30">
        <v>3000</v>
      </c>
      <c r="H52" s="39">
        <f t="shared" si="6"/>
        <v>60</v>
      </c>
      <c r="I52" s="40">
        <f t="shared" si="0"/>
        <v>10786.2</v>
      </c>
      <c r="J52" s="31">
        <f t="shared" si="0"/>
        <v>4678.5</v>
      </c>
      <c r="K52" s="41">
        <f t="shared" si="1"/>
        <v>43.37486788674417</v>
      </c>
    </row>
    <row r="53" spans="1:11" ht="33.75">
      <c r="A53" s="37" t="s">
        <v>58</v>
      </c>
      <c r="B53" s="38" t="s">
        <v>60</v>
      </c>
      <c r="C53" s="27">
        <v>10419.8</v>
      </c>
      <c r="D53" s="24">
        <v>1933.2</v>
      </c>
      <c r="E53" s="29">
        <f t="shared" si="5"/>
        <v>18.553139215723913</v>
      </c>
      <c r="F53" s="187">
        <v>0</v>
      </c>
      <c r="G53" s="187"/>
      <c r="H53" s="39"/>
      <c r="I53" s="40">
        <f t="shared" si="0"/>
        <v>10419.8</v>
      </c>
      <c r="J53" s="31">
        <f t="shared" si="0"/>
        <v>1933.2</v>
      </c>
      <c r="K53" s="41">
        <f t="shared" si="1"/>
        <v>18.553139215723913</v>
      </c>
    </row>
    <row r="54" spans="1:11" ht="12.75">
      <c r="A54" s="37" t="s">
        <v>58</v>
      </c>
      <c r="B54" s="38" t="s">
        <v>61</v>
      </c>
      <c r="C54" s="27">
        <v>962</v>
      </c>
      <c r="D54" s="24">
        <v>329.6</v>
      </c>
      <c r="E54" s="29">
        <f>D54/C54*100</f>
        <v>34.261954261954266</v>
      </c>
      <c r="F54" s="39">
        <v>15118.1</v>
      </c>
      <c r="G54" s="187">
        <v>1843.9</v>
      </c>
      <c r="H54" s="39">
        <f t="shared" si="6"/>
        <v>12.196638466473962</v>
      </c>
      <c r="I54" s="40">
        <f>C54+F54-230</f>
        <v>15850.1</v>
      </c>
      <c r="J54" s="31">
        <f>D54+G54-230</f>
        <v>1943.5</v>
      </c>
      <c r="K54" s="41">
        <f>J54/I54*100</f>
        <v>12.261752291783647</v>
      </c>
    </row>
    <row r="55" spans="1:11" ht="33.75">
      <c r="A55" s="37" t="s">
        <v>58</v>
      </c>
      <c r="B55" s="38" t="s">
        <v>252</v>
      </c>
      <c r="C55" s="27">
        <v>22438.5</v>
      </c>
      <c r="D55" s="24">
        <v>8011.9</v>
      </c>
      <c r="E55" s="29">
        <f>D55/C55*100</f>
        <v>35.70604095639192</v>
      </c>
      <c r="F55" s="39">
        <v>0</v>
      </c>
      <c r="G55" s="187"/>
      <c r="H55" s="39">
        <v>0</v>
      </c>
      <c r="I55" s="40">
        <f>C55+F55</f>
        <v>22438.5</v>
      </c>
      <c r="J55" s="31">
        <f>D55+G55</f>
        <v>8011.9</v>
      </c>
      <c r="K55" s="41">
        <f>J55/I55*100</f>
        <v>35.70604095639192</v>
      </c>
    </row>
    <row r="56" spans="1:11" ht="33.75">
      <c r="A56" s="42" t="s">
        <v>58</v>
      </c>
      <c r="B56" s="38" t="s">
        <v>140</v>
      </c>
      <c r="C56" s="27">
        <v>137.3</v>
      </c>
      <c r="D56" s="24">
        <v>80.8</v>
      </c>
      <c r="E56" s="29">
        <f t="shared" si="5"/>
        <v>58.84923525127458</v>
      </c>
      <c r="F56" s="39">
        <v>0</v>
      </c>
      <c r="G56" s="187"/>
      <c r="H56" s="39">
        <v>0</v>
      </c>
      <c r="I56" s="48">
        <f>C56+F56</f>
        <v>137.3</v>
      </c>
      <c r="J56" s="40">
        <f>D56+G56</f>
        <v>80.8</v>
      </c>
      <c r="K56" s="31">
        <f>J56/I56*100</f>
        <v>58.84923525127458</v>
      </c>
    </row>
    <row r="57" spans="1:11" ht="33.75">
      <c r="A57" s="37" t="s">
        <v>58</v>
      </c>
      <c r="B57" s="46" t="s">
        <v>122</v>
      </c>
      <c r="C57" s="27">
        <f>39616.6-C60</f>
        <v>33187.6</v>
      </c>
      <c r="D57" s="24">
        <v>4947.7</v>
      </c>
      <c r="E57" s="29">
        <f t="shared" si="5"/>
        <v>14.908278995769505</v>
      </c>
      <c r="F57" s="39"/>
      <c r="G57" s="187"/>
      <c r="H57" s="39">
        <v>0</v>
      </c>
      <c r="I57" s="40">
        <f t="shared" si="0"/>
        <v>33187.6</v>
      </c>
      <c r="J57" s="31">
        <f t="shared" si="0"/>
        <v>4947.7</v>
      </c>
      <c r="K57" s="41">
        <f t="shared" si="1"/>
        <v>14.908278995769505</v>
      </c>
    </row>
    <row r="58" spans="1:11" ht="33.75">
      <c r="A58" s="37" t="s">
        <v>58</v>
      </c>
      <c r="B58" s="46" t="s">
        <v>123</v>
      </c>
      <c r="C58" s="27">
        <v>125135</v>
      </c>
      <c r="D58" s="27">
        <v>57728.2</v>
      </c>
      <c r="E58" s="29">
        <f t="shared" si="5"/>
        <v>46.13273664442402</v>
      </c>
      <c r="F58" s="39">
        <v>0</v>
      </c>
      <c r="G58" s="187"/>
      <c r="H58" s="39">
        <v>0</v>
      </c>
      <c r="I58" s="40">
        <f t="shared" si="0"/>
        <v>125135</v>
      </c>
      <c r="J58" s="31">
        <f t="shared" si="0"/>
        <v>57728.2</v>
      </c>
      <c r="K58" s="41">
        <f t="shared" si="1"/>
        <v>46.13273664442402</v>
      </c>
    </row>
    <row r="59" spans="1:11" ht="56.25">
      <c r="A59" s="42" t="s">
        <v>58</v>
      </c>
      <c r="B59" s="46" t="s">
        <v>131</v>
      </c>
      <c r="C59" s="27">
        <v>13819.4</v>
      </c>
      <c r="D59" s="24">
        <v>1719.9</v>
      </c>
      <c r="E59" s="29">
        <f t="shared" si="5"/>
        <v>12.445547563570054</v>
      </c>
      <c r="F59" s="39">
        <v>5734.1</v>
      </c>
      <c r="G59" s="187">
        <v>649.2</v>
      </c>
      <c r="H59" s="39">
        <f>G59/F59*100</f>
        <v>11.321741860100103</v>
      </c>
      <c r="I59" s="40">
        <f>C59+F59-5734.1</f>
        <v>13819.4</v>
      </c>
      <c r="J59" s="31">
        <f>D59+G59-650</f>
        <v>1719.1000000000004</v>
      </c>
      <c r="K59" s="41">
        <f t="shared" si="1"/>
        <v>12.439758600228668</v>
      </c>
    </row>
    <row r="60" spans="1:11" ht="56.25">
      <c r="A60" s="42" t="s">
        <v>58</v>
      </c>
      <c r="B60" s="46" t="s">
        <v>242</v>
      </c>
      <c r="C60" s="27">
        <v>6429</v>
      </c>
      <c r="D60" s="24">
        <v>6429</v>
      </c>
      <c r="E60" s="29">
        <f t="shared" si="5"/>
        <v>100</v>
      </c>
      <c r="F60" s="39">
        <f>12584.6-F59</f>
        <v>6850.5</v>
      </c>
      <c r="G60" s="187">
        <v>381.4</v>
      </c>
      <c r="H60" s="39">
        <f>G60/F60*100</f>
        <v>5.567476826509013</v>
      </c>
      <c r="I60" s="40">
        <f>C60+F60-6429</f>
        <v>6850.5</v>
      </c>
      <c r="J60" s="31">
        <f>D60+G60-6429</f>
        <v>381.39999999999964</v>
      </c>
      <c r="K60" s="41">
        <f t="shared" si="1"/>
        <v>5.567476826509009</v>
      </c>
    </row>
    <row r="61" spans="1:11" ht="45">
      <c r="A61" s="42" t="s">
        <v>58</v>
      </c>
      <c r="B61" s="46" t="s">
        <v>132</v>
      </c>
      <c r="C61" s="27">
        <v>248.1</v>
      </c>
      <c r="D61" s="24">
        <v>248.1</v>
      </c>
      <c r="E61" s="29">
        <f t="shared" si="5"/>
        <v>100</v>
      </c>
      <c r="F61" s="39"/>
      <c r="G61" s="187"/>
      <c r="H61" s="39"/>
      <c r="I61" s="40">
        <f>C61+F61</f>
        <v>248.1</v>
      </c>
      <c r="J61" s="31">
        <f>D61+G61</f>
        <v>248.1</v>
      </c>
      <c r="K61" s="41">
        <f t="shared" si="1"/>
        <v>100</v>
      </c>
    </row>
    <row r="62" spans="1:11" ht="22.5">
      <c r="A62" s="37" t="s">
        <v>58</v>
      </c>
      <c r="B62" s="38" t="s">
        <v>141</v>
      </c>
      <c r="C62" s="27">
        <v>2733</v>
      </c>
      <c r="D62" s="27">
        <v>310.7</v>
      </c>
      <c r="E62" s="29">
        <f t="shared" si="5"/>
        <v>11.368459568240029</v>
      </c>
      <c r="F62" s="39">
        <v>0</v>
      </c>
      <c r="G62" s="187"/>
      <c r="H62" s="39">
        <v>0</v>
      </c>
      <c r="I62" s="40">
        <f t="shared" si="0"/>
        <v>2733</v>
      </c>
      <c r="J62" s="31">
        <f t="shared" si="0"/>
        <v>310.7</v>
      </c>
      <c r="K62" s="41">
        <f t="shared" si="1"/>
        <v>11.368459568240029</v>
      </c>
    </row>
    <row r="63" spans="1:11" ht="22.5">
      <c r="A63" s="37" t="s">
        <v>58</v>
      </c>
      <c r="B63" s="38" t="s">
        <v>142</v>
      </c>
      <c r="C63" s="27">
        <v>3550</v>
      </c>
      <c r="D63" s="27">
        <v>3232</v>
      </c>
      <c r="E63" s="29">
        <f t="shared" si="5"/>
        <v>91.04225352112675</v>
      </c>
      <c r="F63" s="39">
        <v>0</v>
      </c>
      <c r="G63" s="187"/>
      <c r="H63" s="39">
        <v>0</v>
      </c>
      <c r="I63" s="40">
        <f t="shared" si="0"/>
        <v>3550</v>
      </c>
      <c r="J63" s="31">
        <f t="shared" si="0"/>
        <v>3232</v>
      </c>
      <c r="K63" s="41">
        <f t="shared" si="1"/>
        <v>91.04225352112675</v>
      </c>
    </row>
    <row r="64" spans="1:11" ht="22.5">
      <c r="A64" s="37" t="s">
        <v>58</v>
      </c>
      <c r="B64" s="38" t="s">
        <v>143</v>
      </c>
      <c r="C64" s="27">
        <v>613</v>
      </c>
      <c r="D64" s="27">
        <v>113.5</v>
      </c>
      <c r="E64" s="29">
        <f t="shared" si="5"/>
        <v>18.515497553017944</v>
      </c>
      <c r="F64" s="39">
        <v>0</v>
      </c>
      <c r="G64" s="187"/>
      <c r="H64" s="39">
        <v>0</v>
      </c>
      <c r="I64" s="40">
        <f t="shared" si="0"/>
        <v>613</v>
      </c>
      <c r="J64" s="31">
        <f t="shared" si="0"/>
        <v>113.5</v>
      </c>
      <c r="K64" s="41">
        <f t="shared" si="1"/>
        <v>18.515497553017944</v>
      </c>
    </row>
    <row r="65" spans="1:11" ht="22.5">
      <c r="A65" s="37" t="s">
        <v>58</v>
      </c>
      <c r="B65" s="38" t="s">
        <v>144</v>
      </c>
      <c r="C65" s="27">
        <v>2141</v>
      </c>
      <c r="D65" s="27">
        <v>0</v>
      </c>
      <c r="E65" s="29">
        <f t="shared" si="5"/>
        <v>0</v>
      </c>
      <c r="F65" s="39">
        <v>0</v>
      </c>
      <c r="G65" s="187"/>
      <c r="H65" s="39">
        <v>0</v>
      </c>
      <c r="I65" s="40">
        <f>C65+F65</f>
        <v>2141</v>
      </c>
      <c r="J65" s="31">
        <f>D65+G65</f>
        <v>0</v>
      </c>
      <c r="K65" s="41">
        <f t="shared" si="1"/>
        <v>0</v>
      </c>
    </row>
    <row r="66" spans="1:11" ht="33.75">
      <c r="A66" s="42" t="s">
        <v>58</v>
      </c>
      <c r="B66" s="38" t="s">
        <v>145</v>
      </c>
      <c r="C66" s="27">
        <v>985</v>
      </c>
      <c r="D66" s="27">
        <v>0</v>
      </c>
      <c r="E66" s="29">
        <f t="shared" si="5"/>
        <v>0</v>
      </c>
      <c r="F66" s="39">
        <v>0</v>
      </c>
      <c r="G66" s="187"/>
      <c r="H66" s="39">
        <v>0</v>
      </c>
      <c r="I66" s="40">
        <f t="shared" si="0"/>
        <v>985</v>
      </c>
      <c r="J66" s="31">
        <f t="shared" si="0"/>
        <v>0</v>
      </c>
      <c r="K66" s="41">
        <f t="shared" si="1"/>
        <v>0</v>
      </c>
    </row>
    <row r="67" spans="1:11" ht="33.75">
      <c r="A67" s="37" t="s">
        <v>62</v>
      </c>
      <c r="B67" s="38" t="s">
        <v>243</v>
      </c>
      <c r="C67" s="27">
        <v>2650</v>
      </c>
      <c r="D67" s="27">
        <v>99.7</v>
      </c>
      <c r="E67" s="29">
        <f t="shared" si="5"/>
        <v>3.7622641509433965</v>
      </c>
      <c r="F67" s="28">
        <v>0</v>
      </c>
      <c r="G67" s="28"/>
      <c r="H67" s="39">
        <v>0</v>
      </c>
      <c r="I67" s="40">
        <f t="shared" si="0"/>
        <v>2650</v>
      </c>
      <c r="J67" s="31">
        <f t="shared" si="0"/>
        <v>99.7</v>
      </c>
      <c r="K67" s="41">
        <f t="shared" si="1"/>
        <v>3.7622641509433965</v>
      </c>
    </row>
    <row r="68" spans="1:11" ht="22.5">
      <c r="A68" s="42" t="s">
        <v>62</v>
      </c>
      <c r="B68" s="38" t="s">
        <v>253</v>
      </c>
      <c r="C68" s="27">
        <v>0</v>
      </c>
      <c r="D68" s="27">
        <v>0</v>
      </c>
      <c r="E68" s="29">
        <v>0</v>
      </c>
      <c r="F68" s="28">
        <v>160.7</v>
      </c>
      <c r="G68" s="28">
        <v>0</v>
      </c>
      <c r="H68" s="39">
        <f>G68/F68*100</f>
        <v>0</v>
      </c>
      <c r="I68" s="40">
        <f>C68+F68</f>
        <v>160.7</v>
      </c>
      <c r="J68" s="31">
        <f>D68+G68</f>
        <v>0</v>
      </c>
      <c r="K68" s="41">
        <f t="shared" si="1"/>
        <v>0</v>
      </c>
    </row>
    <row r="69" spans="1:11" ht="22.5">
      <c r="A69" s="37" t="s">
        <v>62</v>
      </c>
      <c r="B69" s="38" t="s">
        <v>63</v>
      </c>
      <c r="C69" s="27">
        <v>4000</v>
      </c>
      <c r="D69" s="27">
        <v>718.5</v>
      </c>
      <c r="E69" s="29">
        <f t="shared" si="5"/>
        <v>17.962500000000002</v>
      </c>
      <c r="F69" s="28">
        <v>36100.1</v>
      </c>
      <c r="G69" s="28">
        <v>9907.1</v>
      </c>
      <c r="H69" s="39">
        <f>G69/F69*100</f>
        <v>27.44341428417096</v>
      </c>
      <c r="I69" s="40">
        <f>C69+F69</f>
        <v>40100.1</v>
      </c>
      <c r="J69" s="31">
        <f>D69+G69</f>
        <v>10625.6</v>
      </c>
      <c r="K69" s="41">
        <f t="shared" si="1"/>
        <v>26.497689531946307</v>
      </c>
    </row>
    <row r="70" spans="1:11" ht="22.5">
      <c r="A70" s="42" t="s">
        <v>133</v>
      </c>
      <c r="B70" s="38" t="s">
        <v>134</v>
      </c>
      <c r="C70" s="27">
        <v>0</v>
      </c>
      <c r="D70" s="29">
        <v>0</v>
      </c>
      <c r="E70" s="29"/>
      <c r="F70" s="28"/>
      <c r="G70" s="28"/>
      <c r="H70" s="39"/>
      <c r="I70" s="40">
        <f t="shared" si="0"/>
        <v>0</v>
      </c>
      <c r="J70" s="31">
        <f t="shared" si="0"/>
        <v>0</v>
      </c>
      <c r="K70" s="41"/>
    </row>
    <row r="71" spans="1:11" ht="12.75">
      <c r="A71" s="49" t="s">
        <v>64</v>
      </c>
      <c r="B71" s="50" t="s">
        <v>65</v>
      </c>
      <c r="C71" s="47">
        <f aca="true" t="shared" si="7" ref="C71:H71">C72</f>
        <v>350</v>
      </c>
      <c r="D71" s="47">
        <f t="shared" si="7"/>
        <v>24.9</v>
      </c>
      <c r="E71" s="34">
        <f>D71/C71*100</f>
        <v>7.114285714285713</v>
      </c>
      <c r="F71" s="47">
        <f t="shared" si="7"/>
        <v>0</v>
      </c>
      <c r="G71" s="47">
        <f t="shared" si="7"/>
        <v>0</v>
      </c>
      <c r="H71" s="35">
        <f t="shared" si="7"/>
        <v>0</v>
      </c>
      <c r="I71" s="47">
        <f t="shared" si="0"/>
        <v>350</v>
      </c>
      <c r="J71" s="47">
        <f t="shared" si="0"/>
        <v>24.9</v>
      </c>
      <c r="K71" s="36">
        <f t="shared" si="1"/>
        <v>7.114285714285713</v>
      </c>
    </row>
    <row r="72" spans="1:11" ht="22.5">
      <c r="A72" s="42" t="s">
        <v>66</v>
      </c>
      <c r="B72" s="51" t="s">
        <v>67</v>
      </c>
      <c r="C72" s="28">
        <v>350</v>
      </c>
      <c r="D72" s="39">
        <v>24.9</v>
      </c>
      <c r="E72" s="29">
        <f t="shared" si="5"/>
        <v>7.114285714285713</v>
      </c>
      <c r="F72" s="39">
        <v>0</v>
      </c>
      <c r="G72" s="30">
        <v>0</v>
      </c>
      <c r="H72" s="39">
        <v>0</v>
      </c>
      <c r="I72" s="40">
        <f t="shared" si="0"/>
        <v>350</v>
      </c>
      <c r="J72" s="31">
        <f t="shared" si="0"/>
        <v>24.9</v>
      </c>
      <c r="K72" s="41">
        <f t="shared" si="1"/>
        <v>7.114285714285713</v>
      </c>
    </row>
    <row r="73" spans="1:11" ht="12.75">
      <c r="A73" s="32" t="s">
        <v>68</v>
      </c>
      <c r="B73" s="33" t="s">
        <v>69</v>
      </c>
      <c r="C73" s="34">
        <f>SUM(C74:C80)</f>
        <v>2186202.5999999996</v>
      </c>
      <c r="D73" s="34">
        <f>SUM(D74:D80)</f>
        <v>635214.0000000001</v>
      </c>
      <c r="E73" s="34">
        <f>D73/C73*100</f>
        <v>29.055587071390377</v>
      </c>
      <c r="F73" s="47">
        <f>F74+F75+F76+F79+F80</f>
        <v>5167</v>
      </c>
      <c r="G73" s="47">
        <f>SUM(G74:G80)</f>
        <v>1244.6</v>
      </c>
      <c r="H73" s="35">
        <f>G73/F73*100</f>
        <v>24.087478227211147</v>
      </c>
      <c r="I73" s="34">
        <f>SUM(I74:I80)</f>
        <v>2191369.5999999996</v>
      </c>
      <c r="J73" s="34">
        <f>SUM(J74:J80)</f>
        <v>636458.6000000002</v>
      </c>
      <c r="K73" s="36">
        <f t="shared" si="1"/>
        <v>29.043872836421585</v>
      </c>
    </row>
    <row r="74" spans="1:11" ht="12.75">
      <c r="A74" s="37" t="s">
        <v>70</v>
      </c>
      <c r="B74" s="38" t="s">
        <v>71</v>
      </c>
      <c r="C74" s="29">
        <v>353697.4</v>
      </c>
      <c r="D74" s="29">
        <v>202069.5</v>
      </c>
      <c r="E74" s="29">
        <f t="shared" si="5"/>
        <v>57.13061503986175</v>
      </c>
      <c r="F74" s="39">
        <v>0</v>
      </c>
      <c r="G74" s="30">
        <v>0</v>
      </c>
      <c r="H74" s="39">
        <v>0</v>
      </c>
      <c r="I74" s="40">
        <f t="shared" si="0"/>
        <v>353697.4</v>
      </c>
      <c r="J74" s="31">
        <f t="shared" si="0"/>
        <v>202069.5</v>
      </c>
      <c r="K74" s="41">
        <f t="shared" si="1"/>
        <v>57.13061503986175</v>
      </c>
    </row>
    <row r="75" spans="1:11" ht="12.75">
      <c r="A75" s="37" t="s">
        <v>72</v>
      </c>
      <c r="B75" s="38" t="s">
        <v>73</v>
      </c>
      <c r="C75" s="29">
        <f>1777269.3-C76-C77-C78</f>
        <v>1080627</v>
      </c>
      <c r="D75" s="29">
        <f>419812.9-D76-D77-D78</f>
        <v>332181.10000000003</v>
      </c>
      <c r="E75" s="29">
        <f t="shared" si="5"/>
        <v>30.739663177025932</v>
      </c>
      <c r="F75" s="39">
        <v>0</v>
      </c>
      <c r="G75" s="30">
        <v>0</v>
      </c>
      <c r="H75" s="39">
        <v>0</v>
      </c>
      <c r="I75" s="40">
        <f t="shared" si="0"/>
        <v>1080627</v>
      </c>
      <c r="J75" s="31">
        <f t="shared" si="0"/>
        <v>332181.10000000003</v>
      </c>
      <c r="K75" s="41">
        <f t="shared" si="1"/>
        <v>30.739663177025932</v>
      </c>
    </row>
    <row r="76" spans="1:11" ht="12.75">
      <c r="A76" s="37" t="s">
        <v>72</v>
      </c>
      <c r="B76" s="38" t="s">
        <v>74</v>
      </c>
      <c r="C76" s="29">
        <v>41126.4</v>
      </c>
      <c r="D76" s="29">
        <v>13634</v>
      </c>
      <c r="E76" s="29">
        <f t="shared" si="5"/>
        <v>33.151455026455025</v>
      </c>
      <c r="F76" s="39">
        <v>0</v>
      </c>
      <c r="G76" s="30">
        <v>0</v>
      </c>
      <c r="H76" s="39">
        <v>0</v>
      </c>
      <c r="I76" s="40">
        <f t="shared" si="0"/>
        <v>41126.4</v>
      </c>
      <c r="J76" s="31">
        <f t="shared" si="0"/>
        <v>13634</v>
      </c>
      <c r="K76" s="41">
        <f t="shared" si="1"/>
        <v>33.151455026455025</v>
      </c>
    </row>
    <row r="77" spans="1:11" ht="22.5">
      <c r="A77" s="37" t="s">
        <v>72</v>
      </c>
      <c r="B77" s="38" t="s">
        <v>244</v>
      </c>
      <c r="C77" s="29">
        <v>113954.5</v>
      </c>
      <c r="D77" s="29">
        <v>22062.5</v>
      </c>
      <c r="E77" s="29">
        <f t="shared" si="5"/>
        <v>19.3607975112874</v>
      </c>
      <c r="F77" s="39">
        <v>0</v>
      </c>
      <c r="G77" s="30">
        <v>0</v>
      </c>
      <c r="H77" s="39">
        <v>0</v>
      </c>
      <c r="I77" s="40">
        <f t="shared" si="0"/>
        <v>113954.5</v>
      </c>
      <c r="J77" s="31">
        <f t="shared" si="0"/>
        <v>22062.5</v>
      </c>
      <c r="K77" s="41">
        <f t="shared" si="1"/>
        <v>19.3607975112874</v>
      </c>
    </row>
    <row r="78" spans="1:11" ht="33.75">
      <c r="A78" s="37" t="s">
        <v>72</v>
      </c>
      <c r="B78" s="38" t="s">
        <v>129</v>
      </c>
      <c r="C78" s="29">
        <f>457278.8+84282.6</f>
        <v>541561.4</v>
      </c>
      <c r="D78" s="29">
        <v>51935.3</v>
      </c>
      <c r="E78" s="29">
        <f>D78/C78*100</f>
        <v>9.589919074734647</v>
      </c>
      <c r="F78" s="39">
        <v>0</v>
      </c>
      <c r="G78" s="30">
        <v>0</v>
      </c>
      <c r="H78" s="39">
        <v>0</v>
      </c>
      <c r="I78" s="40">
        <f>C78+F78</f>
        <v>541561.4</v>
      </c>
      <c r="J78" s="31">
        <f>D78+G78</f>
        <v>51935.3</v>
      </c>
      <c r="K78" s="41">
        <f>J78/I78*100</f>
        <v>9.589919074734647</v>
      </c>
    </row>
    <row r="79" spans="1:11" ht="12.75">
      <c r="A79" s="37" t="s">
        <v>75</v>
      </c>
      <c r="B79" s="38" t="s">
        <v>76</v>
      </c>
      <c r="C79" s="29">
        <v>20004.5</v>
      </c>
      <c r="D79" s="29">
        <v>374.7</v>
      </c>
      <c r="E79" s="29">
        <f t="shared" si="5"/>
        <v>1.873078557324602</v>
      </c>
      <c r="F79" s="39">
        <v>5167</v>
      </c>
      <c r="G79" s="30">
        <v>1244.6</v>
      </c>
      <c r="H79" s="39">
        <f>G79/F79*100</f>
        <v>24.087478227211147</v>
      </c>
      <c r="I79" s="40">
        <f t="shared" si="0"/>
        <v>25171.5</v>
      </c>
      <c r="J79" s="31">
        <f t="shared" si="0"/>
        <v>1619.3</v>
      </c>
      <c r="K79" s="41">
        <f t="shared" si="1"/>
        <v>6.433069145660767</v>
      </c>
    </row>
    <row r="80" spans="1:11" ht="12.75">
      <c r="A80" s="37" t="s">
        <v>77</v>
      </c>
      <c r="B80" s="38" t="s">
        <v>78</v>
      </c>
      <c r="C80" s="29">
        <v>35231.4</v>
      </c>
      <c r="D80" s="29">
        <v>12956.9</v>
      </c>
      <c r="E80" s="29">
        <f t="shared" si="5"/>
        <v>36.77656862912061</v>
      </c>
      <c r="F80" s="39">
        <v>0</v>
      </c>
      <c r="G80" s="30">
        <v>0</v>
      </c>
      <c r="H80" s="39">
        <v>0</v>
      </c>
      <c r="I80" s="40">
        <f t="shared" si="0"/>
        <v>35231.4</v>
      </c>
      <c r="J80" s="31">
        <f t="shared" si="0"/>
        <v>12956.9</v>
      </c>
      <c r="K80" s="41">
        <f t="shared" si="1"/>
        <v>36.77656862912061</v>
      </c>
    </row>
    <row r="81" spans="1:11" ht="12.75">
      <c r="A81" s="32" t="s">
        <v>79</v>
      </c>
      <c r="B81" s="33" t="s">
        <v>80</v>
      </c>
      <c r="C81" s="34">
        <f>SUM(C82:C87)</f>
        <v>243520.19999999998</v>
      </c>
      <c r="D81" s="34">
        <f>SUM(D82:D87)</f>
        <v>52321.9</v>
      </c>
      <c r="E81" s="34">
        <f>D81/C81*100</f>
        <v>21.485650882349802</v>
      </c>
      <c r="F81" s="47">
        <f>SUM(F82:F87)</f>
        <v>78895.4</v>
      </c>
      <c r="G81" s="47">
        <f>SUM(G82:G87)</f>
        <v>24107.4</v>
      </c>
      <c r="H81" s="35">
        <f>G81/F81*100</f>
        <v>30.556154097704052</v>
      </c>
      <c r="I81" s="47">
        <f>SUM(I82:I87)</f>
        <v>318640.4</v>
      </c>
      <c r="J81" s="47">
        <f>SUM(J82:J87)</f>
        <v>74491</v>
      </c>
      <c r="K81" s="36">
        <f t="shared" si="1"/>
        <v>23.377763773834076</v>
      </c>
    </row>
    <row r="82" spans="1:11" ht="12.75">
      <c r="A82" s="37" t="s">
        <v>81</v>
      </c>
      <c r="B82" s="38" t="s">
        <v>82</v>
      </c>
      <c r="C82" s="29">
        <f>235267.8-C83-C85-C84</f>
        <v>48125.4</v>
      </c>
      <c r="D82" s="29">
        <f>48823.4-D83-D85-D84</f>
        <v>19688.9</v>
      </c>
      <c r="E82" s="29">
        <f t="shared" si="5"/>
        <v>40.91165995503414</v>
      </c>
      <c r="F82" s="39">
        <f>78082.4-F84</f>
        <v>77044.2</v>
      </c>
      <c r="G82" s="30">
        <v>23942.1</v>
      </c>
      <c r="H82" s="39">
        <f>G82/F82*100</f>
        <v>31.075798048393</v>
      </c>
      <c r="I82" s="40">
        <f>C82+F82-2587</f>
        <v>122582.6</v>
      </c>
      <c r="J82" s="31">
        <f>D82+G82-1788.3</f>
        <v>41842.7</v>
      </c>
      <c r="K82" s="41">
        <f t="shared" si="1"/>
        <v>34.13428985843015</v>
      </c>
    </row>
    <row r="83" spans="1:11" ht="56.25">
      <c r="A83" s="52" t="s">
        <v>81</v>
      </c>
      <c r="B83" s="53" t="s">
        <v>156</v>
      </c>
      <c r="C83" s="29">
        <f>75800+26582.1+74506.7</f>
        <v>176888.8</v>
      </c>
      <c r="D83" s="29">
        <v>26431.9</v>
      </c>
      <c r="E83" s="29">
        <f t="shared" si="5"/>
        <v>14.942664544052537</v>
      </c>
      <c r="F83" s="39">
        <v>0</v>
      </c>
      <c r="G83" s="30">
        <v>0</v>
      </c>
      <c r="H83" s="39">
        <v>0</v>
      </c>
      <c r="I83" s="40">
        <f aca="true" t="shared" si="8" ref="I83:J98">C83+F83</f>
        <v>176888.8</v>
      </c>
      <c r="J83" s="31">
        <f t="shared" si="8"/>
        <v>26431.9</v>
      </c>
      <c r="K83" s="41">
        <f>J83/I83*100</f>
        <v>14.942664544052537</v>
      </c>
    </row>
    <row r="84" spans="1:11" ht="12.75">
      <c r="A84" s="52" t="s">
        <v>81</v>
      </c>
      <c r="B84" s="53" t="s">
        <v>135</v>
      </c>
      <c r="C84" s="29">
        <v>1855.6</v>
      </c>
      <c r="D84" s="29">
        <v>0</v>
      </c>
      <c r="E84" s="29">
        <f t="shared" si="5"/>
        <v>0</v>
      </c>
      <c r="F84" s="39">
        <v>1038.2</v>
      </c>
      <c r="G84" s="30">
        <v>0</v>
      </c>
      <c r="H84" s="39"/>
      <c r="I84" s="40">
        <f>C84+F84-1038.2</f>
        <v>1855.6000000000001</v>
      </c>
      <c r="J84" s="31">
        <f t="shared" si="8"/>
        <v>0</v>
      </c>
      <c r="K84" s="41">
        <f>J84/I84*100</f>
        <v>0</v>
      </c>
    </row>
    <row r="85" spans="1:11" ht="22.5">
      <c r="A85" s="52" t="s">
        <v>81</v>
      </c>
      <c r="B85" s="53" t="s">
        <v>146</v>
      </c>
      <c r="C85" s="29">
        <v>8398</v>
      </c>
      <c r="D85" s="29">
        <v>2702.6</v>
      </c>
      <c r="E85" s="29">
        <f t="shared" si="5"/>
        <v>32.181471778995</v>
      </c>
      <c r="F85" s="39">
        <v>0</v>
      </c>
      <c r="G85" s="30">
        <v>0</v>
      </c>
      <c r="H85" s="39">
        <v>0</v>
      </c>
      <c r="I85" s="40">
        <f t="shared" si="8"/>
        <v>8398</v>
      </c>
      <c r="J85" s="31">
        <f t="shared" si="8"/>
        <v>2702.6</v>
      </c>
      <c r="K85" s="41">
        <f>J85/I85*100</f>
        <v>32.181471778995</v>
      </c>
    </row>
    <row r="86" spans="1:11" ht="12.75">
      <c r="A86" s="37" t="s">
        <v>83</v>
      </c>
      <c r="B86" s="38" t="s">
        <v>84</v>
      </c>
      <c r="C86" s="29">
        <v>619</v>
      </c>
      <c r="D86" s="29">
        <v>310</v>
      </c>
      <c r="E86" s="29">
        <f t="shared" si="5"/>
        <v>50.080775444264944</v>
      </c>
      <c r="F86" s="39">
        <v>663</v>
      </c>
      <c r="G86" s="30">
        <v>141.9</v>
      </c>
      <c r="H86" s="39">
        <f>G86/F86*100</f>
        <v>21.4027149321267</v>
      </c>
      <c r="I86" s="40">
        <f t="shared" si="8"/>
        <v>1282</v>
      </c>
      <c r="J86" s="31">
        <f t="shared" si="8"/>
        <v>451.9</v>
      </c>
      <c r="K86" s="41">
        <f aca="true" t="shared" si="9" ref="K86:K118">J86/I86*100</f>
        <v>35.24960998439937</v>
      </c>
    </row>
    <row r="87" spans="1:11" ht="12.75">
      <c r="A87" s="37" t="s">
        <v>85</v>
      </c>
      <c r="B87" s="38" t="s">
        <v>86</v>
      </c>
      <c r="C87" s="29">
        <v>7633.4</v>
      </c>
      <c r="D87" s="29">
        <v>3188.5</v>
      </c>
      <c r="E87" s="29">
        <f t="shared" si="5"/>
        <v>41.770377551287766</v>
      </c>
      <c r="F87" s="39">
        <v>150</v>
      </c>
      <c r="G87" s="30">
        <v>23.4</v>
      </c>
      <c r="H87" s="39">
        <f>G87/F87*100</f>
        <v>15.6</v>
      </c>
      <c r="I87" s="40">
        <f>C87+F87-150</f>
        <v>7633.4</v>
      </c>
      <c r="J87" s="31">
        <f>D87+G87-150</f>
        <v>3061.9</v>
      </c>
      <c r="K87" s="41">
        <f t="shared" si="9"/>
        <v>40.11187675216811</v>
      </c>
    </row>
    <row r="88" spans="1:11" ht="12.75">
      <c r="A88" s="32" t="s">
        <v>87</v>
      </c>
      <c r="B88" s="33" t="s">
        <v>88</v>
      </c>
      <c r="C88" s="34">
        <f>SUM(C89:C92)</f>
        <v>266829.2</v>
      </c>
      <c r="D88" s="34">
        <f>SUM(D89:D92)</f>
        <v>35536.4</v>
      </c>
      <c r="E88" s="34">
        <f>D88/C88*100</f>
        <v>13.318032659094282</v>
      </c>
      <c r="F88" s="47">
        <f>SUM(F89:F91)</f>
        <v>0</v>
      </c>
      <c r="G88" s="47">
        <f>SUM(G89:G91)</f>
        <v>0</v>
      </c>
      <c r="H88" s="35"/>
      <c r="I88" s="47">
        <f>C88+F88</f>
        <v>266829.2</v>
      </c>
      <c r="J88" s="47">
        <f t="shared" si="8"/>
        <v>35536.4</v>
      </c>
      <c r="K88" s="36">
        <f t="shared" si="9"/>
        <v>13.318032659094282</v>
      </c>
    </row>
    <row r="89" spans="1:11" ht="12.75">
      <c r="A89" s="37" t="s">
        <v>89</v>
      </c>
      <c r="B89" s="38" t="s">
        <v>90</v>
      </c>
      <c r="C89" s="29">
        <v>90354.3</v>
      </c>
      <c r="D89" s="29">
        <v>17229.1</v>
      </c>
      <c r="E89" s="29">
        <f t="shared" si="5"/>
        <v>19.068378594045882</v>
      </c>
      <c r="F89" s="39">
        <v>0</v>
      </c>
      <c r="G89" s="30">
        <v>0</v>
      </c>
      <c r="H89" s="39">
        <v>0</v>
      </c>
      <c r="I89" s="40">
        <f t="shared" si="8"/>
        <v>90354.3</v>
      </c>
      <c r="J89" s="31">
        <f t="shared" si="8"/>
        <v>17229.1</v>
      </c>
      <c r="K89" s="41">
        <f t="shared" si="9"/>
        <v>19.068378594045882</v>
      </c>
    </row>
    <row r="90" spans="1:11" ht="12.75">
      <c r="A90" s="37" t="s">
        <v>91</v>
      </c>
      <c r="B90" s="38" t="s">
        <v>92</v>
      </c>
      <c r="C90" s="29">
        <v>13779.4</v>
      </c>
      <c r="D90" s="29">
        <v>3415.9</v>
      </c>
      <c r="E90" s="29">
        <f t="shared" si="5"/>
        <v>24.789903769394893</v>
      </c>
      <c r="F90" s="39">
        <v>0</v>
      </c>
      <c r="G90" s="30">
        <v>0</v>
      </c>
      <c r="H90" s="39">
        <v>0</v>
      </c>
      <c r="I90" s="40">
        <f t="shared" si="8"/>
        <v>13779.4</v>
      </c>
      <c r="J90" s="31">
        <f t="shared" si="8"/>
        <v>3415.9</v>
      </c>
      <c r="K90" s="41">
        <f t="shared" si="9"/>
        <v>24.789903769394893</v>
      </c>
    </row>
    <row r="91" spans="1:11" ht="12.75">
      <c r="A91" s="42" t="s">
        <v>93</v>
      </c>
      <c r="B91" s="38" t="s">
        <v>94</v>
      </c>
      <c r="C91" s="29">
        <f>162695.5-C92</f>
        <v>15316.5</v>
      </c>
      <c r="D91" s="39">
        <f>14891.4-D92</f>
        <v>7936.9</v>
      </c>
      <c r="E91" s="29">
        <f t="shared" si="5"/>
        <v>51.81927986158718</v>
      </c>
      <c r="F91" s="39">
        <v>0</v>
      </c>
      <c r="G91" s="30">
        <v>0</v>
      </c>
      <c r="H91" s="39">
        <v>0</v>
      </c>
      <c r="I91" s="40">
        <f t="shared" si="8"/>
        <v>15316.5</v>
      </c>
      <c r="J91" s="31">
        <f t="shared" si="8"/>
        <v>7936.9</v>
      </c>
      <c r="K91" s="41">
        <f t="shared" si="9"/>
        <v>51.81927986158718</v>
      </c>
    </row>
    <row r="92" spans="1:11" ht="22.5">
      <c r="A92" s="42" t="s">
        <v>93</v>
      </c>
      <c r="B92" s="53" t="s">
        <v>127</v>
      </c>
      <c r="C92" s="29">
        <v>147379</v>
      </c>
      <c r="D92" s="39">
        <v>6954.5</v>
      </c>
      <c r="E92" s="29">
        <f t="shared" si="5"/>
        <v>4.718786258557868</v>
      </c>
      <c r="F92" s="39">
        <v>0</v>
      </c>
      <c r="G92" s="30">
        <v>0</v>
      </c>
      <c r="H92" s="39">
        <v>0</v>
      </c>
      <c r="I92" s="40">
        <f t="shared" si="8"/>
        <v>147379</v>
      </c>
      <c r="J92" s="31">
        <f t="shared" si="8"/>
        <v>6954.5</v>
      </c>
      <c r="K92" s="41">
        <f t="shared" si="9"/>
        <v>4.718786258557868</v>
      </c>
    </row>
    <row r="93" spans="1:11" ht="12.75">
      <c r="A93" s="32">
        <v>10</v>
      </c>
      <c r="B93" s="33" t="s">
        <v>95</v>
      </c>
      <c r="C93" s="34">
        <f>SUM(C94:C105)</f>
        <v>162744.6</v>
      </c>
      <c r="D93" s="34">
        <f>SUM(D94:D105)</f>
        <v>38109.4</v>
      </c>
      <c r="E93" s="34">
        <f>D93/C93*100</f>
        <v>23.41669093782528</v>
      </c>
      <c r="F93" s="34">
        <f>SUM(F94:F103)</f>
        <v>120</v>
      </c>
      <c r="G93" s="34">
        <f>SUM(G94:G103)</f>
        <v>40</v>
      </c>
      <c r="H93" s="35">
        <f>G93/F93*100</f>
        <v>33.33333333333333</v>
      </c>
      <c r="I93" s="34">
        <f>SUM(I94:I105)</f>
        <v>162864.6</v>
      </c>
      <c r="J93" s="34">
        <f>SUM(J94:J105)</f>
        <v>38149.4</v>
      </c>
      <c r="K93" s="36">
        <f t="shared" si="9"/>
        <v>23.423997602916778</v>
      </c>
    </row>
    <row r="94" spans="1:11" ht="12.75">
      <c r="A94" s="42">
        <v>1001</v>
      </c>
      <c r="B94" s="38" t="s">
        <v>96</v>
      </c>
      <c r="C94" s="29">
        <v>3420</v>
      </c>
      <c r="D94" s="29">
        <v>1121.2</v>
      </c>
      <c r="E94" s="29">
        <f t="shared" si="5"/>
        <v>32.78362573099415</v>
      </c>
      <c r="F94" s="39">
        <v>120</v>
      </c>
      <c r="G94" s="30">
        <v>40</v>
      </c>
      <c r="H94" s="39">
        <f>G94/F94*100</f>
        <v>33.33333333333333</v>
      </c>
      <c r="I94" s="40">
        <f t="shared" si="8"/>
        <v>3540</v>
      </c>
      <c r="J94" s="31">
        <f t="shared" si="8"/>
        <v>1161.2</v>
      </c>
      <c r="K94" s="41">
        <f t="shared" si="9"/>
        <v>32.802259887005654</v>
      </c>
    </row>
    <row r="95" spans="1:11" ht="22.5">
      <c r="A95" s="42">
        <v>1003</v>
      </c>
      <c r="B95" s="38" t="s">
        <v>98</v>
      </c>
      <c r="C95" s="29">
        <v>2165.4</v>
      </c>
      <c r="D95" s="29">
        <v>0</v>
      </c>
      <c r="E95" s="29">
        <f t="shared" si="5"/>
        <v>0</v>
      </c>
      <c r="F95" s="39">
        <v>0</v>
      </c>
      <c r="G95" s="30">
        <v>0</v>
      </c>
      <c r="H95" s="39">
        <v>0</v>
      </c>
      <c r="I95" s="40">
        <f t="shared" si="8"/>
        <v>2165.4</v>
      </c>
      <c r="J95" s="31">
        <f t="shared" si="8"/>
        <v>0</v>
      </c>
      <c r="K95" s="41">
        <f t="shared" si="9"/>
        <v>0</v>
      </c>
    </row>
    <row r="96" spans="1:11" ht="22.5">
      <c r="A96" s="42">
        <v>1003</v>
      </c>
      <c r="B96" s="38" t="s">
        <v>99</v>
      </c>
      <c r="C96" s="29">
        <v>13827.1</v>
      </c>
      <c r="D96" s="29">
        <v>4125</v>
      </c>
      <c r="E96" s="29">
        <f aca="true" t="shared" si="10" ref="E96:E117">D96/C96*100</f>
        <v>29.832719803863426</v>
      </c>
      <c r="F96" s="39">
        <v>0</v>
      </c>
      <c r="G96" s="30">
        <v>0</v>
      </c>
      <c r="H96" s="39">
        <v>0</v>
      </c>
      <c r="I96" s="40">
        <f t="shared" si="8"/>
        <v>13827.1</v>
      </c>
      <c r="J96" s="31">
        <f t="shared" si="8"/>
        <v>4125</v>
      </c>
      <c r="K96" s="41">
        <f t="shared" si="9"/>
        <v>29.832719803863426</v>
      </c>
    </row>
    <row r="97" spans="1:11" ht="22.5">
      <c r="A97" s="42">
        <v>1003</v>
      </c>
      <c r="B97" s="38" t="s">
        <v>100</v>
      </c>
      <c r="C97" s="29">
        <v>11451</v>
      </c>
      <c r="D97" s="29">
        <v>5350</v>
      </c>
      <c r="E97" s="29">
        <f t="shared" si="10"/>
        <v>46.720810409571214</v>
      </c>
      <c r="F97" s="39">
        <v>0</v>
      </c>
      <c r="G97" s="30">
        <v>0</v>
      </c>
      <c r="H97" s="39">
        <v>0</v>
      </c>
      <c r="I97" s="40">
        <f t="shared" si="8"/>
        <v>11451</v>
      </c>
      <c r="J97" s="31">
        <f t="shared" si="8"/>
        <v>5350</v>
      </c>
      <c r="K97" s="41">
        <f t="shared" si="9"/>
        <v>46.720810409571214</v>
      </c>
    </row>
    <row r="98" spans="1:11" ht="12.75">
      <c r="A98" s="42" t="s">
        <v>245</v>
      </c>
      <c r="B98" s="38" t="s">
        <v>254</v>
      </c>
      <c r="C98" s="29">
        <v>734.6</v>
      </c>
      <c r="D98" s="29">
        <v>0</v>
      </c>
      <c r="E98" s="29">
        <f t="shared" si="10"/>
        <v>0</v>
      </c>
      <c r="F98" s="39"/>
      <c r="G98" s="30"/>
      <c r="H98" s="39"/>
      <c r="I98" s="40">
        <f t="shared" si="8"/>
        <v>734.6</v>
      </c>
      <c r="J98" s="31"/>
      <c r="K98" s="41">
        <f t="shared" si="9"/>
        <v>0</v>
      </c>
    </row>
    <row r="99" spans="1:11" ht="22.5">
      <c r="A99" s="42" t="s">
        <v>245</v>
      </c>
      <c r="B99" s="38" t="s">
        <v>250</v>
      </c>
      <c r="C99" s="29">
        <v>1346</v>
      </c>
      <c r="D99" s="29">
        <v>0</v>
      </c>
      <c r="E99" s="29">
        <f t="shared" si="10"/>
        <v>0</v>
      </c>
      <c r="F99" s="39"/>
      <c r="G99" s="30"/>
      <c r="H99" s="39"/>
      <c r="I99" s="40">
        <f aca="true" t="shared" si="11" ref="I99:J105">C99+F99</f>
        <v>1346</v>
      </c>
      <c r="J99" s="31"/>
      <c r="K99" s="41">
        <f t="shared" si="9"/>
        <v>0</v>
      </c>
    </row>
    <row r="100" spans="1:11" ht="45">
      <c r="A100" s="42">
        <v>1004</v>
      </c>
      <c r="B100" s="38" t="s">
        <v>101</v>
      </c>
      <c r="C100" s="27">
        <v>12774</v>
      </c>
      <c r="D100" s="29">
        <v>3868.3</v>
      </c>
      <c r="E100" s="29">
        <f t="shared" si="10"/>
        <v>30.282605291999374</v>
      </c>
      <c r="F100" s="39">
        <v>0</v>
      </c>
      <c r="G100" s="30">
        <v>0</v>
      </c>
      <c r="H100" s="39">
        <v>0</v>
      </c>
      <c r="I100" s="40">
        <f t="shared" si="11"/>
        <v>12774</v>
      </c>
      <c r="J100" s="31">
        <f t="shared" si="11"/>
        <v>3868.3</v>
      </c>
      <c r="K100" s="41">
        <f t="shared" si="9"/>
        <v>30.282605291999374</v>
      </c>
    </row>
    <row r="101" spans="1:11" ht="33.75">
      <c r="A101" s="42">
        <v>1004</v>
      </c>
      <c r="B101" s="38" t="s">
        <v>128</v>
      </c>
      <c r="C101" s="27">
        <v>887</v>
      </c>
      <c r="D101" s="29">
        <v>274.8</v>
      </c>
      <c r="E101" s="29">
        <f t="shared" si="10"/>
        <v>30.980834272829767</v>
      </c>
      <c r="F101" s="39">
        <v>0</v>
      </c>
      <c r="G101" s="39">
        <v>0</v>
      </c>
      <c r="H101" s="39">
        <v>0</v>
      </c>
      <c r="I101" s="40">
        <f t="shared" si="11"/>
        <v>887</v>
      </c>
      <c r="J101" s="40">
        <f t="shared" si="11"/>
        <v>274.8</v>
      </c>
      <c r="K101" s="41">
        <f t="shared" si="9"/>
        <v>30.980834272829767</v>
      </c>
    </row>
    <row r="102" spans="1:11" ht="22.5">
      <c r="A102" s="42">
        <v>1004</v>
      </c>
      <c r="B102" s="38" t="s">
        <v>102</v>
      </c>
      <c r="C102" s="27">
        <v>60733.5</v>
      </c>
      <c r="D102" s="29">
        <v>17248.1</v>
      </c>
      <c r="E102" s="29">
        <f t="shared" si="10"/>
        <v>28.39964764092305</v>
      </c>
      <c r="F102" s="39">
        <v>0</v>
      </c>
      <c r="G102" s="30">
        <v>0</v>
      </c>
      <c r="H102" s="39">
        <v>0</v>
      </c>
      <c r="I102" s="40">
        <f t="shared" si="11"/>
        <v>60733.5</v>
      </c>
      <c r="J102" s="31">
        <f t="shared" si="11"/>
        <v>17248.1</v>
      </c>
      <c r="K102" s="41">
        <f t="shared" si="9"/>
        <v>28.39964764092305</v>
      </c>
    </row>
    <row r="103" spans="1:11" ht="12.75">
      <c r="A103" s="42">
        <v>1004</v>
      </c>
      <c r="B103" s="38" t="s">
        <v>97</v>
      </c>
      <c r="C103" s="27">
        <v>5995.3</v>
      </c>
      <c r="D103" s="29">
        <v>386.8</v>
      </c>
      <c r="E103" s="29">
        <f t="shared" si="10"/>
        <v>6.4517205144029495</v>
      </c>
      <c r="F103" s="39">
        <v>0</v>
      </c>
      <c r="G103" s="30">
        <v>0</v>
      </c>
      <c r="H103" s="39">
        <v>0</v>
      </c>
      <c r="I103" s="40">
        <f t="shared" si="11"/>
        <v>5995.3</v>
      </c>
      <c r="J103" s="31">
        <f t="shared" si="11"/>
        <v>386.8</v>
      </c>
      <c r="K103" s="41">
        <f t="shared" si="9"/>
        <v>6.4517205144029495</v>
      </c>
    </row>
    <row r="104" spans="1:11" ht="45">
      <c r="A104" s="42" t="s">
        <v>103</v>
      </c>
      <c r="B104" s="38" t="s">
        <v>130</v>
      </c>
      <c r="C104" s="27">
        <v>36015.6</v>
      </c>
      <c r="D104" s="29">
        <v>1556.4</v>
      </c>
      <c r="E104" s="29">
        <f>D104/C104*100</f>
        <v>4.321460700363176</v>
      </c>
      <c r="F104" s="39">
        <v>0</v>
      </c>
      <c r="G104" s="30">
        <v>0</v>
      </c>
      <c r="H104" s="39">
        <v>0</v>
      </c>
      <c r="I104" s="40">
        <f t="shared" si="11"/>
        <v>36015.6</v>
      </c>
      <c r="J104" s="31">
        <f t="shared" si="11"/>
        <v>1556.4</v>
      </c>
      <c r="K104" s="41">
        <f>J104/I104*100</f>
        <v>4.321460700363176</v>
      </c>
    </row>
    <row r="105" spans="1:11" ht="22.5">
      <c r="A105" s="42">
        <v>1006</v>
      </c>
      <c r="B105" s="38" t="s">
        <v>104</v>
      </c>
      <c r="C105" s="29">
        <v>13395.1</v>
      </c>
      <c r="D105" s="29">
        <v>4178.8</v>
      </c>
      <c r="E105" s="29">
        <f t="shared" si="10"/>
        <v>31.19648229576487</v>
      </c>
      <c r="F105" s="39">
        <v>0</v>
      </c>
      <c r="G105" s="30">
        <v>0</v>
      </c>
      <c r="H105" s="39">
        <v>0</v>
      </c>
      <c r="I105" s="40">
        <f t="shared" si="11"/>
        <v>13395.1</v>
      </c>
      <c r="J105" s="31">
        <f t="shared" si="11"/>
        <v>4178.8</v>
      </c>
      <c r="K105" s="41">
        <f t="shared" si="9"/>
        <v>31.19648229576487</v>
      </c>
    </row>
    <row r="106" spans="1:11" ht="12.75">
      <c r="A106" s="49">
        <v>1100</v>
      </c>
      <c r="B106" s="33" t="s">
        <v>105</v>
      </c>
      <c r="C106" s="34">
        <f>SUM(C107:C108)</f>
        <v>29628.2</v>
      </c>
      <c r="D106" s="34">
        <f>SUM(D107:D108)</f>
        <v>9406.599999999999</v>
      </c>
      <c r="E106" s="34">
        <f>D106/C106*100</f>
        <v>31.74880687993195</v>
      </c>
      <c r="F106" s="47">
        <f>F107+F108</f>
        <v>10303</v>
      </c>
      <c r="G106" s="47">
        <f>G107+G108</f>
        <v>2895.7</v>
      </c>
      <c r="H106" s="35">
        <f>G106/F106*100</f>
        <v>28.105406192371152</v>
      </c>
      <c r="I106" s="47">
        <f>SUM(I107:I108)</f>
        <v>39721.2</v>
      </c>
      <c r="J106" s="47">
        <f>SUM(J107:J108)</f>
        <v>12092.3</v>
      </c>
      <c r="K106" s="36">
        <f t="shared" si="9"/>
        <v>30.442937272791355</v>
      </c>
    </row>
    <row r="107" spans="1:11" ht="12.75">
      <c r="A107" s="42">
        <v>1101</v>
      </c>
      <c r="B107" s="38" t="s">
        <v>106</v>
      </c>
      <c r="C107" s="29">
        <v>10850</v>
      </c>
      <c r="D107" s="29">
        <v>4285.4</v>
      </c>
      <c r="E107" s="29">
        <f t="shared" si="10"/>
        <v>39.49677419354838</v>
      </c>
      <c r="F107" s="39">
        <v>10093</v>
      </c>
      <c r="G107" s="30">
        <v>2853.2</v>
      </c>
      <c r="H107" s="39">
        <f>G107/F107*100</f>
        <v>28.26909739423363</v>
      </c>
      <c r="I107" s="40">
        <f>C107+F107</f>
        <v>20943</v>
      </c>
      <c r="J107" s="40">
        <f>D107+G107</f>
        <v>7138.599999999999</v>
      </c>
      <c r="K107" s="41">
        <f t="shared" si="9"/>
        <v>34.08585207467888</v>
      </c>
    </row>
    <row r="108" spans="1:11" ht="12.75">
      <c r="A108" s="42">
        <v>1102</v>
      </c>
      <c r="B108" s="38" t="s">
        <v>107</v>
      </c>
      <c r="C108" s="29">
        <v>18778.2</v>
      </c>
      <c r="D108" s="29">
        <v>5121.2</v>
      </c>
      <c r="E108" s="29">
        <f t="shared" si="10"/>
        <v>27.27204950421233</v>
      </c>
      <c r="F108" s="39">
        <v>210</v>
      </c>
      <c r="G108" s="30">
        <v>42.5</v>
      </c>
      <c r="H108" s="39">
        <f>G108/F108*100</f>
        <v>20.238095238095237</v>
      </c>
      <c r="I108" s="40">
        <f>C108+F108-210</f>
        <v>18778.2</v>
      </c>
      <c r="J108" s="40">
        <f>D108+G108-210</f>
        <v>4953.7</v>
      </c>
      <c r="K108" s="41">
        <f t="shared" si="9"/>
        <v>26.380057726512657</v>
      </c>
    </row>
    <row r="109" spans="1:11" ht="12.75">
      <c r="A109" s="49">
        <v>1200</v>
      </c>
      <c r="B109" s="33" t="s">
        <v>108</v>
      </c>
      <c r="C109" s="34">
        <f>C111+C110</f>
        <v>9550</v>
      </c>
      <c r="D109" s="34">
        <f>D111+D110</f>
        <v>5925</v>
      </c>
      <c r="E109" s="34">
        <f>E111</f>
        <v>60.08771929824561</v>
      </c>
      <c r="F109" s="34">
        <f>F111+F110</f>
        <v>0</v>
      </c>
      <c r="G109" s="34">
        <f>G111+G110</f>
        <v>0</v>
      </c>
      <c r="H109" s="43">
        <f>H111</f>
        <v>0</v>
      </c>
      <c r="I109" s="34">
        <f aca="true" t="shared" si="12" ref="I109:J113">C109+F109</f>
        <v>9550</v>
      </c>
      <c r="J109" s="34">
        <f t="shared" si="12"/>
        <v>5925</v>
      </c>
      <c r="K109" s="44">
        <f t="shared" si="9"/>
        <v>62.04188481675392</v>
      </c>
    </row>
    <row r="110" spans="1:11" ht="12.75">
      <c r="A110" s="42" t="s">
        <v>109</v>
      </c>
      <c r="B110" s="38" t="s">
        <v>110</v>
      </c>
      <c r="C110" s="29">
        <v>3850</v>
      </c>
      <c r="D110" s="29">
        <v>2500</v>
      </c>
      <c r="E110" s="29">
        <f>D110/C110*100</f>
        <v>64.93506493506493</v>
      </c>
      <c r="F110" s="39">
        <v>0</v>
      </c>
      <c r="G110" s="30">
        <v>0</v>
      </c>
      <c r="H110" s="39">
        <v>0</v>
      </c>
      <c r="I110" s="40">
        <f t="shared" si="12"/>
        <v>3850</v>
      </c>
      <c r="J110" s="40">
        <f t="shared" si="12"/>
        <v>2500</v>
      </c>
      <c r="K110" s="41">
        <f>J110/I110*100</f>
        <v>64.93506493506493</v>
      </c>
    </row>
    <row r="111" spans="1:11" ht="12.75">
      <c r="A111" s="42">
        <v>1202</v>
      </c>
      <c r="B111" s="38" t="s">
        <v>111</v>
      </c>
      <c r="C111" s="29">
        <v>5700</v>
      </c>
      <c r="D111" s="29">
        <v>3425</v>
      </c>
      <c r="E111" s="29">
        <f t="shared" si="10"/>
        <v>60.08771929824561</v>
      </c>
      <c r="F111" s="39">
        <v>0</v>
      </c>
      <c r="G111" s="30">
        <v>0</v>
      </c>
      <c r="H111" s="39">
        <v>0</v>
      </c>
      <c r="I111" s="40">
        <f t="shared" si="12"/>
        <v>5700</v>
      </c>
      <c r="J111" s="40">
        <f t="shared" si="12"/>
        <v>3425</v>
      </c>
      <c r="K111" s="41">
        <f t="shared" si="9"/>
        <v>60.08771929824561</v>
      </c>
    </row>
    <row r="112" spans="1:11" ht="12.75">
      <c r="A112" s="49">
        <v>1300</v>
      </c>
      <c r="B112" s="33" t="s">
        <v>112</v>
      </c>
      <c r="C112" s="34">
        <f aca="true" t="shared" si="13" ref="C112:H112">C113</f>
        <v>1000</v>
      </c>
      <c r="D112" s="34">
        <f t="shared" si="13"/>
        <v>500.7</v>
      </c>
      <c r="E112" s="34">
        <f t="shared" si="13"/>
        <v>50.07</v>
      </c>
      <c r="F112" s="34">
        <f t="shared" si="13"/>
        <v>0</v>
      </c>
      <c r="G112" s="34">
        <f t="shared" si="13"/>
        <v>0</v>
      </c>
      <c r="H112" s="43">
        <f t="shared" si="13"/>
        <v>0</v>
      </c>
      <c r="I112" s="34">
        <f t="shared" si="12"/>
        <v>1000</v>
      </c>
      <c r="J112" s="34">
        <f t="shared" si="12"/>
        <v>500.7</v>
      </c>
      <c r="K112" s="44">
        <f t="shared" si="9"/>
        <v>50.07</v>
      </c>
    </row>
    <row r="113" spans="1:11" ht="22.5">
      <c r="A113" s="42">
        <v>1301</v>
      </c>
      <c r="B113" s="38" t="s">
        <v>113</v>
      </c>
      <c r="C113" s="29">
        <v>1000</v>
      </c>
      <c r="D113" s="29">
        <v>500.7</v>
      </c>
      <c r="E113" s="29">
        <f t="shared" si="10"/>
        <v>50.07</v>
      </c>
      <c r="F113" s="39"/>
      <c r="G113" s="30">
        <v>0</v>
      </c>
      <c r="H113" s="39">
        <v>0</v>
      </c>
      <c r="I113" s="40">
        <f t="shared" si="12"/>
        <v>1000</v>
      </c>
      <c r="J113" s="40">
        <f t="shared" si="12"/>
        <v>500.7</v>
      </c>
      <c r="K113" s="41">
        <f t="shared" si="9"/>
        <v>50.07</v>
      </c>
    </row>
    <row r="114" spans="1:11" ht="12.75">
      <c r="A114" s="49">
        <v>1400</v>
      </c>
      <c r="B114" s="33" t="s">
        <v>114</v>
      </c>
      <c r="C114" s="34">
        <f>SUM(C115:C117)</f>
        <v>279101.2</v>
      </c>
      <c r="D114" s="34">
        <f>SUM(D115:D117)</f>
        <v>80148.70000000001</v>
      </c>
      <c r="E114" s="34">
        <f>D114/C114*100</f>
        <v>28.716716373845763</v>
      </c>
      <c r="F114" s="47">
        <f>F115+F116+F117</f>
        <v>27201.3</v>
      </c>
      <c r="G114" s="47">
        <f>SUM(G115:G117)</f>
        <v>5390.7</v>
      </c>
      <c r="H114" s="47">
        <f>G114/F114*100</f>
        <v>19.817802825600246</v>
      </c>
      <c r="I114" s="47">
        <v>0</v>
      </c>
      <c r="J114" s="47">
        <v>0</v>
      </c>
      <c r="K114" s="36">
        <v>0</v>
      </c>
    </row>
    <row r="115" spans="1:11" ht="22.5">
      <c r="A115" s="42">
        <v>1401</v>
      </c>
      <c r="B115" s="38" t="s">
        <v>115</v>
      </c>
      <c r="C115" s="29">
        <v>104609.8</v>
      </c>
      <c r="D115" s="29">
        <v>29180.9</v>
      </c>
      <c r="E115" s="29">
        <f t="shared" si="10"/>
        <v>27.89499645348715</v>
      </c>
      <c r="F115" s="39">
        <v>0</v>
      </c>
      <c r="G115" s="30">
        <v>0</v>
      </c>
      <c r="H115" s="39">
        <v>0</v>
      </c>
      <c r="I115" s="40">
        <v>0</v>
      </c>
      <c r="J115" s="31">
        <v>0</v>
      </c>
      <c r="K115" s="41">
        <v>0</v>
      </c>
    </row>
    <row r="116" spans="1:11" ht="12.75">
      <c r="A116" s="42">
        <v>1402</v>
      </c>
      <c r="B116" s="38" t="s">
        <v>116</v>
      </c>
      <c r="C116" s="29">
        <v>173191.4</v>
      </c>
      <c r="D116" s="29">
        <v>49667.8</v>
      </c>
      <c r="E116" s="29">
        <f t="shared" si="10"/>
        <v>28.67798285596167</v>
      </c>
      <c r="F116" s="39">
        <v>0</v>
      </c>
      <c r="G116" s="30">
        <v>0</v>
      </c>
      <c r="H116" s="39">
        <v>0</v>
      </c>
      <c r="I116" s="40">
        <v>0</v>
      </c>
      <c r="J116" s="31">
        <v>0</v>
      </c>
      <c r="K116" s="41">
        <v>0</v>
      </c>
    </row>
    <row r="117" spans="1:11" ht="13.5" customHeight="1">
      <c r="A117" s="42">
        <v>1403</v>
      </c>
      <c r="B117" s="38" t="s">
        <v>117</v>
      </c>
      <c r="C117" s="29">
        <v>1300</v>
      </c>
      <c r="D117" s="29">
        <v>1300</v>
      </c>
      <c r="E117" s="29">
        <f t="shared" si="10"/>
        <v>100</v>
      </c>
      <c r="F117" s="39">
        <v>27201.3</v>
      </c>
      <c r="G117" s="30">
        <v>5390.7</v>
      </c>
      <c r="H117" s="39">
        <f>G117/F117*100</f>
        <v>19.817802825600246</v>
      </c>
      <c r="I117" s="40">
        <v>0</v>
      </c>
      <c r="J117" s="31">
        <v>0</v>
      </c>
      <c r="K117" s="41">
        <v>0</v>
      </c>
    </row>
    <row r="118" spans="1:11" ht="13.5" customHeight="1" thickBot="1">
      <c r="A118" s="176" t="s">
        <v>118</v>
      </c>
      <c r="B118" s="177"/>
      <c r="C118" s="54">
        <f>C9+C18+C20+C25+C45+C71+C73+C81+C88+C93+C106+C109+C112+C114</f>
        <v>4518728.6</v>
      </c>
      <c r="D118" s="54">
        <f>D114+D112+D109+D106+D93+D88+D81+D73+D71+D45+D25+D20+D18+D9</f>
        <v>1233783.2</v>
      </c>
      <c r="E118" s="54">
        <f>D118/C118*100</f>
        <v>27.303768586588717</v>
      </c>
      <c r="F118" s="54">
        <f>F9+F18+F20+F25+F45+F71+F73+F81+F88+F93+F106+F109+F112+F114</f>
        <v>538003.1</v>
      </c>
      <c r="G118" s="54">
        <f>G114+G112+G109+G93+G88+G81+G73+G45+G25+G21+G18+G9+G20+G106</f>
        <v>135540.4</v>
      </c>
      <c r="H118" s="55">
        <f>G118/F118*100</f>
        <v>25.19323773413202</v>
      </c>
      <c r="I118" s="54">
        <f>I114+I112+I109+I106+I93+I88+I81+I73+I71+I45+I25+I20+I18+I9</f>
        <v>4652644.3999999985</v>
      </c>
      <c r="J118" s="54">
        <f>J114+J112+J109+J106+J93+J88+J81+J73+J71+J45+J25+J20+J18+J9</f>
        <v>1264966.7000000002</v>
      </c>
      <c r="K118" s="56">
        <f t="shared" si="9"/>
        <v>27.188123382049156</v>
      </c>
    </row>
    <row r="119" spans="1:11" ht="13.5" customHeight="1">
      <c r="A119" s="7"/>
      <c r="B119" s="8"/>
      <c r="C119" s="9"/>
      <c r="D119" s="2"/>
      <c r="E119" s="10"/>
      <c r="F119" s="3"/>
      <c r="G119" s="4"/>
      <c r="H119" s="4"/>
      <c r="I119" s="6"/>
      <c r="J119" s="6"/>
      <c r="K119" s="6"/>
    </row>
    <row r="120" spans="1:11" ht="12.75">
      <c r="A120" s="11"/>
      <c r="B120" s="12"/>
      <c r="C120" s="13"/>
      <c r="D120" s="14"/>
      <c r="E120" s="10"/>
      <c r="F120" s="3"/>
      <c r="G120" s="4"/>
      <c r="H120" s="4"/>
      <c r="I120" s="5"/>
      <c r="J120" s="5"/>
      <c r="K120" s="6"/>
    </row>
    <row r="121" spans="1:11" ht="13.5" customHeight="1">
      <c r="A121" s="11"/>
      <c r="B121" s="12"/>
      <c r="C121" s="13"/>
      <c r="D121" s="14"/>
      <c r="E121" s="10"/>
      <c r="F121" s="3"/>
      <c r="G121" s="4"/>
      <c r="H121" s="4"/>
      <c r="I121" s="5"/>
      <c r="J121" s="5"/>
      <c r="K121" s="6"/>
    </row>
    <row r="122" spans="1:11" ht="12.75">
      <c r="A122" s="11"/>
      <c r="B122" s="12"/>
      <c r="C122" s="13"/>
      <c r="D122" s="14"/>
      <c r="E122" s="10"/>
      <c r="F122" s="3"/>
      <c r="G122" s="4"/>
      <c r="H122" s="4"/>
      <c r="I122" s="5"/>
      <c r="J122" s="5"/>
      <c r="K122" s="6"/>
    </row>
    <row r="123" spans="1:11" ht="12.75" customHeight="1">
      <c r="A123" s="11"/>
      <c r="B123" s="12"/>
      <c r="C123" s="13"/>
      <c r="D123" s="14"/>
      <c r="E123" s="10"/>
      <c r="F123" s="3"/>
      <c r="G123" s="4"/>
      <c r="H123" s="4"/>
      <c r="I123" s="5"/>
      <c r="J123" s="5"/>
      <c r="K123" s="6"/>
    </row>
    <row r="124" spans="1:11" ht="13.5" customHeight="1">
      <c r="A124" s="160" t="s">
        <v>124</v>
      </c>
      <c r="B124" s="160"/>
      <c r="C124" s="160"/>
      <c r="D124" s="3"/>
      <c r="E124" s="4"/>
      <c r="F124" s="4"/>
      <c r="G124" s="4"/>
      <c r="H124" s="4"/>
      <c r="I124" s="6"/>
      <c r="J124" s="6"/>
      <c r="K124" s="6"/>
    </row>
    <row r="125" spans="1:11" ht="12.75" customHeight="1">
      <c r="A125" s="160" t="s">
        <v>125</v>
      </c>
      <c r="B125" s="160"/>
      <c r="C125" s="160"/>
      <c r="D125" s="15"/>
      <c r="E125" s="159" t="s">
        <v>126</v>
      </c>
      <c r="F125" s="159"/>
      <c r="G125" s="4"/>
      <c r="H125" s="4"/>
      <c r="I125" s="5"/>
      <c r="J125" s="6"/>
      <c r="K125" s="6"/>
    </row>
    <row r="126" spans="1:11" ht="12.75" customHeight="1">
      <c r="A126" s="16"/>
      <c r="B126" s="8"/>
      <c r="C126" s="9"/>
      <c r="D126" s="2"/>
      <c r="E126" s="17"/>
      <c r="F126" s="18"/>
      <c r="G126" s="4"/>
      <c r="H126" s="4"/>
      <c r="I126" s="5"/>
      <c r="J126" s="6"/>
      <c r="K126" s="6"/>
    </row>
    <row r="127" spans="1:11" ht="12.75" customHeight="1">
      <c r="A127" s="160" t="s">
        <v>147</v>
      </c>
      <c r="B127" s="160"/>
      <c r="C127" s="160"/>
      <c r="D127" s="19"/>
      <c r="E127" s="159" t="s">
        <v>119</v>
      </c>
      <c r="F127" s="159"/>
      <c r="G127" s="4"/>
      <c r="H127" s="4"/>
      <c r="I127" s="5"/>
      <c r="J127" s="6"/>
      <c r="K127" s="6"/>
    </row>
    <row r="128" spans="1:11" ht="13.5" customHeight="1">
      <c r="A128" s="16"/>
      <c r="B128" s="12"/>
      <c r="C128" s="13"/>
      <c r="D128" s="14"/>
      <c r="E128" s="17"/>
      <c r="F128" s="18"/>
      <c r="G128" s="4"/>
      <c r="H128" s="4"/>
      <c r="I128" s="5"/>
      <c r="J128" s="6"/>
      <c r="K128" s="6"/>
    </row>
    <row r="129" spans="1:11" ht="12.75" customHeight="1">
      <c r="A129" s="160" t="s">
        <v>150</v>
      </c>
      <c r="B129" s="160"/>
      <c r="C129" s="160"/>
      <c r="D129" s="19"/>
      <c r="E129" s="161" t="s">
        <v>151</v>
      </c>
      <c r="F129" s="161"/>
      <c r="G129" s="4"/>
      <c r="H129" s="4"/>
      <c r="I129" s="5"/>
      <c r="J129" s="6"/>
      <c r="K129" s="6"/>
    </row>
    <row r="130" spans="1:11" ht="12.75" customHeight="1">
      <c r="A130" s="20"/>
      <c r="B130" s="21"/>
      <c r="C130" s="22"/>
      <c r="D130" s="3"/>
      <c r="E130" s="3"/>
      <c r="F130" s="4"/>
      <c r="G130" s="4"/>
      <c r="H130" s="4"/>
      <c r="I130" s="6"/>
      <c r="J130" s="6"/>
      <c r="K130" s="6"/>
    </row>
    <row r="131" spans="3:5" ht="12.75">
      <c r="C131" s="25" t="s">
        <v>152</v>
      </c>
      <c r="D131" t="s">
        <v>153</v>
      </c>
      <c r="E131" s="26" t="s">
        <v>154</v>
      </c>
    </row>
    <row r="132" ht="12.75" customHeight="1"/>
    <row r="134" ht="12.75" customHeight="1">
      <c r="B134" s="21" t="s">
        <v>255</v>
      </c>
    </row>
    <row r="135" ht="12.75" customHeight="1"/>
    <row r="137" ht="12.75">
      <c r="B137" s="21"/>
    </row>
    <row r="138" spans="1:11" ht="12.75">
      <c r="A138" s="16"/>
      <c r="B138" s="12"/>
      <c r="C138" s="13"/>
      <c r="D138" s="14"/>
      <c r="E138" s="17"/>
      <c r="F138" s="18"/>
      <c r="G138" s="4"/>
      <c r="H138" s="4"/>
      <c r="I138" s="5"/>
      <c r="J138" s="6"/>
      <c r="K138" s="6"/>
    </row>
    <row r="139" spans="1:11" ht="12.75">
      <c r="A139" s="160"/>
      <c r="B139" s="160"/>
      <c r="C139" s="160"/>
      <c r="D139" s="14"/>
      <c r="E139" s="161"/>
      <c r="F139" s="161"/>
      <c r="G139" s="4"/>
      <c r="H139" s="4"/>
      <c r="I139" s="5"/>
      <c r="J139" s="6"/>
      <c r="K139" s="6"/>
    </row>
    <row r="140" spans="1:11" ht="12.75">
      <c r="A140" s="20"/>
      <c r="B140" s="21"/>
      <c r="C140" s="22"/>
      <c r="D140" s="14"/>
      <c r="E140" s="3"/>
      <c r="F140" s="4"/>
      <c r="G140" s="4"/>
      <c r="H140" s="4"/>
      <c r="I140" s="6"/>
      <c r="J140" s="6"/>
      <c r="K140" s="6"/>
    </row>
    <row r="141" ht="12.75">
      <c r="D141" s="23"/>
    </row>
  </sheetData>
  <sheetProtection/>
  <mergeCells count="37">
    <mergeCell ref="E125:F125"/>
    <mergeCell ref="E127:F127"/>
    <mergeCell ref="A129:C129"/>
    <mergeCell ref="E129:F129"/>
    <mergeCell ref="K20:K21"/>
    <mergeCell ref="A127:C127"/>
    <mergeCell ref="A20:A21"/>
    <mergeCell ref="A1:K1"/>
    <mergeCell ref="A3:A8"/>
    <mergeCell ref="B3:B5"/>
    <mergeCell ref="C3:E3"/>
    <mergeCell ref="F3:H3"/>
    <mergeCell ref="B20:B21"/>
    <mergeCell ref="C20:C21"/>
    <mergeCell ref="A139:C139"/>
    <mergeCell ref="E139:F139"/>
    <mergeCell ref="G20:G21"/>
    <mergeCell ref="A118:B118"/>
    <mergeCell ref="A124:C124"/>
    <mergeCell ref="A125:C125"/>
    <mergeCell ref="H20:H21"/>
    <mergeCell ref="I20:I21"/>
    <mergeCell ref="H4:H5"/>
    <mergeCell ref="I4:I5"/>
    <mergeCell ref="B6:K8"/>
    <mergeCell ref="G4:G5"/>
    <mergeCell ref="J20:J21"/>
    <mergeCell ref="D20:D21"/>
    <mergeCell ref="E20:E21"/>
    <mergeCell ref="F20:F21"/>
    <mergeCell ref="I3:K3"/>
    <mergeCell ref="C4:C5"/>
    <mergeCell ref="D4:D5"/>
    <mergeCell ref="E4:E5"/>
    <mergeCell ref="F4:F5"/>
    <mergeCell ref="J4:J5"/>
    <mergeCell ref="K4:K5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*</cp:lastModifiedBy>
  <cp:lastPrinted>2012-03-20T11:39:48Z</cp:lastPrinted>
  <dcterms:created xsi:type="dcterms:W3CDTF">2006-05-12T06:58:42Z</dcterms:created>
  <dcterms:modified xsi:type="dcterms:W3CDTF">2013-06-28T04:58:06Z</dcterms:modified>
  <cp:category/>
  <cp:version/>
  <cp:contentType/>
  <cp:contentStatus/>
</cp:coreProperties>
</file>