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2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<sst xmlns="http://schemas.openxmlformats.org/spreadsheetml/2006/main" count="811" uniqueCount="308">
  <si>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</si>
  <si>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</si>
  <si>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</si>
  <si>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</si>
  <si>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</si>
  <si>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</si>
  <si>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</si>
  <si>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</si>
  <si>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</si>
  <si>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</si>
  <si>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</si>
  <si>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</si>
  <si>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</si>
  <si>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</si>
  <si>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</si>
  <si>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</si>
  <si>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</si>
  <si>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</si>
  <si>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</si>
  <si>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</si>
  <si>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</si>
  <si>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</si>
  <si>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</si>
  <si>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</si>
  <si>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</si>
  <si>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</si>
  <si>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</si>
  <si>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</si>
  <si>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</si>
  <si>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</si>
  <si>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</si>
  <si>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</si>
  <si>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</si>
  <si>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</si>
  <si>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</si>
  <si>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</si>
  <si>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</si>
  <si>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</si>
  <si>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</si>
  <si>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</si>
  <si>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</si>
  <si>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</si>
  <si>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</si>
  <si>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</si>
  <si>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</si>
  <si>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</si>
  <si>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</si>
  <si>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</si>
  <si>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</si>
  <si>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</si>
  <si>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</si>
  <si>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</si>
  <si>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</si>
  <si>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</si>
  <si>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</si>
  <si>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</si>
  <si>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</si>
  <si>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</si>
  <si>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</si>
  <si>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</si>
  <si>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</si>
  <si>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</si>
  <si>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</si>
  <si>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</si>
  <si>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</si>
  <si>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</si>
  <si>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</si>
  <si>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</si>
  <si>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</si>
  <si>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</si>
  <si>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</si>
  <si>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</si>
  <si>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</si>
  <si>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</si>
  <si>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</si>
  <si>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</si>
  <si>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</si>
  <si>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</si>
  <si>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</si>
  <si>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</si>
  <si>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</si>
  <si>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</si>
  <si>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</si>
  <si>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</si>
  <si>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</si>
  <si>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</si>
  <si>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</si>
  <si>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</si>
  <si>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</si>
  <si>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</si>
  <si>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</si>
  <si>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</si>
  <si>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</si>
  <si>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</si>
  <si>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</si>
  <si>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</si>
  <si>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</si>
  <si>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</si>
  <si>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</si>
  <si>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</si>
  <si>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</si>
  <si>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</si>
  <si>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</si>
  <si>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</si>
  <si>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</si>
  <si>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</si>
  <si>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</si>
  <si>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</si>
  <si>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</si>
  <si>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</si>
  <si>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</si>
  <si>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</si>
  <si>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</si>
  <si>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</si>
  <si>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</si>
  <si>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</si>
  <si>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</si>
  <si>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</si>
  <si>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</si>
  <si>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</si>
  <si>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</si>
  <si>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</si>
  <si>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</si>
  <si>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</si>
  <si>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</si>
  <si>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</si>
  <si>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</si>
  <si>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</si>
  <si>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</si>
  <si>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</si>
  <si>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</si>
  <si>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</si>
  <si>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</si>
  <si>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</si>
  <si>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</si>
  <si>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</si>
  <si>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</si>
  <si>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</si>
  <si>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</si>
  <si>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</si>
  <si>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</si>
  <si>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</si>
  <si>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</si>
  <si>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</si>
  <si>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</si>
  <si>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</si>
  <si>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</si>
  <si>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</si>
  <si>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</si>
  <si>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</si>
  <si>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</si>
  <si>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</si>
  <si>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</si>
  <si>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</si>
  <si>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</si>
  <si>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</si>
  <si>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</si>
  <si>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</si>
  <si>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</si>
  <si>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</si>
  <si>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</si>
  <si>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</si>
  <si>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</si>
  <si>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</si>
  <si>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</si>
  <si>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</si>
  <si>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</si>
  <si>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</si>
  <si>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</si>
  <si>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</si>
  <si>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</si>
  <si>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</si>
  <si>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</si>
  <si>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</si>
  <si>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</si>
  <si>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</si>
  <si>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</si>
  <si>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</si>
  <si>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</si>
  <si>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</si>
  <si>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</si>
  <si>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</si>
  <si>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</si>
  <si>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</si>
  <si>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</si>
  <si>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</si>
  <si>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</si>
  <si>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</si>
  <si>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</si>
  <si>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</si>
  <si>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</si>
  <si>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</si>
  <si>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</si>
  <si>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</si>
  <si>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</si>
  <si>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</si>
  <si>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</si>
  <si>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</si>
  <si>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</si>
  <si>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</si>
  <si>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</si>
  <si>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</si>
  <si>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</si>
  <si>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</si>
  <si>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00011900000000000000</t>
  </si>
  <si>
    <t>Возврат остатков субсидий и субвенций прошлых лет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</si>
  <si>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</si>
  <si>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</si>
  <si>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</si>
  <si>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</si>
  <si>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</si>
  <si>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</si>
  <si>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</si>
  <si>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</si>
  <si>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</si>
  <si>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</si>
  <si>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</si>
  <si>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</si>
  <si>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</si>
  <si>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</si>
  <si>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</si>
  <si>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</si>
  <si>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</si>
  <si>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</si>
  <si>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</si>
  <si>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</si>
  <si>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</si>
  <si>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</si>
  <si>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</si>
  <si>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</si>
  <si>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</si>
  <si>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</si>
  <si>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</si>
  <si>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</si>
  <si>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</si>
  <si>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</si>
  <si>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</si>
  <si>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</si>
  <si>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</si>
  <si>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</si>
  <si>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</si>
  <si>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(тыс.руб.)</t>
  </si>
  <si>
    <t>00010300000000000000</t>
  </si>
  <si>
    <t>Акцизы</t>
  </si>
  <si>
    <t>Отчет  об  исполнении  консолидированного  бюджета  района  по  расходам на 1 февраля 2014 года</t>
  </si>
  <si>
    <t>исполнение на 01.02.2014</t>
  </si>
  <si>
    <t>исполнения на 01.02.2014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</si>
  <si>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</si>
  <si>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</si>
  <si>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</si>
  <si>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</si>
  <si>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</si>
  <si>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Муниципальная  программа" Развитие транспортной  системы муниципального  образования Октябрьский  район на 2014-2016  годы" (11.1.4210)</t>
  </si>
  <si>
    <t>Муниципальная  программа" Развитие транспортной  системы муниципального  образования Октябрьский  район на 2014-2016  годы" окружные средства и доля (11.1.5419, 11.1.5641)</t>
  </si>
  <si>
    <t>Строительство и реконструкция, капитальный ремонт, ремонт  объектов муниципальной собственности  муниципальной программы"Осуществление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</si>
  <si>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Содержание автомобильных дорог общего пользования (40.3.0602)</t>
  </si>
  <si>
    <t>Мороприятия по землеустройству и землепользованию (40.3.2137)</t>
  </si>
  <si>
    <t>Реализация мероприятий муниципальной  программы "Управление  мунициапальной  собственностью Октябрьского района на 2014 – 2020 годы" земля (18.0.2137)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</si>
  <si>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</si>
  <si>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</si>
  <si>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Реализация  мероприятий  муниципальной  программы"Осуществление поселком городского  типа фукнций  административного  центра  муниципального  образования Октябрський  район на 2014-2016 годы " (15.0.2120)</t>
  </si>
  <si>
    <t>Субвенции на реализацию муниципальной  программы "Развитие агропромышленного комплекса  муниципального  образования  Октябрьский  район  на 2014-2020 годы " (05.0.5514)</t>
  </si>
  <si>
    <t>Капитальный ремонт жилого фонда (40.6.2120)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</si>
  <si>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 (09.5.2119)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</si>
  <si>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01.40.36 и доля</t>
  </si>
  <si>
    <t>Субсидии на реализацию подпрограммы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Октябрьском районе на 2014-2016 годы" (10.2.5642)</t>
  </si>
  <si>
    <t>Реализация мероприятий  муниципальной  программы "О защите   населения и территории Октябрьского  района от чрезвычайных  ситуаций природного  и  техногенного  характера на 2014-2016 годы " (14.0.2123)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</si>
  <si>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(10.3.7808)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</si>
  <si>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(10.3.7809)</t>
  </si>
  <si>
    <t>Субсидии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(10.3.5411) 01.40.28 централизов.электроснабжение округ и доля</t>
  </si>
  <si>
    <t>Субсидии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(10.3.5421) 01.30.40 централизов.электроснабжение округ и доля</t>
  </si>
  <si>
    <t xml:space="preserve"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модернизация ЖКХ 01.40.01 и доля </t>
  </si>
  <si>
    <t xml:space="preserve"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01.40.36 </t>
  </si>
  <si>
    <t>Субвенции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годы"(10.3.5521), 01.51.22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</si>
  <si>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(10.1.5643), ОЗП, 01.40.50</t>
  </si>
  <si>
    <t>Мероприятия в области коммунального хозяйства</t>
  </si>
  <si>
    <t>Реализация мероприятий подпрограммы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(10.2.2120)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</si>
  <si>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</si>
  <si>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2014-2020 годы" (20.0.5645)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</si>
  <si>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</si>
  <si>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</si>
  <si>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</si>
  <si>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Субсидии на реализацию подпрограммы "Обеспечение прав граждан на доступ к культурным ценностям и информации" муниципальной  программы"Культура Октябрьского  района на 2014-2020 годы" (03.1.5408)</t>
  </si>
  <si>
    <t>Подпрограмма "Библиотечное дело" 03.1.5408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</si>
  <si>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(05.0.5421)</t>
  </si>
  <si>
    <t>Реализация мероприятий в рамках подпрограммы "Содействие в улучшении жилищных условий молодых семей на территории Октябрьского района" в рамках федеральной целевой программы "Жилище" муниципальной программы "Обеспечение доступным комфортным жильем жителей муниципального образования Октябрьский район на 2014-2016 годы" (09.1.2119)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</si>
  <si>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(11.5.5135) 01.20.04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</si>
  <si>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(11.6.5440)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</si>
  <si>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</si>
  <si>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</si>
  <si>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</si>
  <si>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Субвенции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родителей, в рамках подпрограммы "Преодоление социальной исключенности" государственной программы "Социальная поддержка жителей ХМАО-Югры на 2014-2020 годы" (03.4.5512)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</si>
  <si>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договарам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(03.4.5511)</t>
  </si>
  <si>
    <t>Отчет об исполнении консолидированного бюджета Октябрьского района по состоянию на 01.02.2014</t>
  </si>
  <si>
    <t>План на 2014 год</t>
  </si>
  <si>
    <t>План                 на 1 квартал 2014 года</t>
  </si>
  <si>
    <t>1 квартал</t>
  </si>
  <si>
    <t>2 квартал</t>
  </si>
  <si>
    <t>3 квартал</t>
  </si>
  <si>
    <t>4 квартал</t>
  </si>
  <si>
    <t>Исполнение на 01.02.2014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</si>
  <si>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</si>
  <si>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</si>
  <si>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</si>
  <si>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</si>
  <si>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</si>
  <si>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1 квартал 2014 года </t>
  </si>
  <si>
    <t xml:space="preserve">% исп-ия к плану на 2014 год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</si>
</sst>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53" fillId="0" borderId="0" xfId="0" applyNumberFormat="1" applyFont="1" applyFill="1" applyAlignment="1">
      <alignment horizontal="center" vertical="center" wrapText="1"/>
    </xf>
    <xf numFmtId="164" fontId="53" fillId="0" borderId="0" xfId="53" applyNumberFormat="1" applyFont="1" applyFill="1" applyAlignment="1">
      <alignment horizontal="center" vertical="center" wrapText="1"/>
      <protection/>
    </xf>
    <xf numFmtId="164" fontId="53" fillId="0" borderId="0" xfId="53" applyNumberFormat="1" applyFont="1" applyFill="1" applyBorder="1" applyAlignment="1">
      <alignment horizontal="center" vertical="center" wrapText="1"/>
      <protection/>
    </xf>
    <xf numFmtId="164" fontId="53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54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Alignment="1">
      <alignment/>
    </xf>
    <xf numFmtId="0" fontId="15" fillId="35" borderId="16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top" wrapText="1"/>
    </xf>
    <xf numFmtId="49" fontId="17" fillId="0" borderId="20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165" fontId="13" fillId="0" borderId="10" xfId="0" applyNumberFormat="1" applyFont="1" applyFill="1" applyBorder="1" applyAlignment="1">
      <alignment horizontal="right" vertical="top"/>
    </xf>
    <xf numFmtId="165" fontId="13" fillId="0" borderId="10" xfId="0" applyNumberFormat="1" applyFont="1" applyFill="1" applyBorder="1" applyAlignment="1">
      <alignment vertical="top"/>
    </xf>
    <xf numFmtId="165" fontId="13" fillId="0" borderId="20" xfId="0" applyNumberFormat="1" applyFont="1" applyFill="1" applyBorder="1" applyAlignment="1">
      <alignment horizontal="right" vertical="top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 shrinkToFi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165" fontId="14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35" borderId="0" xfId="0" applyFill="1" applyAlignment="1">
      <alignment horizontal="right"/>
    </xf>
    <xf numFmtId="49" fontId="16" fillId="0" borderId="20" xfId="0" applyNumberFormat="1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left" vertical="top"/>
    </xf>
    <xf numFmtId="165" fontId="14" fillId="0" borderId="20" xfId="0" applyNumberFormat="1" applyFont="1" applyFill="1" applyBorder="1" applyAlignment="1">
      <alignment horizontal="right" vertical="top"/>
    </xf>
    <xf numFmtId="0" fontId="17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top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/>
    </xf>
    <xf numFmtId="165" fontId="16" fillId="0" borderId="10" xfId="0" applyNumberFormat="1" applyFont="1" applyFill="1" applyBorder="1" applyAlignment="1">
      <alignment horizontal="right" vertical="top" wrapText="1"/>
    </xf>
    <xf numFmtId="165" fontId="14" fillId="0" borderId="10" xfId="0" applyNumberFormat="1" applyFont="1" applyFill="1" applyBorder="1" applyAlignment="1">
      <alignment horizontal="right" vertical="top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vertical="top"/>
    </xf>
    <xf numFmtId="165" fontId="13" fillId="0" borderId="17" xfId="0" applyNumberFormat="1" applyFont="1" applyFill="1" applyBorder="1" applyAlignment="1">
      <alignment horizontal="right" vertical="top"/>
    </xf>
    <xf numFmtId="0" fontId="17" fillId="0" borderId="20" xfId="0" applyFont="1" applyFill="1" applyBorder="1" applyAlignment="1">
      <alignment vertical="top" wrapText="1"/>
    </xf>
    <xf numFmtId="165" fontId="13" fillId="0" borderId="20" xfId="0" applyNumberFormat="1" applyFont="1" applyFill="1" applyBorder="1" applyAlignment="1">
      <alignment vertical="top"/>
    </xf>
    <xf numFmtId="165" fontId="17" fillId="0" borderId="10" xfId="0" applyNumberFormat="1" applyFont="1" applyFill="1" applyBorder="1" applyAlignment="1">
      <alignment horizontal="right" vertical="top" wrapText="1"/>
    </xf>
    <xf numFmtId="165" fontId="14" fillId="0" borderId="18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65" fontId="14" fillId="0" borderId="17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20" xfId="0" applyNumberFormat="1" applyFont="1" applyFill="1" applyBorder="1" applyAlignment="1">
      <alignment horizontal="left" vertical="top" wrapText="1"/>
    </xf>
    <xf numFmtId="49" fontId="16" fillId="0" borderId="2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166" fontId="13" fillId="0" borderId="10" xfId="0" applyNumberFormat="1" applyFont="1" applyFill="1" applyBorder="1" applyAlignment="1">
      <alignment vertical="top"/>
    </xf>
    <xf numFmtId="49" fontId="17" fillId="0" borderId="17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/>
    </xf>
    <xf numFmtId="49" fontId="13" fillId="0" borderId="17" xfId="0" applyNumberFormat="1" applyFont="1" applyFill="1" applyBorder="1" applyAlignment="1">
      <alignment horizontal="left" vertical="top"/>
    </xf>
    <xf numFmtId="165" fontId="17" fillId="0" borderId="10" xfId="0" applyNumberFormat="1" applyFont="1" applyFill="1" applyBorder="1" applyAlignment="1">
      <alignment horizontal="right" vertical="top" wrapText="1"/>
    </xf>
    <xf numFmtId="49" fontId="17" fillId="0" borderId="14" xfId="0" applyNumberFormat="1" applyFont="1" applyFill="1" applyBorder="1" applyAlignment="1">
      <alignment horizontal="left" vertical="top" wrapText="1"/>
    </xf>
    <xf numFmtId="49" fontId="6" fillId="35" borderId="11" xfId="53" applyNumberFormat="1" applyFont="1" applyFill="1" applyBorder="1" applyAlignment="1">
      <alignment horizontal="center" vertical="center" wrapText="1"/>
      <protection/>
    </xf>
    <xf numFmtId="0" fontId="6" fillId="35" borderId="10" xfId="53" applyNumberFormat="1" applyFont="1" applyFill="1" applyBorder="1" applyAlignment="1">
      <alignment horizontal="left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2" xfId="53" applyNumberFormat="1" applyFont="1" applyFill="1" applyBorder="1" applyAlignment="1">
      <alignment horizontal="center" vertical="center" wrapText="1"/>
      <protection/>
    </xf>
    <xf numFmtId="164" fontId="5" fillId="0" borderId="22" xfId="0" applyNumberFormat="1" applyFont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0" fontId="10" fillId="36" borderId="24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top"/>
    </xf>
    <xf numFmtId="49" fontId="17" fillId="0" borderId="16" xfId="0" applyNumberFormat="1" applyFont="1" applyFill="1" applyBorder="1" applyAlignment="1">
      <alignment horizontal="center" vertical="top" wrapText="1"/>
    </xf>
    <xf numFmtId="49" fontId="17" fillId="0" borderId="25" xfId="0" applyNumberFormat="1" applyFont="1" applyFill="1" applyBorder="1" applyAlignment="1">
      <alignment horizontal="center" vertical="top" wrapText="1"/>
    </xf>
    <xf numFmtId="49" fontId="17" fillId="0" borderId="26" xfId="0" applyNumberFormat="1" applyFont="1" applyFill="1" applyBorder="1" applyAlignment="1">
      <alignment horizontal="center" vertical="top" wrapText="1"/>
    </xf>
    <xf numFmtId="44" fontId="17" fillId="0" borderId="16" xfId="42" applyFont="1" applyFill="1" applyBorder="1" applyAlignment="1">
      <alignment horizontal="center" vertical="top" wrapText="1"/>
    </xf>
    <xf numFmtId="44" fontId="17" fillId="0" borderId="25" xfId="42" applyFont="1" applyFill="1" applyBorder="1" applyAlignment="1">
      <alignment horizontal="center" vertical="top" wrapText="1"/>
    </xf>
    <xf numFmtId="44" fontId="17" fillId="0" borderId="26" xfId="42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35" borderId="10" xfId="0" applyFont="1" applyFill="1" applyBorder="1" applyAlignment="1">
      <alignment horizontal="center" vertical="top"/>
    </xf>
    <xf numFmtId="165" fontId="14" fillId="0" borderId="25" xfId="0" applyNumberFormat="1" applyFont="1" applyFill="1" applyBorder="1" applyAlignment="1">
      <alignment horizontal="center" vertical="top"/>
    </xf>
    <xf numFmtId="165" fontId="14" fillId="0" borderId="26" xfId="0" applyNumberFormat="1" applyFont="1" applyFill="1" applyBorder="1" applyAlignment="1">
      <alignment horizontal="center" vertical="top"/>
    </xf>
    <xf numFmtId="0" fontId="14" fillId="35" borderId="17" xfId="0" applyFont="1" applyFill="1" applyBorder="1" applyAlignment="1">
      <alignment horizontal="center" vertical="top" wrapText="1"/>
    </xf>
    <xf numFmtId="0" fontId="14" fillId="35" borderId="17" xfId="0" applyFont="1" applyFill="1" applyBorder="1" applyAlignment="1">
      <alignment horizontal="center" vertical="top"/>
    </xf>
    <xf numFmtId="0" fontId="14" fillId="35" borderId="19" xfId="0" applyFont="1" applyFill="1" applyBorder="1" applyAlignment="1">
      <alignment horizontal="center" vertical="top" wrapText="1"/>
    </xf>
    <xf numFmtId="0" fontId="14" fillId="35" borderId="19" xfId="0" applyFont="1" applyFill="1" applyBorder="1" applyAlignment="1">
      <alignment horizontal="center" vertical="top"/>
    </xf>
    <xf numFmtId="0" fontId="14" fillId="35" borderId="20" xfId="0" applyFont="1" applyFill="1" applyBorder="1" applyAlignment="1">
      <alignment horizontal="center" vertical="top" wrapText="1"/>
    </xf>
    <xf numFmtId="0" fontId="14" fillId="35" borderId="20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top"/>
    </xf>
    <xf numFmtId="165" fontId="17" fillId="0" borderId="10" xfId="0" applyNumberFormat="1" applyFont="1" applyFill="1" applyBorder="1" applyAlignment="1">
      <alignment vertical="top" wrapText="1"/>
    </xf>
    <xf numFmtId="165" fontId="17" fillId="0" borderId="10" xfId="0" applyNumberFormat="1" applyFont="1" applyFill="1" applyBorder="1" applyAlignment="1">
      <alignment vertical="top"/>
    </xf>
    <xf numFmtId="165" fontId="17" fillId="0" borderId="10" xfId="0" applyNumberFormat="1" applyFont="1" applyFill="1" applyBorder="1" applyAlignment="1">
      <alignment vertical="top" wrapText="1" shrinkToFit="1"/>
    </xf>
    <xf numFmtId="165" fontId="13" fillId="0" borderId="0" xfId="0" applyNumberFormat="1" applyFont="1" applyFill="1" applyAlignment="1">
      <alignment vertical="top"/>
    </xf>
    <xf numFmtId="165" fontId="17" fillId="0" borderId="20" xfId="0" applyNumberFormat="1" applyFont="1" applyFill="1" applyBorder="1" applyAlignment="1">
      <alignment vertical="top" wrapText="1"/>
    </xf>
    <xf numFmtId="165" fontId="17" fillId="0" borderId="14" xfId="0" applyNumberFormat="1" applyFont="1" applyFill="1" applyBorder="1" applyAlignment="1">
      <alignment vertical="top" wrapText="1"/>
    </xf>
    <xf numFmtId="165" fontId="17" fillId="0" borderId="10" xfId="0" applyNumberFormat="1" applyFont="1" applyFill="1" applyBorder="1" applyAlignment="1">
      <alignment horizontal="right" vertical="top" wrapText="1" shrinkToFit="1"/>
    </xf>
    <xf numFmtId="0" fontId="13" fillId="0" borderId="10" xfId="0" applyFont="1" applyFill="1" applyBorder="1" applyAlignment="1">
      <alignment vertical="top"/>
    </xf>
    <xf numFmtId="165" fontId="17" fillId="0" borderId="20" xfId="0" applyNumberFormat="1" applyFont="1" applyFill="1" applyBorder="1" applyAlignment="1">
      <alignment horizontal="right" vertical="top" wrapText="1"/>
    </xf>
    <xf numFmtId="165" fontId="17" fillId="0" borderId="27" xfId="0" applyNumberFormat="1" applyFont="1" applyFill="1" applyBorder="1" applyAlignment="1">
      <alignment vertical="top" wrapText="1"/>
    </xf>
    <xf numFmtId="165" fontId="16" fillId="0" borderId="27" xfId="0" applyNumberFormat="1" applyFont="1" applyFill="1" applyBorder="1" applyAlignment="1">
      <alignment horizontal="right" vertical="top" wrapText="1"/>
    </xf>
    <xf numFmtId="165" fontId="17" fillId="0" borderId="10" xfId="0" applyNumberFormat="1" applyFont="1" applyFill="1" applyBorder="1" applyAlignment="1">
      <alignment horizontal="right" vertical="top"/>
    </xf>
    <xf numFmtId="165" fontId="17" fillId="0" borderId="27" xfId="0" applyNumberFormat="1" applyFont="1" applyFill="1" applyBorder="1" applyAlignment="1">
      <alignment horizontal="right" vertical="top" wrapText="1"/>
    </xf>
    <xf numFmtId="165" fontId="17" fillId="0" borderId="14" xfId="0" applyNumberFormat="1" applyFont="1" applyFill="1" applyBorder="1" applyAlignment="1">
      <alignment horizontal="right" vertical="top" wrapText="1"/>
    </xf>
    <xf numFmtId="165" fontId="16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65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29" t="s">
        <v>170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30" t="s">
        <v>98</v>
      </c>
      <c r="B3" s="132" t="s">
        <v>97</v>
      </c>
      <c r="C3" s="134" t="s">
        <v>113</v>
      </c>
      <c r="D3" s="134"/>
      <c r="E3" s="134"/>
      <c r="F3" s="135" t="s">
        <v>112</v>
      </c>
      <c r="G3" s="135"/>
      <c r="H3" s="135"/>
      <c r="I3" s="136" t="s">
        <v>111</v>
      </c>
      <c r="J3" s="136"/>
      <c r="K3" s="137"/>
    </row>
    <row r="4" spans="1:11" ht="12.75">
      <c r="A4" s="131"/>
      <c r="B4" s="133"/>
      <c r="C4" s="121" t="s">
        <v>78</v>
      </c>
      <c r="D4" s="121" t="s">
        <v>171</v>
      </c>
      <c r="E4" s="121" t="s">
        <v>77</v>
      </c>
      <c r="F4" s="121" t="s">
        <v>78</v>
      </c>
      <c r="G4" s="138" t="s">
        <v>171</v>
      </c>
      <c r="H4" s="138" t="s">
        <v>77</v>
      </c>
      <c r="I4" s="139" t="s">
        <v>78</v>
      </c>
      <c r="J4" s="141" t="s">
        <v>173</v>
      </c>
      <c r="K4" s="124" t="s">
        <v>77</v>
      </c>
    </row>
    <row r="5" spans="1:11" ht="19.5" customHeight="1">
      <c r="A5" s="131"/>
      <c r="B5" s="133"/>
      <c r="C5" s="122"/>
      <c r="D5" s="121"/>
      <c r="E5" s="128"/>
      <c r="F5" s="122"/>
      <c r="G5" s="138"/>
      <c r="H5" s="122"/>
      <c r="I5" s="140"/>
      <c r="J5" s="141"/>
      <c r="K5" s="125"/>
    </row>
    <row r="6" spans="1:11" ht="12.75">
      <c r="A6" s="131"/>
      <c r="B6" s="126" t="s">
        <v>0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1:11" ht="12.75">
      <c r="A7" s="131"/>
      <c r="B7" s="126"/>
      <c r="C7" s="126"/>
      <c r="D7" s="126"/>
      <c r="E7" s="126"/>
      <c r="F7" s="126"/>
      <c r="G7" s="126"/>
      <c r="H7" s="126"/>
      <c r="I7" s="126"/>
      <c r="J7" s="126"/>
      <c r="K7" s="127"/>
    </row>
    <row r="8" spans="1:11" ht="12.75">
      <c r="A8" s="131"/>
      <c r="B8" s="126"/>
      <c r="C8" s="126"/>
      <c r="D8" s="126"/>
      <c r="E8" s="126"/>
      <c r="F8" s="126"/>
      <c r="G8" s="126"/>
      <c r="H8" s="126"/>
      <c r="I8" s="126"/>
      <c r="J8" s="126"/>
      <c r="K8" s="127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144" t="s">
        <v>20</v>
      </c>
      <c r="B20" s="145" t="s">
        <v>102</v>
      </c>
      <c r="C20" s="123">
        <f>C23+C24+C22</f>
        <v>25046.9</v>
      </c>
      <c r="D20" s="123">
        <f>D23+D24+D22</f>
        <v>0</v>
      </c>
      <c r="E20" s="123">
        <f>D20/C20*100</f>
        <v>0</v>
      </c>
      <c r="F20" s="123">
        <f>F23+F24+F22</f>
        <v>9535.5</v>
      </c>
      <c r="G20" s="123">
        <f>G23+G24+G22</f>
        <v>0</v>
      </c>
      <c r="H20" s="123">
        <f>G20/F20*100</f>
        <v>0</v>
      </c>
      <c r="I20" s="123">
        <f>I23+I24+I22</f>
        <v>32921.4</v>
      </c>
      <c r="J20" s="123">
        <f>SUM(J22:J24)</f>
        <v>0</v>
      </c>
      <c r="K20" s="123">
        <f>J20/I20*100</f>
        <v>0</v>
      </c>
    </row>
    <row r="21" spans="1:11" ht="12.75">
      <c r="A21" s="144"/>
      <c r="B21" s="145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142" t="s">
        <v>65</v>
      </c>
      <c r="B118" s="143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146" t="s">
        <v>124</v>
      </c>
      <c r="B124" s="146"/>
      <c r="C124" s="146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146" t="s">
        <v>125</v>
      </c>
      <c r="B125" s="146"/>
      <c r="C125" s="146"/>
      <c r="D125" s="42"/>
      <c r="E125" s="147" t="s">
        <v>66</v>
      </c>
      <c r="F125" s="147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146" t="s">
        <v>151</v>
      </c>
      <c r="B127" s="146"/>
      <c r="C127" s="146"/>
      <c r="D127" s="34"/>
      <c r="E127" s="147" t="s">
        <v>123</v>
      </c>
      <c r="F127" s="147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146" t="s">
        <v>154</v>
      </c>
      <c r="B129" s="146"/>
      <c r="C129" s="146"/>
      <c r="D129" s="34"/>
      <c r="E129" s="148" t="s">
        <v>155</v>
      </c>
      <c r="F129" s="148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A124:C124"/>
    <mergeCell ref="A125:C125"/>
    <mergeCell ref="E125:F125"/>
    <mergeCell ref="A127:C127"/>
    <mergeCell ref="E127:F127"/>
    <mergeCell ref="A129:C129"/>
    <mergeCell ref="E129:F129"/>
    <mergeCell ref="K20:K21"/>
    <mergeCell ref="A118:B118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3"/>
  <sheetViews>
    <sheetView zoomScalePageLayoutView="0" workbookViewId="0" topLeftCell="A1">
      <selection activeCell="A1" sqref="A1:Q213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3.875" style="0" customWidth="1"/>
    <col min="5" max="5" width="13.00390625" style="0" customWidth="1"/>
    <col min="6" max="6" width="13.75390625" style="0" hidden="1" customWidth="1"/>
    <col min="7" max="7" width="0.2421875" style="0" hidden="1" customWidth="1"/>
    <col min="8" max="8" width="0.12890625" style="0" hidden="1" customWidth="1"/>
    <col min="9" max="9" width="11.625" style="0" hidden="1" customWidth="1"/>
    <col min="10" max="10" width="11.125" style="0" customWidth="1"/>
    <col min="11" max="11" width="11.00390625" style="0" hidden="1" customWidth="1"/>
    <col min="12" max="12" width="11.125" style="0" hidden="1" customWidth="1"/>
    <col min="13" max="15" width="9.125" style="0" hidden="1" customWidth="1"/>
  </cols>
  <sheetData>
    <row r="1" spans="1:17" ht="12.75">
      <c r="A1" s="156" t="s">
        <v>293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81"/>
      <c r="N1" s="81"/>
      <c r="O1" s="81"/>
      <c r="P1" s="81"/>
      <c r="Q1" s="81"/>
    </row>
    <row r="2" spans="1:17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81"/>
      <c r="N2" s="81"/>
      <c r="O2" s="81"/>
      <c r="P2" s="81"/>
      <c r="Q2" s="81"/>
    </row>
    <row r="3" spans="1:17" ht="12.75">
      <c r="A3" s="60"/>
      <c r="B3" s="60"/>
      <c r="C3" s="61"/>
      <c r="D3" s="61"/>
      <c r="E3" s="61"/>
      <c r="F3" s="61"/>
      <c r="G3" s="61"/>
      <c r="H3" s="62"/>
      <c r="I3" s="62"/>
      <c r="J3" s="82" t="s">
        <v>241</v>
      </c>
      <c r="K3" s="62"/>
      <c r="L3" s="62"/>
      <c r="M3" s="81"/>
      <c r="N3" s="81"/>
      <c r="O3" s="81"/>
      <c r="P3" s="81"/>
      <c r="Q3" s="81"/>
    </row>
    <row r="4" spans="1:17" ht="16.5" customHeight="1">
      <c r="A4" s="63" t="s">
        <v>174</v>
      </c>
      <c r="B4" s="63"/>
      <c r="C4" s="64"/>
      <c r="D4" s="161" t="s">
        <v>294</v>
      </c>
      <c r="E4" s="161" t="s">
        <v>295</v>
      </c>
      <c r="F4" s="162" t="s">
        <v>296</v>
      </c>
      <c r="G4" s="162" t="s">
        <v>297</v>
      </c>
      <c r="H4" s="162" t="s">
        <v>298</v>
      </c>
      <c r="I4" s="162" t="s">
        <v>299</v>
      </c>
      <c r="J4" s="161" t="s">
        <v>300</v>
      </c>
      <c r="K4" s="161" t="s">
        <v>301</v>
      </c>
      <c r="L4" s="161" t="s">
        <v>302</v>
      </c>
      <c r="M4" s="161" t="s">
        <v>303</v>
      </c>
      <c r="N4" s="161" t="s">
        <v>304</v>
      </c>
      <c r="O4" s="161" t="s">
        <v>305</v>
      </c>
      <c r="P4" s="161" t="s">
        <v>306</v>
      </c>
      <c r="Q4" s="161" t="s">
        <v>307</v>
      </c>
    </row>
    <row r="5" spans="1:17" ht="27.75" customHeight="1">
      <c r="A5" s="65" t="s">
        <v>175</v>
      </c>
      <c r="B5" s="65"/>
      <c r="C5" s="66" t="s">
        <v>176</v>
      </c>
      <c r="D5" s="163"/>
      <c r="E5" s="163"/>
      <c r="F5" s="164"/>
      <c r="G5" s="164"/>
      <c r="H5" s="164"/>
      <c r="I5" s="164"/>
      <c r="J5" s="163"/>
      <c r="K5" s="163"/>
      <c r="L5" s="163"/>
      <c r="M5" s="163"/>
      <c r="N5" s="163"/>
      <c r="O5" s="163"/>
      <c r="P5" s="163"/>
      <c r="Q5" s="163"/>
    </row>
    <row r="6" spans="1:17" ht="30.75" customHeight="1">
      <c r="A6" s="65"/>
      <c r="B6" s="65"/>
      <c r="C6" s="66"/>
      <c r="D6" s="165"/>
      <c r="E6" s="165"/>
      <c r="F6" s="166"/>
      <c r="G6" s="166"/>
      <c r="H6" s="166"/>
      <c r="I6" s="166"/>
      <c r="J6" s="165"/>
      <c r="K6" s="165"/>
      <c r="L6" s="165"/>
      <c r="M6" s="165"/>
      <c r="N6" s="165"/>
      <c r="O6" s="165"/>
      <c r="P6" s="165"/>
      <c r="Q6" s="165"/>
    </row>
    <row r="7" spans="1:17" ht="12.75">
      <c r="A7" s="158" t="s">
        <v>177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81"/>
      <c r="Q7" s="81"/>
    </row>
    <row r="8" spans="1:17" ht="12.75">
      <c r="A8" s="83" t="s">
        <v>178</v>
      </c>
      <c r="B8" s="83"/>
      <c r="C8" s="84" t="s">
        <v>179</v>
      </c>
      <c r="D8" s="85">
        <f aca="true" t="shared" si="0" ref="D8:J8">D9+D11+D12+D13+D15+D16+D18+D20+D14+D21+D17+D19+D10</f>
        <v>863123</v>
      </c>
      <c r="E8" s="85">
        <f t="shared" si="0"/>
        <v>201265.19999999998</v>
      </c>
      <c r="F8" s="85">
        <f t="shared" si="0"/>
        <v>201265.19999999998</v>
      </c>
      <c r="G8" s="85">
        <f t="shared" si="0"/>
        <v>221867.90000000002</v>
      </c>
      <c r="H8" s="85">
        <f t="shared" si="0"/>
        <v>206248.7</v>
      </c>
      <c r="I8" s="85">
        <f t="shared" si="0"/>
        <v>233741.19999999995</v>
      </c>
      <c r="J8" s="85">
        <f t="shared" si="0"/>
        <v>62923.1</v>
      </c>
      <c r="K8" s="85" t="e">
        <f>K9+K11+K12+K13+K15+K16+K18+K20+K14+K21+K17+K19</f>
        <v>#REF!</v>
      </c>
      <c r="L8" s="85">
        <f aca="true" t="shared" si="1" ref="L8:L20">J8/H8*100</f>
        <v>30.508361992099825</v>
      </c>
      <c r="M8" s="167"/>
      <c r="N8" s="167"/>
      <c r="O8" s="85">
        <f>J8*100/I8</f>
        <v>26.91998672035568</v>
      </c>
      <c r="P8" s="85">
        <f>J8*100/E8</f>
        <v>31.263775357091045</v>
      </c>
      <c r="Q8" s="80">
        <f>J8*100/D8</f>
        <v>7.290166059762051</v>
      </c>
    </row>
    <row r="9" spans="1:17" ht="12.75">
      <c r="A9" s="77" t="s">
        <v>180</v>
      </c>
      <c r="B9" s="77"/>
      <c r="C9" s="86" t="s">
        <v>181</v>
      </c>
      <c r="D9" s="168">
        <f>F9+G9+H9+I9</f>
        <v>686798.8</v>
      </c>
      <c r="E9" s="168">
        <f>F9</f>
        <v>158666.3</v>
      </c>
      <c r="F9" s="168">
        <v>158666.3</v>
      </c>
      <c r="G9" s="168">
        <v>177600.7</v>
      </c>
      <c r="H9" s="72">
        <v>161953.5</v>
      </c>
      <c r="I9" s="73">
        <v>188578.3</v>
      </c>
      <c r="J9" s="73">
        <v>48721.6</v>
      </c>
      <c r="K9" s="74" t="e">
        <f>J9/#REF!*100</f>
        <v>#REF!</v>
      </c>
      <c r="L9" s="74">
        <f t="shared" si="1"/>
        <v>30.083696863605912</v>
      </c>
      <c r="M9" s="167"/>
      <c r="N9" s="167"/>
      <c r="O9" s="72">
        <f aca="true" t="shared" si="2" ref="O9:O74">J9*100/I9</f>
        <v>25.836270663167504</v>
      </c>
      <c r="P9" s="74">
        <f aca="true" t="shared" si="3" ref="P9:P71">J9*100/E9</f>
        <v>30.706961717768678</v>
      </c>
      <c r="Q9" s="73">
        <f aca="true" t="shared" si="4" ref="Q9:Q71">J9*100/D9</f>
        <v>7.094013559720838</v>
      </c>
    </row>
    <row r="10" spans="1:17" ht="12.75">
      <c r="A10" s="67" t="s">
        <v>242</v>
      </c>
      <c r="B10" s="67"/>
      <c r="C10" s="86" t="s">
        <v>243</v>
      </c>
      <c r="D10" s="168">
        <f aca="true" t="shared" si="5" ref="D10:D26">F10+G10+H10+I10</f>
        <v>40154.200000000004</v>
      </c>
      <c r="E10" s="168">
        <f aca="true" t="shared" si="6" ref="E10:E26">F10</f>
        <v>8828.2</v>
      </c>
      <c r="F10" s="168">
        <v>8828.2</v>
      </c>
      <c r="G10" s="168">
        <v>9979.2</v>
      </c>
      <c r="H10" s="72">
        <v>9979.2</v>
      </c>
      <c r="I10" s="73">
        <v>11367.6</v>
      </c>
      <c r="J10" s="73">
        <v>3056.1</v>
      </c>
      <c r="K10" s="74"/>
      <c r="L10" s="74"/>
      <c r="M10" s="167"/>
      <c r="N10" s="167"/>
      <c r="O10" s="72"/>
      <c r="P10" s="74">
        <f t="shared" si="3"/>
        <v>34.61747581613466</v>
      </c>
      <c r="Q10" s="73">
        <f t="shared" si="4"/>
        <v>7.610909942172922</v>
      </c>
    </row>
    <row r="11" spans="1:17" ht="12.75">
      <c r="A11" s="67" t="s">
        <v>182</v>
      </c>
      <c r="B11" s="67"/>
      <c r="C11" s="86" t="s">
        <v>183</v>
      </c>
      <c r="D11" s="168">
        <f t="shared" si="5"/>
        <v>34182.799999999996</v>
      </c>
      <c r="E11" s="168">
        <f t="shared" si="6"/>
        <v>8529.8</v>
      </c>
      <c r="F11" s="168">
        <v>8529.8</v>
      </c>
      <c r="G11" s="168">
        <v>8499.8</v>
      </c>
      <c r="H11" s="72">
        <v>8529.3</v>
      </c>
      <c r="I11" s="73">
        <v>8623.9</v>
      </c>
      <c r="J11" s="73">
        <v>3395.6</v>
      </c>
      <c r="K11" s="74" t="e">
        <f>J11/#REF!*100</f>
        <v>#REF!</v>
      </c>
      <c r="L11" s="74">
        <f t="shared" si="1"/>
        <v>39.81100442005792</v>
      </c>
      <c r="M11" s="167"/>
      <c r="N11" s="167"/>
      <c r="O11" s="72">
        <f t="shared" si="2"/>
        <v>39.37429701179281</v>
      </c>
      <c r="P11" s="74">
        <f t="shared" si="3"/>
        <v>39.80867077774391</v>
      </c>
      <c r="Q11" s="73">
        <f t="shared" si="4"/>
        <v>9.933650841943903</v>
      </c>
    </row>
    <row r="12" spans="1:17" ht="12.75">
      <c r="A12" s="67" t="s">
        <v>184</v>
      </c>
      <c r="B12" s="67"/>
      <c r="C12" s="86" t="s">
        <v>185</v>
      </c>
      <c r="D12" s="168">
        <f t="shared" si="5"/>
        <v>3099.9999999999995</v>
      </c>
      <c r="E12" s="168">
        <f t="shared" si="6"/>
        <v>707.8</v>
      </c>
      <c r="F12" s="168">
        <v>707.8</v>
      </c>
      <c r="G12" s="168">
        <v>707.8</v>
      </c>
      <c r="H12" s="72">
        <v>707.8</v>
      </c>
      <c r="I12" s="73">
        <v>976.6</v>
      </c>
      <c r="J12" s="73">
        <v>704.3</v>
      </c>
      <c r="K12" s="74" t="e">
        <f>J12/#REF!*100</f>
        <v>#REF!</v>
      </c>
      <c r="L12" s="74">
        <f t="shared" si="1"/>
        <v>99.50551003108222</v>
      </c>
      <c r="M12" s="167"/>
      <c r="N12" s="167"/>
      <c r="O12" s="72">
        <f t="shared" si="2"/>
        <v>72.11755068605365</v>
      </c>
      <c r="P12" s="74">
        <f t="shared" si="3"/>
        <v>99.50551003108224</v>
      </c>
      <c r="Q12" s="73">
        <f t="shared" si="4"/>
        <v>22.71935483870968</v>
      </c>
    </row>
    <row r="13" spans="1:17" ht="12.75">
      <c r="A13" s="67" t="s">
        <v>186</v>
      </c>
      <c r="B13" s="67"/>
      <c r="C13" s="86" t="s">
        <v>187</v>
      </c>
      <c r="D13" s="168">
        <f t="shared" si="5"/>
        <v>3230</v>
      </c>
      <c r="E13" s="168">
        <f t="shared" si="6"/>
        <v>739.5</v>
      </c>
      <c r="F13" s="168">
        <v>739.5</v>
      </c>
      <c r="G13" s="168">
        <v>937.5</v>
      </c>
      <c r="H13" s="72">
        <v>937.5</v>
      </c>
      <c r="I13" s="73">
        <v>615.5</v>
      </c>
      <c r="J13" s="73">
        <v>161.3</v>
      </c>
      <c r="K13" s="74" t="e">
        <f>J13/#REF!*100</f>
        <v>#REF!</v>
      </c>
      <c r="L13" s="74">
        <f t="shared" si="1"/>
        <v>17.205333333333332</v>
      </c>
      <c r="M13" s="167"/>
      <c r="N13" s="167"/>
      <c r="O13" s="72">
        <f t="shared" si="2"/>
        <v>26.206336311941513</v>
      </c>
      <c r="P13" s="74">
        <f t="shared" si="3"/>
        <v>21.812035158891145</v>
      </c>
      <c r="Q13" s="73">
        <f t="shared" si="4"/>
        <v>4.9938080495356045</v>
      </c>
    </row>
    <row r="14" spans="1:17" ht="24">
      <c r="A14" s="67" t="s">
        <v>188</v>
      </c>
      <c r="B14" s="67"/>
      <c r="C14" s="86" t="s">
        <v>189</v>
      </c>
      <c r="D14" s="168">
        <f t="shared" si="5"/>
        <v>0</v>
      </c>
      <c r="E14" s="168">
        <f t="shared" si="6"/>
        <v>0</v>
      </c>
      <c r="F14" s="168"/>
      <c r="G14" s="168"/>
      <c r="H14" s="72"/>
      <c r="I14" s="73"/>
      <c r="J14" s="73"/>
      <c r="K14" s="74" t="e">
        <f>J14/#REF!*100</f>
        <v>#REF!</v>
      </c>
      <c r="L14" s="74"/>
      <c r="M14" s="167"/>
      <c r="N14" s="167"/>
      <c r="O14" s="72" t="e">
        <f t="shared" si="2"/>
        <v>#DIV/0!</v>
      </c>
      <c r="P14" s="74"/>
      <c r="Q14" s="73"/>
    </row>
    <row r="15" spans="1:17" ht="24">
      <c r="A15" s="68" t="s">
        <v>190</v>
      </c>
      <c r="B15" s="68"/>
      <c r="C15" s="86" t="s">
        <v>191</v>
      </c>
      <c r="D15" s="168">
        <f t="shared" si="5"/>
        <v>65808</v>
      </c>
      <c r="E15" s="168">
        <f t="shared" si="6"/>
        <v>16362.9</v>
      </c>
      <c r="F15" s="168">
        <v>16362.9</v>
      </c>
      <c r="G15" s="168">
        <v>16364.9</v>
      </c>
      <c r="H15" s="72">
        <v>16713.4</v>
      </c>
      <c r="I15" s="73">
        <v>16366.8</v>
      </c>
      <c r="J15" s="73">
        <v>675.4</v>
      </c>
      <c r="K15" s="74" t="e">
        <f>J15/#REF!*100</f>
        <v>#REF!</v>
      </c>
      <c r="L15" s="74">
        <f t="shared" si="1"/>
        <v>4.041068842964327</v>
      </c>
      <c r="M15" s="167"/>
      <c r="N15" s="167"/>
      <c r="O15" s="72">
        <f t="shared" si="2"/>
        <v>4.126646626096733</v>
      </c>
      <c r="P15" s="74">
        <f t="shared" si="3"/>
        <v>4.127630187802896</v>
      </c>
      <c r="Q15" s="73">
        <f t="shared" si="4"/>
        <v>1.026318988572818</v>
      </c>
    </row>
    <row r="16" spans="1:17" ht="12.75">
      <c r="A16" s="87" t="s">
        <v>192</v>
      </c>
      <c r="B16" s="87"/>
      <c r="C16" s="86" t="s">
        <v>193</v>
      </c>
      <c r="D16" s="168">
        <f t="shared" si="5"/>
        <v>13832.499999999998</v>
      </c>
      <c r="E16" s="168">
        <f t="shared" si="6"/>
        <v>3453.2</v>
      </c>
      <c r="F16" s="168">
        <v>3453.2</v>
      </c>
      <c r="G16" s="168">
        <v>3453.2</v>
      </c>
      <c r="H16" s="72">
        <v>3453.2</v>
      </c>
      <c r="I16" s="73">
        <v>3472.9</v>
      </c>
      <c r="J16" s="73">
        <v>3081.6</v>
      </c>
      <c r="K16" s="74" t="e">
        <f>J16/#REF!*100</f>
        <v>#REF!</v>
      </c>
      <c r="L16" s="74">
        <f t="shared" si="1"/>
        <v>89.23896675547319</v>
      </c>
      <c r="M16" s="167"/>
      <c r="N16" s="167"/>
      <c r="O16" s="72">
        <f t="shared" si="2"/>
        <v>88.73275936537188</v>
      </c>
      <c r="P16" s="74">
        <f t="shared" si="3"/>
        <v>89.23896675547319</v>
      </c>
      <c r="Q16" s="73">
        <f t="shared" si="4"/>
        <v>22.27796855232243</v>
      </c>
    </row>
    <row r="17" spans="1:17" ht="24">
      <c r="A17" s="88" t="s">
        <v>194</v>
      </c>
      <c r="B17" s="88"/>
      <c r="C17" s="86" t="s">
        <v>195</v>
      </c>
      <c r="D17" s="168">
        <f t="shared" si="5"/>
        <v>3770</v>
      </c>
      <c r="E17" s="168">
        <f t="shared" si="6"/>
        <v>802.4</v>
      </c>
      <c r="F17" s="168">
        <v>802.4</v>
      </c>
      <c r="G17" s="168">
        <v>923.1</v>
      </c>
      <c r="H17" s="72">
        <v>923.1</v>
      </c>
      <c r="I17" s="73">
        <v>1121.4</v>
      </c>
      <c r="J17" s="73">
        <v>1974.5</v>
      </c>
      <c r="K17" s="74" t="e">
        <f>J17/#REF!*100</f>
        <v>#REF!</v>
      </c>
      <c r="L17" s="74">
        <f t="shared" si="1"/>
        <v>213.89881919618676</v>
      </c>
      <c r="M17" s="167"/>
      <c r="N17" s="167"/>
      <c r="O17" s="72">
        <f t="shared" si="2"/>
        <v>176.07454967005526</v>
      </c>
      <c r="P17" s="74">
        <f t="shared" si="3"/>
        <v>246.07427716849452</v>
      </c>
      <c r="Q17" s="73">
        <f t="shared" si="4"/>
        <v>52.37400530503979</v>
      </c>
    </row>
    <row r="18" spans="1:17" ht="24">
      <c r="A18" s="88" t="s">
        <v>196</v>
      </c>
      <c r="B18" s="88"/>
      <c r="C18" s="86" t="s">
        <v>197</v>
      </c>
      <c r="D18" s="168">
        <f t="shared" si="5"/>
        <v>9360</v>
      </c>
      <c r="E18" s="168">
        <f t="shared" si="6"/>
        <v>2581.7</v>
      </c>
      <c r="F18" s="168">
        <v>2581.7</v>
      </c>
      <c r="G18" s="168">
        <v>2640</v>
      </c>
      <c r="H18" s="72">
        <v>2290</v>
      </c>
      <c r="I18" s="73">
        <v>1848.3</v>
      </c>
      <c r="J18" s="73">
        <v>1047.9</v>
      </c>
      <c r="K18" s="74" t="e">
        <f>J18/#REF!*100</f>
        <v>#REF!</v>
      </c>
      <c r="L18" s="74">
        <f t="shared" si="1"/>
        <v>45.759825327510924</v>
      </c>
      <c r="M18" s="167"/>
      <c r="N18" s="167"/>
      <c r="O18" s="72">
        <f t="shared" si="2"/>
        <v>56.69534166531408</v>
      </c>
      <c r="P18" s="74">
        <f t="shared" si="3"/>
        <v>40.589534027966074</v>
      </c>
      <c r="Q18" s="73">
        <f t="shared" si="4"/>
        <v>11.195512820512823</v>
      </c>
    </row>
    <row r="19" spans="1:17" ht="12.75">
      <c r="A19" s="88" t="s">
        <v>198</v>
      </c>
      <c r="B19" s="88"/>
      <c r="C19" s="86" t="s">
        <v>199</v>
      </c>
      <c r="D19" s="168">
        <f t="shared" si="5"/>
        <v>20</v>
      </c>
      <c r="E19" s="168">
        <f t="shared" si="6"/>
        <v>2</v>
      </c>
      <c r="F19" s="168">
        <v>2</v>
      </c>
      <c r="G19" s="168">
        <v>6</v>
      </c>
      <c r="H19" s="72">
        <v>6</v>
      </c>
      <c r="I19" s="73">
        <v>6</v>
      </c>
      <c r="J19" s="73">
        <v>1</v>
      </c>
      <c r="K19" s="74" t="e">
        <f>J19/#REF!*100</f>
        <v>#REF!</v>
      </c>
      <c r="L19" s="74">
        <f t="shared" si="1"/>
        <v>16.666666666666664</v>
      </c>
      <c r="M19" s="167"/>
      <c r="N19" s="167"/>
      <c r="O19" s="72">
        <f t="shared" si="2"/>
        <v>16.666666666666668</v>
      </c>
      <c r="P19" s="74">
        <f t="shared" si="3"/>
        <v>50</v>
      </c>
      <c r="Q19" s="73">
        <f t="shared" si="4"/>
        <v>5</v>
      </c>
    </row>
    <row r="20" spans="1:17" ht="12.75">
      <c r="A20" s="77" t="s">
        <v>200</v>
      </c>
      <c r="B20" s="77"/>
      <c r="C20" s="86" t="s">
        <v>201</v>
      </c>
      <c r="D20" s="168">
        <f t="shared" si="5"/>
        <v>2866.7000000000003</v>
      </c>
      <c r="E20" s="168">
        <f t="shared" si="6"/>
        <v>591.4</v>
      </c>
      <c r="F20" s="168">
        <v>591.4</v>
      </c>
      <c r="G20" s="168">
        <v>755.7</v>
      </c>
      <c r="H20" s="72">
        <v>755.7</v>
      </c>
      <c r="I20" s="73">
        <v>763.9</v>
      </c>
      <c r="J20" s="73">
        <v>361.6</v>
      </c>
      <c r="K20" s="74" t="e">
        <f>J20/#REF!*100</f>
        <v>#REF!</v>
      </c>
      <c r="L20" s="74">
        <f t="shared" si="1"/>
        <v>47.84967579727405</v>
      </c>
      <c r="M20" s="167"/>
      <c r="N20" s="167"/>
      <c r="O20" s="72">
        <f t="shared" si="2"/>
        <v>47.336038748527294</v>
      </c>
      <c r="P20" s="74">
        <f t="shared" si="3"/>
        <v>61.14305038890768</v>
      </c>
      <c r="Q20" s="73">
        <f t="shared" si="4"/>
        <v>12.61380681619981</v>
      </c>
    </row>
    <row r="21" spans="1:17" ht="12.75">
      <c r="A21" s="89" t="s">
        <v>202</v>
      </c>
      <c r="B21" s="90"/>
      <c r="C21" s="71" t="s">
        <v>203</v>
      </c>
      <c r="D21" s="168">
        <f t="shared" si="5"/>
        <v>0</v>
      </c>
      <c r="E21" s="168">
        <f t="shared" si="6"/>
        <v>0</v>
      </c>
      <c r="F21" s="168"/>
      <c r="G21" s="168"/>
      <c r="H21" s="72"/>
      <c r="I21" s="73"/>
      <c r="J21" s="73">
        <v>-257.8</v>
      </c>
      <c r="K21" s="74"/>
      <c r="L21" s="74"/>
      <c r="M21" s="167"/>
      <c r="N21" s="167"/>
      <c r="O21" s="72"/>
      <c r="P21" s="74"/>
      <c r="Q21" s="73"/>
    </row>
    <row r="22" spans="1:17" ht="12.75">
      <c r="A22" s="83" t="s">
        <v>206</v>
      </c>
      <c r="B22" s="83"/>
      <c r="C22" s="91" t="s">
        <v>207</v>
      </c>
      <c r="D22" s="92">
        <f aca="true" t="shared" si="7" ref="D22:J22">D23+D24+D26+D25</f>
        <v>3039577</v>
      </c>
      <c r="E22" s="92">
        <f t="shared" si="7"/>
        <v>373919</v>
      </c>
      <c r="F22" s="92">
        <f t="shared" si="7"/>
        <v>373919</v>
      </c>
      <c r="G22" s="92">
        <f t="shared" si="7"/>
        <v>750610.9</v>
      </c>
      <c r="H22" s="92">
        <f t="shared" si="7"/>
        <v>716628.1</v>
      </c>
      <c r="I22" s="92">
        <f t="shared" si="7"/>
        <v>1198419</v>
      </c>
      <c r="J22" s="92">
        <f t="shared" si="7"/>
        <v>-214938.99999999997</v>
      </c>
      <c r="K22" s="85" t="e">
        <f>J22/#REF!*100</f>
        <v>#REF!</v>
      </c>
      <c r="L22" s="85">
        <f aca="true" t="shared" si="8" ref="L22:L27">J22/H22*100</f>
        <v>-29.993102419511597</v>
      </c>
      <c r="M22" s="167"/>
      <c r="N22" s="167"/>
      <c r="O22" s="93">
        <f t="shared" si="2"/>
        <v>-17.935212976429778</v>
      </c>
      <c r="P22" s="85">
        <f t="shared" si="3"/>
        <v>-57.482770332612134</v>
      </c>
      <c r="Q22" s="80">
        <f t="shared" si="4"/>
        <v>-7.071345782653308</v>
      </c>
    </row>
    <row r="23" spans="1:17" ht="24">
      <c r="A23" s="69" t="s">
        <v>208</v>
      </c>
      <c r="B23" s="67"/>
      <c r="C23" s="94" t="s">
        <v>209</v>
      </c>
      <c r="D23" s="168">
        <f t="shared" si="5"/>
        <v>3019577</v>
      </c>
      <c r="E23" s="168">
        <f t="shared" si="6"/>
        <v>373119</v>
      </c>
      <c r="F23" s="168">
        <v>373119</v>
      </c>
      <c r="G23" s="168">
        <v>744010.9</v>
      </c>
      <c r="H23" s="73">
        <v>710028.1</v>
      </c>
      <c r="I23" s="73">
        <v>1192419</v>
      </c>
      <c r="J23" s="73">
        <v>108028.1</v>
      </c>
      <c r="K23" s="74" t="e">
        <f>J23/#REF!*100</f>
        <v>#REF!</v>
      </c>
      <c r="L23" s="74">
        <f t="shared" si="8"/>
        <v>15.214623195898868</v>
      </c>
      <c r="M23" s="167"/>
      <c r="N23" s="167"/>
      <c r="O23" s="72">
        <f t="shared" si="2"/>
        <v>9.059575535109722</v>
      </c>
      <c r="P23" s="74">
        <f t="shared" si="3"/>
        <v>28.9527201777449</v>
      </c>
      <c r="Q23" s="73">
        <f t="shared" si="4"/>
        <v>3.577590503570533</v>
      </c>
    </row>
    <row r="24" spans="1:17" ht="12.75">
      <c r="A24" s="69" t="s">
        <v>210</v>
      </c>
      <c r="B24" s="69"/>
      <c r="C24" s="95" t="s">
        <v>211</v>
      </c>
      <c r="D24" s="168">
        <f t="shared" si="5"/>
        <v>20000</v>
      </c>
      <c r="E24" s="168">
        <f t="shared" si="6"/>
        <v>800</v>
      </c>
      <c r="F24" s="169">
        <v>800</v>
      </c>
      <c r="G24" s="169">
        <v>6600</v>
      </c>
      <c r="H24" s="73">
        <v>6600</v>
      </c>
      <c r="I24" s="73">
        <v>6000</v>
      </c>
      <c r="J24" s="73"/>
      <c r="K24" s="74" t="e">
        <f>J24/#REF!*100</f>
        <v>#REF!</v>
      </c>
      <c r="L24" s="74">
        <f t="shared" si="8"/>
        <v>0</v>
      </c>
      <c r="M24" s="167"/>
      <c r="N24" s="167"/>
      <c r="O24" s="72">
        <f t="shared" si="2"/>
        <v>0</v>
      </c>
      <c r="P24" s="74">
        <f t="shared" si="3"/>
        <v>0</v>
      </c>
      <c r="Q24" s="73">
        <f t="shared" si="4"/>
        <v>0</v>
      </c>
    </row>
    <row r="25" spans="1:17" ht="62.25" customHeight="1">
      <c r="A25" s="69" t="s">
        <v>212</v>
      </c>
      <c r="B25" s="70" t="s">
        <v>213</v>
      </c>
      <c r="C25" s="71" t="s">
        <v>213</v>
      </c>
      <c r="D25" s="168">
        <f t="shared" si="5"/>
        <v>0</v>
      </c>
      <c r="E25" s="168">
        <f t="shared" si="6"/>
        <v>0</v>
      </c>
      <c r="F25" s="168"/>
      <c r="G25" s="168"/>
      <c r="H25" s="73"/>
      <c r="I25" s="73"/>
      <c r="J25" s="73"/>
      <c r="K25" s="74" t="e">
        <f>J25/#REF!*100</f>
        <v>#REF!</v>
      </c>
      <c r="L25" s="74"/>
      <c r="M25" s="167"/>
      <c r="N25" s="167"/>
      <c r="O25" s="72" t="e">
        <f t="shared" si="2"/>
        <v>#DIV/0!</v>
      </c>
      <c r="P25" s="74"/>
      <c r="Q25" s="73"/>
    </row>
    <row r="26" spans="1:17" ht="36">
      <c r="A26" s="69" t="s">
        <v>214</v>
      </c>
      <c r="B26" s="75"/>
      <c r="C26" s="76" t="s">
        <v>215</v>
      </c>
      <c r="D26" s="168">
        <f t="shared" si="5"/>
        <v>0</v>
      </c>
      <c r="E26" s="168">
        <f t="shared" si="6"/>
        <v>0</v>
      </c>
      <c r="F26" s="170"/>
      <c r="G26" s="170"/>
      <c r="H26" s="73"/>
      <c r="I26" s="73"/>
      <c r="J26" s="73">
        <v>-322967.1</v>
      </c>
      <c r="K26" s="74" t="e">
        <f>J26/#REF!*100</f>
        <v>#REF!</v>
      </c>
      <c r="L26" s="74"/>
      <c r="M26" s="167"/>
      <c r="N26" s="167"/>
      <c r="O26" s="72" t="e">
        <f t="shared" si="2"/>
        <v>#DIV/0!</v>
      </c>
      <c r="P26" s="74"/>
      <c r="Q26" s="73"/>
    </row>
    <row r="27" spans="1:17" ht="12.75">
      <c r="A27" s="77"/>
      <c r="B27" s="78"/>
      <c r="C27" s="79" t="s">
        <v>216</v>
      </c>
      <c r="D27" s="80">
        <f aca="true" t="shared" si="9" ref="D27:J27">D22+D8</f>
        <v>3902700</v>
      </c>
      <c r="E27" s="80">
        <f t="shared" si="9"/>
        <v>575184.2</v>
      </c>
      <c r="F27" s="80">
        <f t="shared" si="9"/>
        <v>575184.2</v>
      </c>
      <c r="G27" s="80">
        <f t="shared" si="9"/>
        <v>972478.8</v>
      </c>
      <c r="H27" s="80">
        <f t="shared" si="9"/>
        <v>922876.8</v>
      </c>
      <c r="I27" s="80">
        <f t="shared" si="9"/>
        <v>1432160.2</v>
      </c>
      <c r="J27" s="80">
        <f t="shared" si="9"/>
        <v>-152015.89999999997</v>
      </c>
      <c r="K27" s="85" t="e">
        <f>J27/#REF!*100</f>
        <v>#REF!</v>
      </c>
      <c r="L27" s="85">
        <f t="shared" si="8"/>
        <v>-16.471960287657026</v>
      </c>
      <c r="M27" s="167"/>
      <c r="N27" s="171" t="e">
        <f>I27+#REF!+#REF!</f>
        <v>#REF!</v>
      </c>
      <c r="O27" s="93">
        <f t="shared" si="2"/>
        <v>-10.614448020549654</v>
      </c>
      <c r="P27" s="85">
        <f t="shared" si="3"/>
        <v>-26.429081327338263</v>
      </c>
      <c r="Q27" s="80">
        <f t="shared" si="4"/>
        <v>-3.895146949547748</v>
      </c>
    </row>
    <row r="28" spans="1:17" ht="12.75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2"/>
      <c r="M28" s="167"/>
      <c r="N28" s="167"/>
      <c r="O28" s="96"/>
      <c r="P28" s="85"/>
      <c r="Q28" s="80"/>
    </row>
    <row r="29" spans="1:17" ht="12.75">
      <c r="A29" s="149" t="s">
        <v>217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85"/>
      <c r="Q29" s="80"/>
    </row>
    <row r="30" spans="1:17" ht="12.75">
      <c r="A30" s="83" t="s">
        <v>178</v>
      </c>
      <c r="B30" s="83"/>
      <c r="C30" s="84" t="s">
        <v>179</v>
      </c>
      <c r="D30" s="85">
        <f>D31+D32+D34+D35+D33</f>
        <v>15647.5</v>
      </c>
      <c r="E30" s="85">
        <f>E31+E32+E34+E35+E33</f>
        <v>3911.6999999999994</v>
      </c>
      <c r="F30" s="85">
        <f>F31+F32+F34+F35+F33</f>
        <v>3911.6999999999994</v>
      </c>
      <c r="G30" s="85">
        <f>G31+G32+G34+G35+G33</f>
        <v>3912.0000000000005</v>
      </c>
      <c r="H30" s="85">
        <f>H31+H32+H34+H35+H33</f>
        <v>3911.6999999999994</v>
      </c>
      <c r="I30" s="85">
        <f>I31+I32+I33+I34+I35+I36</f>
        <v>3912.1000000000004</v>
      </c>
      <c r="J30" s="85">
        <f>J31+J32+J34+J35+J33+J36</f>
        <v>743</v>
      </c>
      <c r="K30" s="85" t="e">
        <f>J30/#REF!*100</f>
        <v>#REF!</v>
      </c>
      <c r="L30" s="85">
        <f aca="true" t="shared" si="10" ref="L30:L35">J30/H30*100</f>
        <v>18.99429915382059</v>
      </c>
      <c r="M30" s="167"/>
      <c r="N30" s="167"/>
      <c r="O30" s="85">
        <f t="shared" si="2"/>
        <v>18.992357046087776</v>
      </c>
      <c r="P30" s="85">
        <f t="shared" si="3"/>
        <v>18.99429915382059</v>
      </c>
      <c r="Q30" s="80">
        <f t="shared" si="4"/>
        <v>4.748362358204186</v>
      </c>
    </row>
    <row r="31" spans="1:17" ht="12.75">
      <c r="A31" s="67" t="s">
        <v>180</v>
      </c>
      <c r="B31" s="67"/>
      <c r="C31" s="97" t="s">
        <v>181</v>
      </c>
      <c r="D31" s="168">
        <f>F31+G31+H31+I31</f>
        <v>14175</v>
      </c>
      <c r="E31" s="168">
        <f>F31</f>
        <v>3543.7</v>
      </c>
      <c r="F31" s="172">
        <v>3543.7</v>
      </c>
      <c r="G31" s="172">
        <v>3543.8</v>
      </c>
      <c r="H31" s="72">
        <v>3543.7</v>
      </c>
      <c r="I31" s="73">
        <v>3543.8</v>
      </c>
      <c r="J31" s="98">
        <v>730</v>
      </c>
      <c r="K31" s="74" t="e">
        <f>J31/#REF!*100</f>
        <v>#REF!</v>
      </c>
      <c r="L31" s="74">
        <f t="shared" si="10"/>
        <v>20.599937917995316</v>
      </c>
      <c r="M31" s="167"/>
      <c r="N31" s="167"/>
      <c r="O31" s="72">
        <f t="shared" si="2"/>
        <v>20.599356622834243</v>
      </c>
      <c r="P31" s="74">
        <f t="shared" si="3"/>
        <v>20.599937917995316</v>
      </c>
      <c r="Q31" s="73">
        <f t="shared" si="4"/>
        <v>5.149911816578483</v>
      </c>
    </row>
    <row r="32" spans="1:17" ht="12.75">
      <c r="A32" s="67" t="s">
        <v>184</v>
      </c>
      <c r="B32" s="67"/>
      <c r="C32" s="86" t="s">
        <v>185</v>
      </c>
      <c r="D32" s="168">
        <f>F32+G32+H32+I32</f>
        <v>432</v>
      </c>
      <c r="E32" s="168">
        <f>F32</f>
        <v>108</v>
      </c>
      <c r="F32" s="168">
        <v>108</v>
      </c>
      <c r="G32" s="168">
        <v>108</v>
      </c>
      <c r="H32" s="72">
        <v>108</v>
      </c>
      <c r="I32" s="73">
        <v>108</v>
      </c>
      <c r="J32" s="73">
        <v>6</v>
      </c>
      <c r="K32" s="74" t="e">
        <f>J32/#REF!*100</f>
        <v>#REF!</v>
      </c>
      <c r="L32" s="74">
        <f t="shared" si="10"/>
        <v>5.555555555555555</v>
      </c>
      <c r="M32" s="167"/>
      <c r="N32" s="167"/>
      <c r="O32" s="72">
        <f t="shared" si="2"/>
        <v>5.555555555555555</v>
      </c>
      <c r="P32" s="74">
        <f t="shared" si="3"/>
        <v>5.555555555555555</v>
      </c>
      <c r="Q32" s="73">
        <f t="shared" si="4"/>
        <v>1.3888888888888888</v>
      </c>
    </row>
    <row r="33" spans="1:17" ht="12.75">
      <c r="A33" s="67" t="s">
        <v>186</v>
      </c>
      <c r="B33" s="67"/>
      <c r="C33" s="86" t="s">
        <v>187</v>
      </c>
      <c r="D33" s="168">
        <f>F33+G33+H33+I33</f>
        <v>23</v>
      </c>
      <c r="E33" s="168">
        <f>F33</f>
        <v>5.7</v>
      </c>
      <c r="F33" s="168">
        <v>5.7</v>
      </c>
      <c r="G33" s="168">
        <v>5.8</v>
      </c>
      <c r="H33" s="72">
        <v>5.7</v>
      </c>
      <c r="I33" s="73">
        <v>5.8</v>
      </c>
      <c r="J33" s="73"/>
      <c r="K33" s="74" t="e">
        <f>J33/#REF!*100</f>
        <v>#REF!</v>
      </c>
      <c r="L33" s="74">
        <f t="shared" si="10"/>
        <v>0</v>
      </c>
      <c r="M33" s="167"/>
      <c r="N33" s="167"/>
      <c r="O33" s="72">
        <f t="shared" si="2"/>
        <v>0</v>
      </c>
      <c r="P33" s="74">
        <f t="shared" si="3"/>
        <v>0</v>
      </c>
      <c r="Q33" s="73">
        <f t="shared" si="4"/>
        <v>0</v>
      </c>
    </row>
    <row r="34" spans="1:17" ht="24">
      <c r="A34" s="68" t="s">
        <v>190</v>
      </c>
      <c r="B34" s="68"/>
      <c r="C34" s="86" t="s">
        <v>191</v>
      </c>
      <c r="D34" s="168">
        <f>F34+G34+H34+I34</f>
        <v>925</v>
      </c>
      <c r="E34" s="168">
        <f>F34</f>
        <v>231.2</v>
      </c>
      <c r="F34" s="168">
        <v>231.2</v>
      </c>
      <c r="G34" s="168">
        <v>231.3</v>
      </c>
      <c r="H34" s="72">
        <v>231.2</v>
      </c>
      <c r="I34" s="73">
        <v>231.3</v>
      </c>
      <c r="J34" s="73">
        <v>2.6</v>
      </c>
      <c r="K34" s="74" t="e">
        <f>J34/#REF!*100</f>
        <v>#REF!</v>
      </c>
      <c r="L34" s="74">
        <f t="shared" si="10"/>
        <v>1.124567474048443</v>
      </c>
      <c r="M34" s="167"/>
      <c r="N34" s="167"/>
      <c r="O34" s="72">
        <f t="shared" si="2"/>
        <v>1.124081279723303</v>
      </c>
      <c r="P34" s="74">
        <f t="shared" si="3"/>
        <v>1.124567474048443</v>
      </c>
      <c r="Q34" s="73">
        <f t="shared" si="4"/>
        <v>0.2810810810810811</v>
      </c>
    </row>
    <row r="35" spans="1:17" ht="24">
      <c r="A35" s="87" t="s">
        <v>196</v>
      </c>
      <c r="B35" s="87"/>
      <c r="C35" s="86" t="s">
        <v>197</v>
      </c>
      <c r="D35" s="168">
        <f>F35+G35+H35+I35</f>
        <v>92.50000000000001</v>
      </c>
      <c r="E35" s="168">
        <f>F35</f>
        <v>23.1</v>
      </c>
      <c r="F35" s="168">
        <v>23.1</v>
      </c>
      <c r="G35" s="168">
        <v>23.1</v>
      </c>
      <c r="H35" s="72">
        <v>23.1</v>
      </c>
      <c r="I35" s="73">
        <v>23.2</v>
      </c>
      <c r="J35" s="73">
        <v>4.4</v>
      </c>
      <c r="K35" s="74" t="e">
        <f>J35/#REF!*100</f>
        <v>#REF!</v>
      </c>
      <c r="L35" s="74">
        <f t="shared" si="10"/>
        <v>19.04761904761905</v>
      </c>
      <c r="M35" s="167"/>
      <c r="N35" s="167"/>
      <c r="O35" s="72">
        <f t="shared" si="2"/>
        <v>18.965517241379313</v>
      </c>
      <c r="P35" s="74">
        <f t="shared" si="3"/>
        <v>19.047619047619047</v>
      </c>
      <c r="Q35" s="73">
        <f t="shared" si="4"/>
        <v>4.756756756756757</v>
      </c>
    </row>
    <row r="36" spans="1:17" ht="12.75">
      <c r="A36" s="89" t="s">
        <v>202</v>
      </c>
      <c r="B36" s="90"/>
      <c r="C36" s="71" t="s">
        <v>203</v>
      </c>
      <c r="D36" s="71"/>
      <c r="E36" s="173"/>
      <c r="F36" s="173"/>
      <c r="G36" s="173"/>
      <c r="H36" s="72"/>
      <c r="I36" s="73"/>
      <c r="J36" s="73"/>
      <c r="K36" s="74"/>
      <c r="L36" s="74"/>
      <c r="M36" s="167"/>
      <c r="N36" s="167"/>
      <c r="O36" s="72" t="e">
        <f t="shared" si="2"/>
        <v>#DIV/0!</v>
      </c>
      <c r="P36" s="85" t="e">
        <f t="shared" si="3"/>
        <v>#DIV/0!</v>
      </c>
      <c r="Q36" s="80" t="e">
        <f t="shared" si="4"/>
        <v>#DIV/0!</v>
      </c>
    </row>
    <row r="37" spans="1:17" ht="12.75">
      <c r="A37" s="83" t="s">
        <v>206</v>
      </c>
      <c r="B37" s="83"/>
      <c r="C37" s="91" t="s">
        <v>207</v>
      </c>
      <c r="D37" s="92">
        <f aca="true" t="shared" si="11" ref="D37:K37">D38</f>
        <v>6942.2</v>
      </c>
      <c r="E37" s="92">
        <f t="shared" si="11"/>
        <v>1735.6</v>
      </c>
      <c r="F37" s="92">
        <f t="shared" si="11"/>
        <v>1735.6</v>
      </c>
      <c r="G37" s="92">
        <f t="shared" si="11"/>
        <v>1735.5</v>
      </c>
      <c r="H37" s="92">
        <f t="shared" si="11"/>
        <v>1735.6</v>
      </c>
      <c r="I37" s="92">
        <f t="shared" si="11"/>
        <v>1735.5</v>
      </c>
      <c r="J37" s="92">
        <f t="shared" si="11"/>
        <v>339.6</v>
      </c>
      <c r="K37" s="92" t="e">
        <f t="shared" si="11"/>
        <v>#REF!</v>
      </c>
      <c r="L37" s="85">
        <f>J37/H37*100</f>
        <v>19.566720442498273</v>
      </c>
      <c r="M37" s="167"/>
      <c r="N37" s="167"/>
      <c r="O37" s="93">
        <f t="shared" si="2"/>
        <v>19.567847882454625</v>
      </c>
      <c r="P37" s="85">
        <f t="shared" si="3"/>
        <v>19.566720442498273</v>
      </c>
      <c r="Q37" s="80">
        <f t="shared" si="4"/>
        <v>4.891821036559016</v>
      </c>
    </row>
    <row r="38" spans="1:17" ht="24">
      <c r="A38" s="69" t="s">
        <v>208</v>
      </c>
      <c r="B38" s="67"/>
      <c r="C38" s="94" t="s">
        <v>209</v>
      </c>
      <c r="D38" s="168">
        <f>F38+G38+H38+I38</f>
        <v>6942.2</v>
      </c>
      <c r="E38" s="168">
        <f>F38</f>
        <v>1735.6</v>
      </c>
      <c r="F38" s="99">
        <v>1735.6</v>
      </c>
      <c r="G38" s="99">
        <v>1735.5</v>
      </c>
      <c r="H38" s="72">
        <v>1735.6</v>
      </c>
      <c r="I38" s="99">
        <v>1735.5</v>
      </c>
      <c r="J38" s="73">
        <v>339.6</v>
      </c>
      <c r="K38" s="74" t="e">
        <f>J38/#REF!*100</f>
        <v>#REF!</v>
      </c>
      <c r="L38" s="74">
        <f>J38/H38*100</f>
        <v>19.566720442498273</v>
      </c>
      <c r="M38" s="167"/>
      <c r="N38" s="167"/>
      <c r="O38" s="72">
        <f t="shared" si="2"/>
        <v>19.567847882454625</v>
      </c>
      <c r="P38" s="74">
        <f t="shared" si="3"/>
        <v>19.566720442498273</v>
      </c>
      <c r="Q38" s="73">
        <f t="shared" si="4"/>
        <v>4.891821036559016</v>
      </c>
    </row>
    <row r="39" spans="1:17" ht="12.75">
      <c r="A39" s="77"/>
      <c r="B39" s="78"/>
      <c r="C39" s="79" t="s">
        <v>216</v>
      </c>
      <c r="D39" s="80">
        <f aca="true" t="shared" si="12" ref="D39:J39">D37+D30</f>
        <v>22589.7</v>
      </c>
      <c r="E39" s="80">
        <f t="shared" si="12"/>
        <v>5647.299999999999</v>
      </c>
      <c r="F39" s="80">
        <f t="shared" si="12"/>
        <v>5647.299999999999</v>
      </c>
      <c r="G39" s="80">
        <f t="shared" si="12"/>
        <v>5647.5</v>
      </c>
      <c r="H39" s="80">
        <f t="shared" si="12"/>
        <v>5647.299999999999</v>
      </c>
      <c r="I39" s="80">
        <f t="shared" si="12"/>
        <v>5647.6</v>
      </c>
      <c r="J39" s="80">
        <f t="shared" si="12"/>
        <v>1082.6</v>
      </c>
      <c r="K39" s="85" t="e">
        <f>J39/#REF!*100</f>
        <v>#REF!</v>
      </c>
      <c r="L39" s="85">
        <f>J39/H39*100</f>
        <v>19.17022293839534</v>
      </c>
      <c r="M39" s="167"/>
      <c r="N39" s="171" t="e">
        <f>I39+#REF!+#REF!</f>
        <v>#REF!</v>
      </c>
      <c r="O39" s="93">
        <f t="shared" si="2"/>
        <v>19.16920461789078</v>
      </c>
      <c r="P39" s="85">
        <f t="shared" si="3"/>
        <v>19.17022293839534</v>
      </c>
      <c r="Q39" s="80">
        <f t="shared" si="4"/>
        <v>4.792449656259268</v>
      </c>
    </row>
    <row r="40" spans="1:17" ht="12.75">
      <c r="A40" s="100"/>
      <c r="B40" s="101"/>
      <c r="C40" s="159"/>
      <c r="D40" s="159"/>
      <c r="E40" s="159"/>
      <c r="F40" s="159"/>
      <c r="G40" s="159"/>
      <c r="H40" s="159"/>
      <c r="I40" s="159"/>
      <c r="J40" s="159"/>
      <c r="K40" s="159"/>
      <c r="L40" s="160"/>
      <c r="M40" s="167"/>
      <c r="N40" s="167"/>
      <c r="O40" s="96"/>
      <c r="P40" s="85"/>
      <c r="Q40" s="80"/>
    </row>
    <row r="41" spans="1:17" ht="12.75">
      <c r="A41" s="149" t="s">
        <v>218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85"/>
      <c r="Q41" s="80"/>
    </row>
    <row r="42" spans="1:17" ht="12.75">
      <c r="A42" s="83" t="s">
        <v>178</v>
      </c>
      <c r="B42" s="83"/>
      <c r="C42" s="84" t="s">
        <v>179</v>
      </c>
      <c r="D42" s="85">
        <f aca="true" t="shared" si="13" ref="D42:J42">D43+D45+D47+D48+D49+D50+D46+D44</f>
        <v>13722</v>
      </c>
      <c r="E42" s="85">
        <f t="shared" si="13"/>
        <v>2836.3</v>
      </c>
      <c r="F42" s="85">
        <f t="shared" si="13"/>
        <v>2836.3</v>
      </c>
      <c r="G42" s="85">
        <f t="shared" si="13"/>
        <v>3304.7000000000003</v>
      </c>
      <c r="H42" s="85">
        <f t="shared" si="13"/>
        <v>3304.7000000000003</v>
      </c>
      <c r="I42" s="85">
        <f t="shared" si="13"/>
        <v>4276.299999999999</v>
      </c>
      <c r="J42" s="85">
        <f t="shared" si="13"/>
        <v>635.6</v>
      </c>
      <c r="K42" s="85" t="e">
        <f>J42/#REF!*100</f>
        <v>#REF!</v>
      </c>
      <c r="L42" s="85">
        <f>J42/H42*100</f>
        <v>19.23321330226647</v>
      </c>
      <c r="M42" s="167"/>
      <c r="N42" s="167"/>
      <c r="O42" s="85">
        <f t="shared" si="2"/>
        <v>14.863316418399085</v>
      </c>
      <c r="P42" s="85">
        <f t="shared" si="3"/>
        <v>22.409477135704968</v>
      </c>
      <c r="Q42" s="80">
        <f t="shared" si="4"/>
        <v>4.631977845795074</v>
      </c>
    </row>
    <row r="43" spans="1:17" ht="12.75">
      <c r="A43" s="77" t="s">
        <v>180</v>
      </c>
      <c r="B43" s="67"/>
      <c r="C43" s="97" t="s">
        <v>181</v>
      </c>
      <c r="D43" s="168">
        <f aca="true" t="shared" si="14" ref="D43:D54">F43+G43+H43+I43</f>
        <v>11550</v>
      </c>
      <c r="E43" s="168">
        <f aca="true" t="shared" si="15" ref="E43:E54">F43</f>
        <v>2342.8</v>
      </c>
      <c r="F43" s="168">
        <v>2342.8</v>
      </c>
      <c r="G43" s="168">
        <v>2759.4</v>
      </c>
      <c r="H43" s="72">
        <v>2759.4</v>
      </c>
      <c r="I43" s="73">
        <v>3688.4</v>
      </c>
      <c r="J43" s="98">
        <v>508.5</v>
      </c>
      <c r="K43" s="74" t="e">
        <f>J43/#REF!*100</f>
        <v>#REF!</v>
      </c>
      <c r="L43" s="74">
        <f>J43/H43*100</f>
        <v>18.427919112850617</v>
      </c>
      <c r="M43" s="167"/>
      <c r="N43" s="167"/>
      <c r="O43" s="72">
        <f t="shared" si="2"/>
        <v>13.78646567617395</v>
      </c>
      <c r="P43" s="74">
        <f t="shared" si="3"/>
        <v>21.704797677992143</v>
      </c>
      <c r="Q43" s="73">
        <f t="shared" si="4"/>
        <v>4.402597402597403</v>
      </c>
    </row>
    <row r="44" spans="1:17" ht="12.75">
      <c r="A44" s="67" t="s">
        <v>182</v>
      </c>
      <c r="B44" s="67"/>
      <c r="C44" s="86" t="s">
        <v>183</v>
      </c>
      <c r="D44" s="168">
        <f t="shared" si="14"/>
        <v>8.5</v>
      </c>
      <c r="E44" s="168">
        <f t="shared" si="15"/>
        <v>1.5</v>
      </c>
      <c r="F44" s="168">
        <v>1.5</v>
      </c>
      <c r="G44" s="168">
        <v>2.3</v>
      </c>
      <c r="H44" s="72">
        <v>2.3</v>
      </c>
      <c r="I44" s="73">
        <v>2.4</v>
      </c>
      <c r="J44" s="98"/>
      <c r="K44" s="74" t="e">
        <f>J44/#REF!*100</f>
        <v>#REF!</v>
      </c>
      <c r="L44" s="74">
        <f>J44/H44*100</f>
        <v>0</v>
      </c>
      <c r="M44" s="167"/>
      <c r="N44" s="167"/>
      <c r="O44" s="72">
        <f t="shared" si="2"/>
        <v>0</v>
      </c>
      <c r="P44" s="74">
        <f t="shared" si="3"/>
        <v>0</v>
      </c>
      <c r="Q44" s="73">
        <f t="shared" si="4"/>
        <v>0</v>
      </c>
    </row>
    <row r="45" spans="1:17" ht="12.75">
      <c r="A45" s="67" t="s">
        <v>184</v>
      </c>
      <c r="B45" s="67"/>
      <c r="C45" s="86" t="s">
        <v>185</v>
      </c>
      <c r="D45" s="168">
        <f t="shared" si="14"/>
        <v>1780</v>
      </c>
      <c r="E45" s="168">
        <f t="shared" si="15"/>
        <v>411</v>
      </c>
      <c r="F45" s="168">
        <v>411</v>
      </c>
      <c r="G45" s="168">
        <v>444</v>
      </c>
      <c r="H45" s="72">
        <v>444</v>
      </c>
      <c r="I45" s="73">
        <v>481</v>
      </c>
      <c r="J45" s="73">
        <v>99.3</v>
      </c>
      <c r="K45" s="74" t="e">
        <f>J45/#REF!*100</f>
        <v>#REF!</v>
      </c>
      <c r="L45" s="74">
        <f>J45/H45*100</f>
        <v>22.364864864864863</v>
      </c>
      <c r="M45" s="167"/>
      <c r="N45" s="167"/>
      <c r="O45" s="72">
        <f t="shared" si="2"/>
        <v>20.644490644490645</v>
      </c>
      <c r="P45" s="74">
        <f t="shared" si="3"/>
        <v>24.16058394160584</v>
      </c>
      <c r="Q45" s="73">
        <f t="shared" si="4"/>
        <v>5.578651685393258</v>
      </c>
    </row>
    <row r="46" spans="1:17" ht="12.75">
      <c r="A46" s="67" t="s">
        <v>186</v>
      </c>
      <c r="B46" s="67"/>
      <c r="C46" s="86" t="s">
        <v>187</v>
      </c>
      <c r="D46" s="168">
        <f t="shared" si="14"/>
        <v>0</v>
      </c>
      <c r="E46" s="168">
        <f t="shared" si="15"/>
        <v>0</v>
      </c>
      <c r="F46" s="168"/>
      <c r="G46" s="168"/>
      <c r="H46" s="72"/>
      <c r="I46" s="73"/>
      <c r="J46" s="73"/>
      <c r="K46" s="74"/>
      <c r="L46" s="74"/>
      <c r="M46" s="167"/>
      <c r="N46" s="167"/>
      <c r="O46" s="72" t="e">
        <f t="shared" si="2"/>
        <v>#DIV/0!</v>
      </c>
      <c r="P46" s="74" t="e">
        <f t="shared" si="3"/>
        <v>#DIV/0!</v>
      </c>
      <c r="Q46" s="73" t="e">
        <f t="shared" si="4"/>
        <v>#DIV/0!</v>
      </c>
    </row>
    <row r="47" spans="1:17" ht="24">
      <c r="A47" s="68" t="s">
        <v>190</v>
      </c>
      <c r="B47" s="68"/>
      <c r="C47" s="86" t="s">
        <v>191</v>
      </c>
      <c r="D47" s="168">
        <f t="shared" si="14"/>
        <v>233.5</v>
      </c>
      <c r="E47" s="168">
        <f t="shared" si="15"/>
        <v>46</v>
      </c>
      <c r="F47" s="168">
        <v>46</v>
      </c>
      <c r="G47" s="168">
        <v>61.5</v>
      </c>
      <c r="H47" s="72">
        <v>61.5</v>
      </c>
      <c r="I47" s="73">
        <v>64.5</v>
      </c>
      <c r="J47" s="73">
        <v>2.6</v>
      </c>
      <c r="K47" s="74" t="e">
        <f>J47/#REF!*100</f>
        <v>#REF!</v>
      </c>
      <c r="L47" s="74">
        <f>J47/H47*100</f>
        <v>4.227642276422764</v>
      </c>
      <c r="M47" s="167"/>
      <c r="N47" s="167"/>
      <c r="O47" s="72">
        <f t="shared" si="2"/>
        <v>4.0310077519379846</v>
      </c>
      <c r="P47" s="74">
        <f t="shared" si="3"/>
        <v>5.6521739130434785</v>
      </c>
      <c r="Q47" s="73">
        <f t="shared" si="4"/>
        <v>1.113490364025696</v>
      </c>
    </row>
    <row r="48" spans="1:17" ht="24">
      <c r="A48" s="88" t="s">
        <v>196</v>
      </c>
      <c r="B48" s="88"/>
      <c r="C48" s="86" t="s">
        <v>197</v>
      </c>
      <c r="D48" s="168">
        <f t="shared" si="14"/>
        <v>150</v>
      </c>
      <c r="E48" s="168">
        <f t="shared" si="15"/>
        <v>35</v>
      </c>
      <c r="F48" s="168">
        <v>35</v>
      </c>
      <c r="G48" s="168">
        <v>37.5</v>
      </c>
      <c r="H48" s="72">
        <v>37.5</v>
      </c>
      <c r="I48" s="73">
        <v>40</v>
      </c>
      <c r="J48" s="73">
        <v>25.2</v>
      </c>
      <c r="K48" s="74" t="e">
        <f>J48/#REF!*100</f>
        <v>#REF!</v>
      </c>
      <c r="L48" s="74">
        <f>J48/H48*100</f>
        <v>67.19999999999999</v>
      </c>
      <c r="M48" s="167"/>
      <c r="N48" s="167"/>
      <c r="O48" s="72">
        <f t="shared" si="2"/>
        <v>63</v>
      </c>
      <c r="P48" s="74">
        <f t="shared" si="3"/>
        <v>72</v>
      </c>
      <c r="Q48" s="73">
        <f t="shared" si="4"/>
        <v>16.8</v>
      </c>
    </row>
    <row r="49" spans="1:17" ht="12.75">
      <c r="A49" s="77" t="s">
        <v>200</v>
      </c>
      <c r="B49" s="77"/>
      <c r="C49" s="86" t="s">
        <v>201</v>
      </c>
      <c r="D49" s="168">
        <f t="shared" si="14"/>
        <v>0</v>
      </c>
      <c r="E49" s="168">
        <f t="shared" si="15"/>
        <v>0</v>
      </c>
      <c r="F49" s="168"/>
      <c r="G49" s="168"/>
      <c r="H49" s="72"/>
      <c r="I49" s="73"/>
      <c r="J49" s="73"/>
      <c r="K49" s="74" t="e">
        <f>J49/#REF!*100</f>
        <v>#REF!</v>
      </c>
      <c r="L49" s="74"/>
      <c r="M49" s="167"/>
      <c r="N49" s="167"/>
      <c r="O49" s="72" t="e">
        <f t="shared" si="2"/>
        <v>#DIV/0!</v>
      </c>
      <c r="P49" s="74"/>
      <c r="Q49" s="73"/>
    </row>
    <row r="50" spans="1:17" ht="12.75">
      <c r="A50" s="102" t="s">
        <v>202</v>
      </c>
      <c r="B50" s="90"/>
      <c r="C50" s="71" t="s">
        <v>203</v>
      </c>
      <c r="D50" s="168">
        <f t="shared" si="14"/>
        <v>0</v>
      </c>
      <c r="E50" s="168">
        <f t="shared" si="15"/>
        <v>0</v>
      </c>
      <c r="F50" s="168"/>
      <c r="G50" s="168"/>
      <c r="H50" s="72"/>
      <c r="I50" s="73"/>
      <c r="J50" s="73"/>
      <c r="K50" s="74"/>
      <c r="L50" s="74"/>
      <c r="M50" s="167"/>
      <c r="N50" s="167"/>
      <c r="O50" s="72"/>
      <c r="P50" s="74"/>
      <c r="Q50" s="73"/>
    </row>
    <row r="51" spans="1:17" ht="12.75">
      <c r="A51" s="103" t="s">
        <v>206</v>
      </c>
      <c r="B51" s="103"/>
      <c r="C51" s="91" t="s">
        <v>207</v>
      </c>
      <c r="D51" s="92">
        <f>D52+D54+D53</f>
        <v>35574.700000000004</v>
      </c>
      <c r="E51" s="92">
        <f aca="true" t="shared" si="16" ref="E51:O51">E52+E54+E53</f>
        <v>13821.3</v>
      </c>
      <c r="F51" s="92">
        <f t="shared" si="16"/>
        <v>13821.3</v>
      </c>
      <c r="G51" s="92">
        <f t="shared" si="16"/>
        <v>7251.1</v>
      </c>
      <c r="H51" s="92">
        <f t="shared" si="16"/>
        <v>7251.1</v>
      </c>
      <c r="I51" s="92">
        <f t="shared" si="16"/>
        <v>7251.2</v>
      </c>
      <c r="J51" s="92">
        <f t="shared" si="16"/>
        <v>1172.5</v>
      </c>
      <c r="K51" s="92" t="e">
        <f t="shared" si="16"/>
        <v>#REF!</v>
      </c>
      <c r="L51" s="92">
        <f t="shared" si="16"/>
        <v>16.169960419798375</v>
      </c>
      <c r="M51" s="92">
        <f t="shared" si="16"/>
        <v>0.1</v>
      </c>
      <c r="N51" s="92">
        <f t="shared" si="16"/>
        <v>0</v>
      </c>
      <c r="O51" s="92" t="e">
        <f t="shared" si="16"/>
        <v>#DIV/0!</v>
      </c>
      <c r="P51" s="85">
        <f t="shared" si="3"/>
        <v>8.483283048627843</v>
      </c>
      <c r="Q51" s="80">
        <f t="shared" si="4"/>
        <v>3.295881623738218</v>
      </c>
    </row>
    <row r="52" spans="1:17" ht="24">
      <c r="A52" s="69" t="s">
        <v>208</v>
      </c>
      <c r="B52" s="67"/>
      <c r="C52" s="94" t="s">
        <v>209</v>
      </c>
      <c r="D52" s="168">
        <f t="shared" si="14"/>
        <v>29004.500000000004</v>
      </c>
      <c r="E52" s="168">
        <f t="shared" si="15"/>
        <v>7251.1</v>
      </c>
      <c r="F52" s="99">
        <v>7251.1</v>
      </c>
      <c r="G52" s="99">
        <v>7251.1</v>
      </c>
      <c r="H52" s="72">
        <v>7251.1</v>
      </c>
      <c r="I52" s="72">
        <v>7251.2</v>
      </c>
      <c r="J52" s="73">
        <v>1172.5</v>
      </c>
      <c r="K52" s="74" t="e">
        <f>J52/#REF!*100</f>
        <v>#REF!</v>
      </c>
      <c r="L52" s="74">
        <f>J52/H52*100</f>
        <v>16.169960419798375</v>
      </c>
      <c r="M52" s="167">
        <v>0.1</v>
      </c>
      <c r="N52" s="167"/>
      <c r="O52" s="72">
        <f t="shared" si="2"/>
        <v>16.169737422771405</v>
      </c>
      <c r="P52" s="74">
        <f t="shared" si="3"/>
        <v>16.169960419798375</v>
      </c>
      <c r="Q52" s="73">
        <f t="shared" si="4"/>
        <v>4.042476167491251</v>
      </c>
    </row>
    <row r="53" spans="1:17" ht="12.75">
      <c r="A53" s="69" t="s">
        <v>210</v>
      </c>
      <c r="B53" s="69"/>
      <c r="C53" s="95" t="s">
        <v>211</v>
      </c>
      <c r="D53" s="168">
        <f>F53+G53+H53+I53</f>
        <v>6570.2</v>
      </c>
      <c r="E53" s="168">
        <f t="shared" si="15"/>
        <v>6570.2</v>
      </c>
      <c r="F53" s="99">
        <v>6570.2</v>
      </c>
      <c r="G53" s="99"/>
      <c r="H53" s="72"/>
      <c r="I53" s="96"/>
      <c r="J53" s="73"/>
      <c r="K53" s="74"/>
      <c r="L53" s="74"/>
      <c r="M53" s="167"/>
      <c r="N53" s="167"/>
      <c r="O53" s="72"/>
      <c r="P53" s="74">
        <f t="shared" si="3"/>
        <v>0</v>
      </c>
      <c r="Q53" s="73">
        <f t="shared" si="4"/>
        <v>0</v>
      </c>
    </row>
    <row r="54" spans="1:17" ht="36">
      <c r="A54" s="69" t="s">
        <v>214</v>
      </c>
      <c r="B54" s="75"/>
      <c r="C54" s="76" t="s">
        <v>215</v>
      </c>
      <c r="D54" s="168">
        <f t="shared" si="14"/>
        <v>0</v>
      </c>
      <c r="E54" s="168">
        <f t="shared" si="15"/>
        <v>0</v>
      </c>
      <c r="F54" s="174"/>
      <c r="G54" s="174"/>
      <c r="H54" s="72"/>
      <c r="I54" s="96"/>
      <c r="J54" s="73"/>
      <c r="K54" s="74" t="e">
        <f>J54/#REF!*100</f>
        <v>#REF!</v>
      </c>
      <c r="L54" s="74"/>
      <c r="M54" s="167"/>
      <c r="N54" s="167"/>
      <c r="O54" s="72" t="e">
        <f t="shared" si="2"/>
        <v>#DIV/0!</v>
      </c>
      <c r="P54" s="74"/>
      <c r="Q54" s="73"/>
    </row>
    <row r="55" spans="1:17" ht="12.75">
      <c r="A55" s="68"/>
      <c r="B55" s="104"/>
      <c r="C55" s="105" t="s">
        <v>216</v>
      </c>
      <c r="D55" s="106">
        <f aca="true" t="shared" si="17" ref="D55:J55">D51+D42</f>
        <v>49296.700000000004</v>
      </c>
      <c r="E55" s="106">
        <f t="shared" si="17"/>
        <v>16657.6</v>
      </c>
      <c r="F55" s="106">
        <f t="shared" si="17"/>
        <v>16657.6</v>
      </c>
      <c r="G55" s="106">
        <f t="shared" si="17"/>
        <v>10555.800000000001</v>
      </c>
      <c r="H55" s="106">
        <f t="shared" si="17"/>
        <v>10555.800000000001</v>
      </c>
      <c r="I55" s="106">
        <f t="shared" si="17"/>
        <v>11527.5</v>
      </c>
      <c r="J55" s="106">
        <f t="shared" si="17"/>
        <v>1808.1</v>
      </c>
      <c r="K55" s="85" t="e">
        <f>J55/#REF!*100</f>
        <v>#REF!</v>
      </c>
      <c r="L55" s="85">
        <f>J55/H55*100</f>
        <v>17.12897175012789</v>
      </c>
      <c r="M55" s="167"/>
      <c r="N55" s="171" t="e">
        <f>I55+#REF!+#REF!</f>
        <v>#REF!</v>
      </c>
      <c r="O55" s="93">
        <f t="shared" si="2"/>
        <v>15.685100845803513</v>
      </c>
      <c r="P55" s="85">
        <f t="shared" si="3"/>
        <v>10.85450485063875</v>
      </c>
      <c r="Q55" s="80">
        <f t="shared" si="4"/>
        <v>3.6677911503204066</v>
      </c>
    </row>
    <row r="56" spans="1:17" ht="12.75">
      <c r="A56" s="150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2"/>
      <c r="M56" s="167"/>
      <c r="N56" s="167"/>
      <c r="O56" s="96"/>
      <c r="P56" s="85"/>
      <c r="Q56" s="80"/>
    </row>
    <row r="57" spans="1:17" ht="12.75">
      <c r="A57" s="149" t="s">
        <v>219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85"/>
      <c r="Q57" s="80"/>
    </row>
    <row r="58" spans="1:17" ht="12.75">
      <c r="A58" s="103" t="s">
        <v>178</v>
      </c>
      <c r="B58" s="103"/>
      <c r="C58" s="107" t="s">
        <v>179</v>
      </c>
      <c r="D58" s="93">
        <f aca="true" t="shared" si="18" ref="D58:J58">D59+D61+D63+D65+D62+D67+D66+D60+D64</f>
        <v>32089</v>
      </c>
      <c r="E58" s="93">
        <f t="shared" si="18"/>
        <v>7963.099999999999</v>
      </c>
      <c r="F58" s="93">
        <f t="shared" si="18"/>
        <v>7963.099999999999</v>
      </c>
      <c r="G58" s="93">
        <f t="shared" si="18"/>
        <v>7959.3</v>
      </c>
      <c r="H58" s="93">
        <f t="shared" si="18"/>
        <v>8039.099999999999</v>
      </c>
      <c r="I58" s="93">
        <f t="shared" si="18"/>
        <v>8127.500000000001</v>
      </c>
      <c r="J58" s="93">
        <f t="shared" si="18"/>
        <v>1415.1</v>
      </c>
      <c r="K58" s="93" t="e">
        <f>J58/#REF!*100</f>
        <v>#REF!</v>
      </c>
      <c r="L58" s="93">
        <f aca="true" t="shared" si="19" ref="L58:L65">J58/H58*100</f>
        <v>17.60271672202112</v>
      </c>
      <c r="M58" s="175"/>
      <c r="N58" s="175"/>
      <c r="O58" s="93">
        <f t="shared" si="2"/>
        <v>17.41125807443863</v>
      </c>
      <c r="P58" s="85">
        <f t="shared" si="3"/>
        <v>17.77071743416509</v>
      </c>
      <c r="Q58" s="80">
        <f t="shared" si="4"/>
        <v>4.409922403315778</v>
      </c>
    </row>
    <row r="59" spans="1:17" ht="12.75">
      <c r="A59" s="67" t="s">
        <v>180</v>
      </c>
      <c r="B59" s="67"/>
      <c r="C59" s="97" t="s">
        <v>181</v>
      </c>
      <c r="D59" s="168">
        <f>F59+G59+H59+I59</f>
        <v>18270</v>
      </c>
      <c r="E59" s="168">
        <f aca="true" t="shared" si="20" ref="E59:E70">F59</f>
        <v>4567.5</v>
      </c>
      <c r="F59" s="176">
        <v>4567.5</v>
      </c>
      <c r="G59" s="176">
        <v>4567.4</v>
      </c>
      <c r="H59" s="74">
        <v>4567.5</v>
      </c>
      <c r="I59" s="74">
        <v>4567.6</v>
      </c>
      <c r="J59" s="74">
        <v>749.5</v>
      </c>
      <c r="K59" s="74" t="e">
        <f>J59/#REF!*100</f>
        <v>#REF!</v>
      </c>
      <c r="L59" s="74">
        <f t="shared" si="19"/>
        <v>16.409414340448823</v>
      </c>
      <c r="M59" s="167"/>
      <c r="N59" s="167"/>
      <c r="O59" s="74">
        <f t="shared" si="2"/>
        <v>16.40905508363254</v>
      </c>
      <c r="P59" s="74">
        <f t="shared" si="3"/>
        <v>16.409414340448823</v>
      </c>
      <c r="Q59" s="73">
        <f t="shared" si="4"/>
        <v>4.102353585112206</v>
      </c>
    </row>
    <row r="60" spans="1:17" ht="12.75">
      <c r="A60" s="67" t="s">
        <v>182</v>
      </c>
      <c r="B60" s="67"/>
      <c r="C60" s="86" t="s">
        <v>183</v>
      </c>
      <c r="D60" s="168">
        <f aca="true" t="shared" si="21" ref="D60:D70">F60+G60+H60+I60</f>
        <v>35</v>
      </c>
      <c r="E60" s="168">
        <f t="shared" si="20"/>
        <v>8.7</v>
      </c>
      <c r="F60" s="99">
        <v>8.7</v>
      </c>
      <c r="G60" s="99">
        <v>8.8</v>
      </c>
      <c r="H60" s="72">
        <v>8.7</v>
      </c>
      <c r="I60" s="72">
        <v>8.8</v>
      </c>
      <c r="J60" s="72"/>
      <c r="K60" s="74" t="e">
        <f>J60/#REF!*100</f>
        <v>#REF!</v>
      </c>
      <c r="L60" s="74">
        <f t="shared" si="19"/>
        <v>0</v>
      </c>
      <c r="M60" s="167"/>
      <c r="N60" s="167"/>
      <c r="O60" s="72">
        <f t="shared" si="2"/>
        <v>0</v>
      </c>
      <c r="P60" s="74">
        <f t="shared" si="3"/>
        <v>0</v>
      </c>
      <c r="Q60" s="73">
        <f t="shared" si="4"/>
        <v>0</v>
      </c>
    </row>
    <row r="61" spans="1:17" ht="12.75">
      <c r="A61" s="67" t="s">
        <v>184</v>
      </c>
      <c r="B61" s="67"/>
      <c r="C61" s="86" t="s">
        <v>185</v>
      </c>
      <c r="D61" s="168">
        <f t="shared" si="21"/>
        <v>8443</v>
      </c>
      <c r="E61" s="168">
        <f t="shared" si="20"/>
        <v>2051.7</v>
      </c>
      <c r="F61" s="99">
        <v>2051.7</v>
      </c>
      <c r="G61" s="99">
        <v>2047.8</v>
      </c>
      <c r="H61" s="72">
        <v>2127.7</v>
      </c>
      <c r="I61" s="72">
        <v>2215.8</v>
      </c>
      <c r="J61" s="72">
        <v>537.3</v>
      </c>
      <c r="K61" s="74" t="e">
        <f>J61/#REF!*100</f>
        <v>#REF!</v>
      </c>
      <c r="L61" s="74">
        <f t="shared" si="19"/>
        <v>25.252620200216196</v>
      </c>
      <c r="M61" s="167"/>
      <c r="N61" s="167"/>
      <c r="O61" s="72">
        <f t="shared" si="2"/>
        <v>24.24857839155158</v>
      </c>
      <c r="P61" s="74">
        <f t="shared" si="3"/>
        <v>26.188039187015644</v>
      </c>
      <c r="Q61" s="73">
        <f t="shared" si="4"/>
        <v>6.363851711476962</v>
      </c>
    </row>
    <row r="62" spans="1:17" ht="12.75">
      <c r="A62" s="67" t="s">
        <v>186</v>
      </c>
      <c r="B62" s="67"/>
      <c r="C62" s="86" t="s">
        <v>187</v>
      </c>
      <c r="D62" s="168">
        <f t="shared" si="21"/>
        <v>0</v>
      </c>
      <c r="E62" s="168">
        <f t="shared" si="20"/>
        <v>0</v>
      </c>
      <c r="F62" s="99"/>
      <c r="G62" s="99"/>
      <c r="H62" s="72"/>
      <c r="I62" s="72"/>
      <c r="J62" s="72"/>
      <c r="K62" s="74"/>
      <c r="L62" s="74" t="e">
        <f t="shared" si="19"/>
        <v>#DIV/0!</v>
      </c>
      <c r="M62" s="167"/>
      <c r="N62" s="167"/>
      <c r="O62" s="72" t="e">
        <f t="shared" si="2"/>
        <v>#DIV/0!</v>
      </c>
      <c r="P62" s="74"/>
      <c r="Q62" s="73"/>
    </row>
    <row r="63" spans="1:17" ht="24">
      <c r="A63" s="68" t="s">
        <v>190</v>
      </c>
      <c r="B63" s="68"/>
      <c r="C63" s="86" t="s">
        <v>191</v>
      </c>
      <c r="D63" s="168">
        <f t="shared" si="21"/>
        <v>5035</v>
      </c>
      <c r="E63" s="168">
        <f t="shared" si="20"/>
        <v>1258.7</v>
      </c>
      <c r="F63" s="99">
        <v>1258.7</v>
      </c>
      <c r="G63" s="99">
        <v>1258.8</v>
      </c>
      <c r="H63" s="72">
        <v>1258.7</v>
      </c>
      <c r="I63" s="72">
        <v>1258.8</v>
      </c>
      <c r="J63" s="72">
        <v>105.7</v>
      </c>
      <c r="K63" s="74" t="e">
        <f>J63/#REF!*100</f>
        <v>#REF!</v>
      </c>
      <c r="L63" s="74">
        <f t="shared" si="19"/>
        <v>8.397553030904902</v>
      </c>
      <c r="M63" s="167"/>
      <c r="N63" s="167"/>
      <c r="O63" s="72">
        <f t="shared" si="2"/>
        <v>8.396885923101367</v>
      </c>
      <c r="P63" s="74">
        <f t="shared" si="3"/>
        <v>8.397553030904902</v>
      </c>
      <c r="Q63" s="73">
        <f t="shared" si="4"/>
        <v>2.099304865938431</v>
      </c>
    </row>
    <row r="64" spans="1:17" ht="24">
      <c r="A64" s="88" t="s">
        <v>194</v>
      </c>
      <c r="B64" s="88"/>
      <c r="C64" s="86" t="s">
        <v>195</v>
      </c>
      <c r="D64" s="168">
        <f t="shared" si="21"/>
        <v>0</v>
      </c>
      <c r="E64" s="168">
        <f t="shared" si="20"/>
        <v>0</v>
      </c>
      <c r="F64" s="99"/>
      <c r="G64" s="99"/>
      <c r="H64" s="72"/>
      <c r="I64" s="72"/>
      <c r="J64" s="72"/>
      <c r="K64" s="74" t="e">
        <f>J64/#REF!*100</f>
        <v>#REF!</v>
      </c>
      <c r="L64" s="74"/>
      <c r="M64" s="167"/>
      <c r="N64" s="167"/>
      <c r="O64" s="72" t="e">
        <f t="shared" si="2"/>
        <v>#DIV/0!</v>
      </c>
      <c r="P64" s="74"/>
      <c r="Q64" s="73"/>
    </row>
    <row r="65" spans="1:17" ht="24">
      <c r="A65" s="87" t="s">
        <v>196</v>
      </c>
      <c r="B65" s="87"/>
      <c r="C65" s="86" t="s">
        <v>197</v>
      </c>
      <c r="D65" s="168">
        <f t="shared" si="21"/>
        <v>306</v>
      </c>
      <c r="E65" s="168">
        <f t="shared" si="20"/>
        <v>76.5</v>
      </c>
      <c r="F65" s="99">
        <v>76.5</v>
      </c>
      <c r="G65" s="99">
        <v>76.5</v>
      </c>
      <c r="H65" s="72">
        <v>76.5</v>
      </c>
      <c r="I65" s="72">
        <v>76.5</v>
      </c>
      <c r="J65" s="72">
        <v>22.6</v>
      </c>
      <c r="K65" s="74" t="e">
        <f>J65/#REF!*100</f>
        <v>#REF!</v>
      </c>
      <c r="L65" s="74">
        <f t="shared" si="19"/>
        <v>29.54248366013072</v>
      </c>
      <c r="M65" s="167"/>
      <c r="N65" s="167"/>
      <c r="O65" s="72">
        <f t="shared" si="2"/>
        <v>29.54248366013072</v>
      </c>
      <c r="P65" s="74">
        <f t="shared" si="3"/>
        <v>29.54248366013072</v>
      </c>
      <c r="Q65" s="73">
        <f t="shared" si="4"/>
        <v>7.38562091503268</v>
      </c>
    </row>
    <row r="66" spans="1:17" ht="12.75">
      <c r="A66" s="77" t="s">
        <v>200</v>
      </c>
      <c r="B66" s="77"/>
      <c r="C66" s="86" t="s">
        <v>201</v>
      </c>
      <c r="D66" s="168">
        <f t="shared" si="21"/>
        <v>0</v>
      </c>
      <c r="E66" s="168">
        <f t="shared" si="20"/>
        <v>0</v>
      </c>
      <c r="F66" s="99"/>
      <c r="G66" s="99"/>
      <c r="H66" s="72"/>
      <c r="I66" s="72"/>
      <c r="J66" s="72"/>
      <c r="K66" s="74"/>
      <c r="L66" s="74"/>
      <c r="M66" s="167"/>
      <c r="N66" s="167"/>
      <c r="O66" s="72" t="e">
        <f t="shared" si="2"/>
        <v>#DIV/0!</v>
      </c>
      <c r="P66" s="74"/>
      <c r="Q66" s="73"/>
    </row>
    <row r="67" spans="1:17" ht="12.75">
      <c r="A67" s="89" t="s">
        <v>202</v>
      </c>
      <c r="B67" s="90"/>
      <c r="C67" s="71" t="s">
        <v>203</v>
      </c>
      <c r="D67" s="168">
        <f t="shared" si="21"/>
        <v>0</v>
      </c>
      <c r="E67" s="168">
        <f t="shared" si="20"/>
        <v>0</v>
      </c>
      <c r="F67" s="99"/>
      <c r="G67" s="99"/>
      <c r="H67" s="72"/>
      <c r="I67" s="72"/>
      <c r="J67" s="72"/>
      <c r="K67" s="74"/>
      <c r="L67" s="74"/>
      <c r="M67" s="167"/>
      <c r="N67" s="167"/>
      <c r="O67" s="72" t="e">
        <f t="shared" si="2"/>
        <v>#DIV/0!</v>
      </c>
      <c r="P67" s="74"/>
      <c r="Q67" s="73"/>
    </row>
    <row r="68" spans="1:17" ht="12.75">
      <c r="A68" s="83" t="s">
        <v>206</v>
      </c>
      <c r="B68" s="83"/>
      <c r="C68" s="91" t="s">
        <v>207</v>
      </c>
      <c r="D68" s="92">
        <f aca="true" t="shared" si="22" ref="D68:J68">D69+D70</f>
        <v>33646.2</v>
      </c>
      <c r="E68" s="92">
        <f t="shared" si="22"/>
        <v>8411.5</v>
      </c>
      <c r="F68" s="92">
        <f t="shared" si="22"/>
        <v>8411.5</v>
      </c>
      <c r="G68" s="92">
        <f t="shared" si="22"/>
        <v>8411.6</v>
      </c>
      <c r="H68" s="92">
        <f t="shared" si="22"/>
        <v>8411.5</v>
      </c>
      <c r="I68" s="92">
        <f t="shared" si="22"/>
        <v>8411.6</v>
      </c>
      <c r="J68" s="92">
        <f t="shared" si="22"/>
        <v>1393.1</v>
      </c>
      <c r="K68" s="85" t="e">
        <f>J68/#REF!*100</f>
        <v>#REF!</v>
      </c>
      <c r="L68" s="85">
        <f>J68/H68*100</f>
        <v>16.561849848421804</v>
      </c>
      <c r="M68" s="167"/>
      <c r="N68" s="167"/>
      <c r="O68" s="93">
        <f t="shared" si="2"/>
        <v>16.561652955442483</v>
      </c>
      <c r="P68" s="85">
        <f t="shared" si="3"/>
        <v>16.561849848421804</v>
      </c>
      <c r="Q68" s="80">
        <f t="shared" si="4"/>
        <v>4.14043785033674</v>
      </c>
    </row>
    <row r="69" spans="1:17" ht="24">
      <c r="A69" s="69" t="s">
        <v>208</v>
      </c>
      <c r="B69" s="67"/>
      <c r="C69" s="94" t="s">
        <v>209</v>
      </c>
      <c r="D69" s="168">
        <f t="shared" si="21"/>
        <v>33646.2</v>
      </c>
      <c r="E69" s="168">
        <f t="shared" si="20"/>
        <v>8411.5</v>
      </c>
      <c r="F69" s="99">
        <v>8411.5</v>
      </c>
      <c r="G69" s="99">
        <v>8411.6</v>
      </c>
      <c r="H69" s="72">
        <v>8411.5</v>
      </c>
      <c r="I69" s="73">
        <v>8411.6</v>
      </c>
      <c r="J69" s="73">
        <v>1393.1</v>
      </c>
      <c r="K69" s="74" t="e">
        <f>J69/#REF!*100</f>
        <v>#REF!</v>
      </c>
      <c r="L69" s="74">
        <f>J69/H69*100</f>
        <v>16.561849848421804</v>
      </c>
      <c r="M69" s="167"/>
      <c r="N69" s="167"/>
      <c r="O69" s="72">
        <f t="shared" si="2"/>
        <v>16.561652955442483</v>
      </c>
      <c r="P69" s="74">
        <f t="shared" si="3"/>
        <v>16.561849848421804</v>
      </c>
      <c r="Q69" s="73">
        <f t="shared" si="4"/>
        <v>4.14043785033674</v>
      </c>
    </row>
    <row r="70" spans="1:17" ht="36">
      <c r="A70" s="69" t="s">
        <v>214</v>
      </c>
      <c r="B70" s="75"/>
      <c r="C70" s="76" t="s">
        <v>215</v>
      </c>
      <c r="D70" s="168">
        <f t="shared" si="21"/>
        <v>0</v>
      </c>
      <c r="E70" s="168">
        <f t="shared" si="20"/>
        <v>0</v>
      </c>
      <c r="F70" s="174"/>
      <c r="G70" s="174"/>
      <c r="H70" s="72"/>
      <c r="I70" s="73"/>
      <c r="J70" s="73"/>
      <c r="K70" s="74" t="e">
        <f>J70/#REF!*100</f>
        <v>#REF!</v>
      </c>
      <c r="L70" s="74"/>
      <c r="M70" s="167"/>
      <c r="N70" s="167"/>
      <c r="O70" s="72" t="e">
        <f t="shared" si="2"/>
        <v>#DIV/0!</v>
      </c>
      <c r="P70" s="85"/>
      <c r="Q70" s="80"/>
    </row>
    <row r="71" spans="1:17" ht="12.75">
      <c r="A71" s="77"/>
      <c r="B71" s="78"/>
      <c r="C71" s="79" t="s">
        <v>216</v>
      </c>
      <c r="D71" s="80">
        <f aca="true" t="shared" si="23" ref="D71:K71">D68+D58</f>
        <v>65735.2</v>
      </c>
      <c r="E71" s="80">
        <f t="shared" si="23"/>
        <v>16374.599999999999</v>
      </c>
      <c r="F71" s="80">
        <f t="shared" si="23"/>
        <v>16374.599999999999</v>
      </c>
      <c r="G71" s="80">
        <f t="shared" si="23"/>
        <v>16370.900000000001</v>
      </c>
      <c r="H71" s="80">
        <f t="shared" si="23"/>
        <v>16450.6</v>
      </c>
      <c r="I71" s="80">
        <f t="shared" si="23"/>
        <v>16539.100000000002</v>
      </c>
      <c r="J71" s="80">
        <f t="shared" si="23"/>
        <v>2808.2</v>
      </c>
      <c r="K71" s="80" t="e">
        <f t="shared" si="23"/>
        <v>#REF!</v>
      </c>
      <c r="L71" s="85">
        <f>J71/H71*100</f>
        <v>17.070501987769443</v>
      </c>
      <c r="M71" s="167"/>
      <c r="N71" s="171" t="e">
        <f>I71+#REF!+#REF!</f>
        <v>#REF!</v>
      </c>
      <c r="O71" s="93">
        <f t="shared" si="2"/>
        <v>16.97915847899825</v>
      </c>
      <c r="P71" s="85">
        <f t="shared" si="3"/>
        <v>17.149731901847986</v>
      </c>
      <c r="Q71" s="80">
        <f t="shared" si="4"/>
        <v>4.271988219401478</v>
      </c>
    </row>
    <row r="72" spans="1:17" ht="12.75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2"/>
      <c r="M72" s="167"/>
      <c r="N72" s="167"/>
      <c r="O72" s="96"/>
      <c r="P72" s="85"/>
      <c r="Q72" s="80"/>
    </row>
    <row r="73" spans="1:17" ht="12.75">
      <c r="A73" s="149" t="s">
        <v>220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85"/>
      <c r="Q73" s="80"/>
    </row>
    <row r="74" spans="1:17" ht="12.75">
      <c r="A74" s="83" t="s">
        <v>178</v>
      </c>
      <c r="B74" s="83"/>
      <c r="C74" s="84" t="s">
        <v>179</v>
      </c>
      <c r="D74" s="85">
        <f>D75+D76+D77+D78+D79+D80+D81+D82+D83</f>
        <v>23743.5</v>
      </c>
      <c r="E74" s="85">
        <f>E75+E76+E77+E78+E79+E80+E81+E82+E83</f>
        <v>6031.5</v>
      </c>
      <c r="F74" s="85">
        <f>F75+F76+F77+F78+F79+F80+F81+F82+F83</f>
        <v>6031.5</v>
      </c>
      <c r="G74" s="85">
        <f>G75+G76+G77+G78+G79+G80+G81+G82+G83</f>
        <v>5821.5</v>
      </c>
      <c r="H74" s="85">
        <f>H75+H76+H77+H78+H79+H80+H81+H82+H83</f>
        <v>5204.299999999999</v>
      </c>
      <c r="I74" s="85">
        <f>I75+I76+I77+I78+I79+I80+I81+I82+I83+I84</f>
        <v>6686.2</v>
      </c>
      <c r="J74" s="85">
        <f>J75+J76+J77+J78+J79+J80+J81+J82+J83+J84</f>
        <v>1193.9999999999998</v>
      </c>
      <c r="K74" s="85" t="e">
        <f>J74/#REF!*100</f>
        <v>#REF!</v>
      </c>
      <c r="L74" s="85">
        <f>J74/H74*100</f>
        <v>22.942566723670808</v>
      </c>
      <c r="M74" s="167"/>
      <c r="N74" s="167"/>
      <c r="O74" s="85">
        <f t="shared" si="2"/>
        <v>17.85767700637133</v>
      </c>
      <c r="P74" s="85">
        <f aca="true" t="shared" si="24" ref="P74:P135">J74*100/E74</f>
        <v>19.796070629196713</v>
      </c>
      <c r="Q74" s="80">
        <f aca="true" t="shared" si="25" ref="Q74:Q135">J74*100/D74</f>
        <v>5.028744709078273</v>
      </c>
    </row>
    <row r="75" spans="1:17" ht="12.75">
      <c r="A75" s="77" t="s">
        <v>180</v>
      </c>
      <c r="B75" s="77"/>
      <c r="C75" s="86" t="s">
        <v>181</v>
      </c>
      <c r="D75" s="168">
        <f>F75+G75+H75+I75</f>
        <v>16170</v>
      </c>
      <c r="E75" s="177">
        <f aca="true" t="shared" si="26" ref="E75:E83">F75</f>
        <v>4300</v>
      </c>
      <c r="F75" s="99">
        <v>4300</v>
      </c>
      <c r="G75" s="99">
        <v>4100</v>
      </c>
      <c r="H75" s="72">
        <v>3450</v>
      </c>
      <c r="I75" s="72">
        <v>4320</v>
      </c>
      <c r="J75" s="73">
        <v>786.6</v>
      </c>
      <c r="K75" s="74" t="e">
        <f>J75/#REF!*100</f>
        <v>#REF!</v>
      </c>
      <c r="L75" s="74">
        <f>J75/H75*100</f>
        <v>22.8</v>
      </c>
      <c r="M75" s="167"/>
      <c r="N75" s="167"/>
      <c r="O75" s="72">
        <f aca="true" t="shared" si="27" ref="O75:O139">J75*100/I75</f>
        <v>18.208333333333332</v>
      </c>
      <c r="P75" s="74">
        <f t="shared" si="24"/>
        <v>18.293023255813953</v>
      </c>
      <c r="Q75" s="73">
        <f t="shared" si="25"/>
        <v>4.8645640074211505</v>
      </c>
    </row>
    <row r="76" spans="1:17" ht="12.75">
      <c r="A76" s="67" t="s">
        <v>182</v>
      </c>
      <c r="B76" s="67"/>
      <c r="C76" s="86" t="s">
        <v>183</v>
      </c>
      <c r="D76" s="168">
        <f aca="true" t="shared" si="28" ref="D76:D83">F76+G76+H76+I76</f>
        <v>0</v>
      </c>
      <c r="E76" s="177">
        <f t="shared" si="26"/>
        <v>0</v>
      </c>
      <c r="F76" s="99"/>
      <c r="G76" s="99"/>
      <c r="H76" s="72"/>
      <c r="I76" s="72"/>
      <c r="J76" s="73"/>
      <c r="K76" s="74"/>
      <c r="L76" s="74"/>
      <c r="M76" s="167"/>
      <c r="N76" s="167"/>
      <c r="O76" s="72" t="e">
        <f t="shared" si="27"/>
        <v>#DIV/0!</v>
      </c>
      <c r="P76" s="74" t="e">
        <f t="shared" si="24"/>
        <v>#DIV/0!</v>
      </c>
      <c r="Q76" s="73" t="e">
        <f t="shared" si="25"/>
        <v>#DIV/0!</v>
      </c>
    </row>
    <row r="77" spans="1:17" ht="12.75">
      <c r="A77" s="67" t="s">
        <v>184</v>
      </c>
      <c r="B77" s="67"/>
      <c r="C77" s="86" t="s">
        <v>185</v>
      </c>
      <c r="D77" s="168">
        <f t="shared" si="28"/>
        <v>1372</v>
      </c>
      <c r="E77" s="177">
        <f t="shared" si="26"/>
        <v>223.3</v>
      </c>
      <c r="F77" s="99">
        <v>223.3</v>
      </c>
      <c r="G77" s="99">
        <v>182.3</v>
      </c>
      <c r="H77" s="72">
        <v>283.9</v>
      </c>
      <c r="I77" s="72">
        <v>682.5</v>
      </c>
      <c r="J77" s="73">
        <v>90.6</v>
      </c>
      <c r="K77" s="74" t="e">
        <f>J77/#REF!*100</f>
        <v>#REF!</v>
      </c>
      <c r="L77" s="74">
        <f>J77/H77*100</f>
        <v>31.91264529764001</v>
      </c>
      <c r="M77" s="167"/>
      <c r="N77" s="167"/>
      <c r="O77" s="72">
        <f t="shared" si="27"/>
        <v>13.274725274725276</v>
      </c>
      <c r="P77" s="74">
        <f t="shared" si="24"/>
        <v>40.57321988356471</v>
      </c>
      <c r="Q77" s="73">
        <f t="shared" si="25"/>
        <v>6.603498542274052</v>
      </c>
    </row>
    <row r="78" spans="1:17" ht="12.75">
      <c r="A78" s="67" t="s">
        <v>186</v>
      </c>
      <c r="B78" s="67"/>
      <c r="C78" s="86" t="s">
        <v>187</v>
      </c>
      <c r="D78" s="168">
        <f t="shared" si="28"/>
        <v>0</v>
      </c>
      <c r="E78" s="177">
        <f t="shared" si="26"/>
        <v>0</v>
      </c>
      <c r="F78" s="99"/>
      <c r="G78" s="99"/>
      <c r="H78" s="72"/>
      <c r="I78" s="72"/>
      <c r="J78" s="73"/>
      <c r="K78" s="74"/>
      <c r="L78" s="74"/>
      <c r="M78" s="167"/>
      <c r="N78" s="167"/>
      <c r="O78" s="72" t="e">
        <f t="shared" si="27"/>
        <v>#DIV/0!</v>
      </c>
      <c r="P78" s="74" t="e">
        <f t="shared" si="24"/>
        <v>#DIV/0!</v>
      </c>
      <c r="Q78" s="73" t="e">
        <f t="shared" si="25"/>
        <v>#DIV/0!</v>
      </c>
    </row>
    <row r="79" spans="1:17" ht="24">
      <c r="A79" s="68" t="s">
        <v>190</v>
      </c>
      <c r="B79" s="68"/>
      <c r="C79" s="86" t="s">
        <v>191</v>
      </c>
      <c r="D79" s="168">
        <f t="shared" si="28"/>
        <v>5633</v>
      </c>
      <c r="E79" s="177">
        <f t="shared" si="26"/>
        <v>1340</v>
      </c>
      <c r="F79" s="99">
        <v>1340</v>
      </c>
      <c r="G79" s="99">
        <v>1410</v>
      </c>
      <c r="H79" s="72">
        <v>1410</v>
      </c>
      <c r="I79" s="72">
        <v>1473</v>
      </c>
      <c r="J79" s="73">
        <v>280.4</v>
      </c>
      <c r="K79" s="74" t="e">
        <f>J79/#REF!*100</f>
        <v>#REF!</v>
      </c>
      <c r="L79" s="74">
        <f>J79/H79*100</f>
        <v>19.886524822695034</v>
      </c>
      <c r="M79" s="167"/>
      <c r="N79" s="167"/>
      <c r="O79" s="72">
        <f t="shared" si="27"/>
        <v>19.035980991174473</v>
      </c>
      <c r="P79" s="74">
        <f t="shared" si="24"/>
        <v>20.925373134328357</v>
      </c>
      <c r="Q79" s="73">
        <f t="shared" si="25"/>
        <v>4.9778093378306405</v>
      </c>
    </row>
    <row r="80" spans="1:17" ht="24">
      <c r="A80" s="88" t="s">
        <v>194</v>
      </c>
      <c r="B80" s="88"/>
      <c r="C80" s="86" t="s">
        <v>195</v>
      </c>
      <c r="D80" s="168">
        <f t="shared" si="28"/>
        <v>465.99999999999994</v>
      </c>
      <c r="E80" s="177">
        <f t="shared" si="26"/>
        <v>138.2</v>
      </c>
      <c r="F80" s="99">
        <v>138.2</v>
      </c>
      <c r="G80" s="99">
        <v>105.2</v>
      </c>
      <c r="H80" s="72">
        <v>36.4</v>
      </c>
      <c r="I80" s="72">
        <v>186.2</v>
      </c>
      <c r="J80" s="73">
        <v>20.3</v>
      </c>
      <c r="K80" s="74" t="e">
        <f>J80/#REF!*100</f>
        <v>#REF!</v>
      </c>
      <c r="L80" s="74">
        <f>J80/H80*100</f>
        <v>55.769230769230774</v>
      </c>
      <c r="M80" s="167"/>
      <c r="N80" s="167"/>
      <c r="O80" s="72">
        <f t="shared" si="27"/>
        <v>10.902255639097746</v>
      </c>
      <c r="P80" s="74">
        <f t="shared" si="24"/>
        <v>14.688856729377715</v>
      </c>
      <c r="Q80" s="73">
        <f t="shared" si="25"/>
        <v>4.356223175965666</v>
      </c>
    </row>
    <row r="81" spans="1:17" ht="24">
      <c r="A81" s="87" t="s">
        <v>196</v>
      </c>
      <c r="B81" s="87"/>
      <c r="C81" s="86" t="s">
        <v>197</v>
      </c>
      <c r="D81" s="168">
        <f t="shared" si="28"/>
        <v>102.5</v>
      </c>
      <c r="E81" s="177">
        <f t="shared" si="26"/>
        <v>30</v>
      </c>
      <c r="F81" s="99">
        <v>30</v>
      </c>
      <c r="G81" s="99">
        <v>24</v>
      </c>
      <c r="H81" s="72">
        <v>24</v>
      </c>
      <c r="I81" s="72">
        <v>24.5</v>
      </c>
      <c r="J81" s="73">
        <v>11.5</v>
      </c>
      <c r="K81" s="74" t="e">
        <f>J81/#REF!*100</f>
        <v>#REF!</v>
      </c>
      <c r="L81" s="74">
        <f>J81/H81*100</f>
        <v>47.91666666666667</v>
      </c>
      <c r="M81" s="167"/>
      <c r="N81" s="167"/>
      <c r="O81" s="72">
        <f t="shared" si="27"/>
        <v>46.93877551020408</v>
      </c>
      <c r="P81" s="74">
        <f t="shared" si="24"/>
        <v>38.333333333333336</v>
      </c>
      <c r="Q81" s="73">
        <f t="shared" si="25"/>
        <v>11.21951219512195</v>
      </c>
    </row>
    <row r="82" spans="1:17" ht="12.75">
      <c r="A82" s="77" t="s">
        <v>200</v>
      </c>
      <c r="B82" s="77"/>
      <c r="C82" s="86" t="s">
        <v>201</v>
      </c>
      <c r="D82" s="168">
        <f t="shared" si="28"/>
        <v>0</v>
      </c>
      <c r="E82" s="177">
        <f t="shared" si="26"/>
        <v>0</v>
      </c>
      <c r="F82" s="99"/>
      <c r="G82" s="99"/>
      <c r="H82" s="72"/>
      <c r="I82" s="72"/>
      <c r="J82" s="73">
        <v>4.6</v>
      </c>
      <c r="K82" s="85"/>
      <c r="L82" s="85"/>
      <c r="M82" s="167"/>
      <c r="N82" s="167"/>
      <c r="O82" s="72" t="e">
        <f t="shared" si="27"/>
        <v>#DIV/0!</v>
      </c>
      <c r="P82" s="74"/>
      <c r="Q82" s="73"/>
    </row>
    <row r="83" spans="1:17" ht="12.75">
      <c r="A83" s="89" t="s">
        <v>202</v>
      </c>
      <c r="B83" s="90"/>
      <c r="C83" s="71" t="s">
        <v>203</v>
      </c>
      <c r="D83" s="168">
        <f t="shared" si="28"/>
        <v>0</v>
      </c>
      <c r="E83" s="177">
        <f t="shared" si="26"/>
        <v>0</v>
      </c>
      <c r="F83" s="99"/>
      <c r="G83" s="99"/>
      <c r="H83" s="72"/>
      <c r="I83" s="72"/>
      <c r="J83" s="73"/>
      <c r="K83" s="85"/>
      <c r="L83" s="85"/>
      <c r="M83" s="167"/>
      <c r="N83" s="167"/>
      <c r="O83" s="72"/>
      <c r="P83" s="74"/>
      <c r="Q83" s="73"/>
    </row>
    <row r="84" spans="1:17" ht="12.75">
      <c r="A84" s="89" t="s">
        <v>204</v>
      </c>
      <c r="B84" s="90"/>
      <c r="C84" s="71" t="s">
        <v>205</v>
      </c>
      <c r="D84" s="71"/>
      <c r="E84" s="71"/>
      <c r="F84" s="99"/>
      <c r="G84" s="99"/>
      <c r="H84" s="72" t="e">
        <f>I84+#REF!+#REF!+#REF!</f>
        <v>#REF!</v>
      </c>
      <c r="I84" s="72"/>
      <c r="J84" s="73"/>
      <c r="K84" s="85"/>
      <c r="L84" s="85"/>
      <c r="M84" s="167"/>
      <c r="N84" s="167"/>
      <c r="O84" s="72" t="e">
        <f t="shared" si="27"/>
        <v>#DIV/0!</v>
      </c>
      <c r="P84" s="85" t="e">
        <f t="shared" si="24"/>
        <v>#DIV/0!</v>
      </c>
      <c r="Q84" s="80" t="e">
        <f t="shared" si="25"/>
        <v>#DIV/0!</v>
      </c>
    </row>
    <row r="85" spans="1:17" ht="12.75">
      <c r="A85" s="83" t="s">
        <v>206</v>
      </c>
      <c r="B85" s="83"/>
      <c r="C85" s="91" t="s">
        <v>207</v>
      </c>
      <c r="D85" s="92">
        <f aca="true" t="shared" si="29" ref="D85:J85">D86+D87</f>
        <v>54722</v>
      </c>
      <c r="E85" s="178">
        <f t="shared" si="29"/>
        <v>10915</v>
      </c>
      <c r="F85" s="92">
        <f t="shared" si="29"/>
        <v>10915</v>
      </c>
      <c r="G85" s="92">
        <f t="shared" si="29"/>
        <v>16974.2</v>
      </c>
      <c r="H85" s="92">
        <f t="shared" si="29"/>
        <v>15282.2</v>
      </c>
      <c r="I85" s="92">
        <f t="shared" si="29"/>
        <v>11550.6</v>
      </c>
      <c r="J85" s="92">
        <f t="shared" si="29"/>
        <v>3348</v>
      </c>
      <c r="K85" s="85" t="e">
        <f>J85/#REF!*100</f>
        <v>#REF!</v>
      </c>
      <c r="L85" s="85">
        <f>J85/H85*100</f>
        <v>21.907840494169687</v>
      </c>
      <c r="M85" s="167"/>
      <c r="N85" s="167"/>
      <c r="O85" s="93">
        <f t="shared" si="27"/>
        <v>28.985507246376812</v>
      </c>
      <c r="P85" s="85">
        <f t="shared" si="24"/>
        <v>30.673385249656437</v>
      </c>
      <c r="Q85" s="80">
        <f t="shared" si="25"/>
        <v>6.118197434304302</v>
      </c>
    </row>
    <row r="86" spans="1:17" ht="24">
      <c r="A86" s="69" t="s">
        <v>208</v>
      </c>
      <c r="B86" s="67"/>
      <c r="C86" s="94" t="s">
        <v>209</v>
      </c>
      <c r="D86" s="168">
        <f>F86+G86+H86+I86</f>
        <v>54722</v>
      </c>
      <c r="E86" s="177">
        <f>F86</f>
        <v>10915</v>
      </c>
      <c r="F86" s="99">
        <v>10915</v>
      </c>
      <c r="G86" s="99">
        <v>16974.2</v>
      </c>
      <c r="H86" s="72">
        <v>15282.2</v>
      </c>
      <c r="I86" s="72">
        <v>11550.6</v>
      </c>
      <c r="J86" s="73">
        <v>3348</v>
      </c>
      <c r="K86" s="74" t="e">
        <f>J86/#REF!*100</f>
        <v>#REF!</v>
      </c>
      <c r="L86" s="74">
        <f>J86/H86*100</f>
        <v>21.907840494169687</v>
      </c>
      <c r="M86" s="167"/>
      <c r="N86" s="167"/>
      <c r="O86" s="72">
        <f t="shared" si="27"/>
        <v>28.985507246376812</v>
      </c>
      <c r="P86" s="74">
        <f t="shared" si="24"/>
        <v>30.673385249656437</v>
      </c>
      <c r="Q86" s="73">
        <f t="shared" si="25"/>
        <v>6.118197434304302</v>
      </c>
    </row>
    <row r="87" spans="1:17" ht="12.75">
      <c r="A87" s="69" t="s">
        <v>210</v>
      </c>
      <c r="B87" s="69"/>
      <c r="C87" s="95" t="s">
        <v>211</v>
      </c>
      <c r="D87" s="168">
        <f>F87+G87+H87+I87</f>
        <v>0</v>
      </c>
      <c r="E87" s="177">
        <f>F87</f>
        <v>0</v>
      </c>
      <c r="F87" s="179"/>
      <c r="G87" s="179"/>
      <c r="H87" s="72"/>
      <c r="I87" s="72"/>
      <c r="J87" s="73"/>
      <c r="K87" s="74" t="e">
        <f>J87/#REF!*100</f>
        <v>#REF!</v>
      </c>
      <c r="L87" s="74"/>
      <c r="M87" s="167"/>
      <c r="N87" s="167"/>
      <c r="O87" s="72" t="e">
        <f t="shared" si="27"/>
        <v>#DIV/0!</v>
      </c>
      <c r="P87" s="85"/>
      <c r="Q87" s="80"/>
    </row>
    <row r="88" spans="1:17" ht="12.75">
      <c r="A88" s="77"/>
      <c r="B88" s="78"/>
      <c r="C88" s="79" t="s">
        <v>216</v>
      </c>
      <c r="D88" s="80">
        <f aca="true" t="shared" si="30" ref="D88:J88">D85+D74</f>
        <v>78465.5</v>
      </c>
      <c r="E88" s="80">
        <f t="shared" si="30"/>
        <v>16946.5</v>
      </c>
      <c r="F88" s="80">
        <f t="shared" si="30"/>
        <v>16946.5</v>
      </c>
      <c r="G88" s="80">
        <f t="shared" si="30"/>
        <v>22795.7</v>
      </c>
      <c r="H88" s="80">
        <f t="shared" si="30"/>
        <v>20486.5</v>
      </c>
      <c r="I88" s="80">
        <f t="shared" si="30"/>
        <v>18236.8</v>
      </c>
      <c r="J88" s="80">
        <f t="shared" si="30"/>
        <v>4542</v>
      </c>
      <c r="K88" s="85" t="e">
        <f>J88/#REF!*100</f>
        <v>#REF!</v>
      </c>
      <c r="L88" s="85">
        <f>J88/H88*100</f>
        <v>22.170697776584582</v>
      </c>
      <c r="M88" s="167"/>
      <c r="N88" s="171" t="e">
        <f>I88+#REF!+#REF!</f>
        <v>#REF!</v>
      </c>
      <c r="O88" s="93">
        <f t="shared" si="27"/>
        <v>24.905685207931217</v>
      </c>
      <c r="P88" s="85">
        <f t="shared" si="24"/>
        <v>26.80199451214115</v>
      </c>
      <c r="Q88" s="80">
        <f t="shared" si="25"/>
        <v>5.788531265333172</v>
      </c>
    </row>
    <row r="89" spans="1:17" ht="12.75">
      <c r="A89" s="150"/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2"/>
      <c r="M89" s="167"/>
      <c r="N89" s="167"/>
      <c r="O89" s="96"/>
      <c r="P89" s="85"/>
      <c r="Q89" s="80"/>
    </row>
    <row r="90" spans="1:17" ht="12.75">
      <c r="A90" s="149" t="s">
        <v>221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85"/>
      <c r="Q90" s="80"/>
    </row>
    <row r="91" spans="1:17" ht="12.75">
      <c r="A91" s="83" t="s">
        <v>178</v>
      </c>
      <c r="B91" s="83"/>
      <c r="C91" s="84" t="s">
        <v>179</v>
      </c>
      <c r="D91" s="85">
        <f aca="true" t="shared" si="31" ref="D91:J91">D92+D93+D97+D94+D95+D98+D96</f>
        <v>2427.5</v>
      </c>
      <c r="E91" s="85">
        <f t="shared" si="31"/>
        <v>599.3</v>
      </c>
      <c r="F91" s="85">
        <f t="shared" si="31"/>
        <v>599.3</v>
      </c>
      <c r="G91" s="85">
        <f t="shared" si="31"/>
        <v>610.5000000000001</v>
      </c>
      <c r="H91" s="85">
        <f t="shared" si="31"/>
        <v>610.5000000000001</v>
      </c>
      <c r="I91" s="85">
        <f t="shared" si="31"/>
        <v>607.2</v>
      </c>
      <c r="J91" s="85">
        <f t="shared" si="31"/>
        <v>120.19999999999999</v>
      </c>
      <c r="K91" s="85" t="e">
        <f>J91/#REF!*100</f>
        <v>#REF!</v>
      </c>
      <c r="L91" s="85">
        <f>J91/H91*100</f>
        <v>19.688779688779682</v>
      </c>
      <c r="M91" s="167"/>
      <c r="N91" s="167"/>
      <c r="O91" s="85">
        <f t="shared" si="27"/>
        <v>19.795783926218704</v>
      </c>
      <c r="P91" s="85">
        <f t="shared" si="24"/>
        <v>20.056732854997495</v>
      </c>
      <c r="Q91" s="80">
        <f t="shared" si="25"/>
        <v>4.951596292481977</v>
      </c>
    </row>
    <row r="92" spans="1:17" ht="12.75">
      <c r="A92" s="77" t="s">
        <v>180</v>
      </c>
      <c r="B92" s="77"/>
      <c r="C92" s="86" t="s">
        <v>181</v>
      </c>
      <c r="D92" s="168">
        <f>F92+G92+H92+I92</f>
        <v>2278.5</v>
      </c>
      <c r="E92" s="180">
        <f aca="true" t="shared" si="32" ref="E92:E101">F92</f>
        <v>569.6</v>
      </c>
      <c r="F92" s="99">
        <v>569.6</v>
      </c>
      <c r="G92" s="99">
        <v>569.6</v>
      </c>
      <c r="H92" s="72">
        <v>569.6</v>
      </c>
      <c r="I92" s="73">
        <v>569.7</v>
      </c>
      <c r="J92" s="73">
        <v>65.3</v>
      </c>
      <c r="K92" s="74"/>
      <c r="L92" s="74">
        <f>J92/H92*100</f>
        <v>11.464185393258425</v>
      </c>
      <c r="M92" s="171"/>
      <c r="N92" s="167"/>
      <c r="O92" s="72">
        <f t="shared" si="27"/>
        <v>11.462173073547481</v>
      </c>
      <c r="P92" s="74">
        <f t="shared" si="24"/>
        <v>11.464185393258427</v>
      </c>
      <c r="Q92" s="73">
        <f t="shared" si="25"/>
        <v>2.8659205617730965</v>
      </c>
    </row>
    <row r="93" spans="1:17" ht="12.75">
      <c r="A93" s="67" t="s">
        <v>184</v>
      </c>
      <c r="B93" s="67"/>
      <c r="C93" s="86" t="s">
        <v>185</v>
      </c>
      <c r="D93" s="168">
        <f aca="true" t="shared" si="33" ref="D93:D101">F93+G93+H93+I93</f>
        <v>50</v>
      </c>
      <c r="E93" s="180">
        <f t="shared" si="32"/>
        <v>12.8</v>
      </c>
      <c r="F93" s="99">
        <v>12.8</v>
      </c>
      <c r="G93" s="99">
        <v>12.7</v>
      </c>
      <c r="H93" s="72">
        <v>12.7</v>
      </c>
      <c r="I93" s="73">
        <v>11.8</v>
      </c>
      <c r="J93" s="73">
        <v>0.1</v>
      </c>
      <c r="K93" s="74"/>
      <c r="L93" s="74">
        <f aca="true" t="shared" si="34" ref="L93:L100">J93/H93*100</f>
        <v>0.7874015748031498</v>
      </c>
      <c r="M93" s="171"/>
      <c r="N93" s="167"/>
      <c r="O93" s="72">
        <f t="shared" si="27"/>
        <v>0.847457627118644</v>
      </c>
      <c r="P93" s="74">
        <f t="shared" si="24"/>
        <v>0.78125</v>
      </c>
      <c r="Q93" s="73">
        <f t="shared" si="25"/>
        <v>0.2</v>
      </c>
    </row>
    <row r="94" spans="1:17" ht="12.75">
      <c r="A94" s="67" t="s">
        <v>186</v>
      </c>
      <c r="B94" s="67"/>
      <c r="C94" s="86" t="s">
        <v>187</v>
      </c>
      <c r="D94" s="168">
        <f t="shared" si="33"/>
        <v>10</v>
      </c>
      <c r="E94" s="180">
        <f t="shared" si="32"/>
        <v>1</v>
      </c>
      <c r="F94" s="99">
        <v>1</v>
      </c>
      <c r="G94" s="99">
        <v>3</v>
      </c>
      <c r="H94" s="72">
        <v>3</v>
      </c>
      <c r="I94" s="73">
        <v>3</v>
      </c>
      <c r="J94" s="73"/>
      <c r="K94" s="74"/>
      <c r="L94" s="74">
        <f t="shared" si="34"/>
        <v>0</v>
      </c>
      <c r="M94" s="167"/>
      <c r="N94" s="167"/>
      <c r="O94" s="72">
        <f t="shared" si="27"/>
        <v>0</v>
      </c>
      <c r="P94" s="74">
        <f t="shared" si="24"/>
        <v>0</v>
      </c>
      <c r="Q94" s="73">
        <f t="shared" si="25"/>
        <v>0</v>
      </c>
    </row>
    <row r="95" spans="1:17" ht="24">
      <c r="A95" s="68" t="s">
        <v>190</v>
      </c>
      <c r="B95" s="68"/>
      <c r="C95" s="86" t="s">
        <v>191</v>
      </c>
      <c r="D95" s="168">
        <f t="shared" si="33"/>
        <v>55</v>
      </c>
      <c r="E95" s="180">
        <f t="shared" si="32"/>
        <v>10</v>
      </c>
      <c r="F95" s="99">
        <v>10</v>
      </c>
      <c r="G95" s="99">
        <v>15</v>
      </c>
      <c r="H95" s="72">
        <v>15</v>
      </c>
      <c r="I95" s="73">
        <v>15</v>
      </c>
      <c r="J95" s="73"/>
      <c r="K95" s="74"/>
      <c r="L95" s="74">
        <f t="shared" si="34"/>
        <v>0</v>
      </c>
      <c r="M95" s="167"/>
      <c r="N95" s="167"/>
      <c r="O95" s="72">
        <f t="shared" si="27"/>
        <v>0</v>
      </c>
      <c r="P95" s="74">
        <f t="shared" si="24"/>
        <v>0</v>
      </c>
      <c r="Q95" s="73">
        <f t="shared" si="25"/>
        <v>0</v>
      </c>
    </row>
    <row r="96" spans="1:17" ht="24">
      <c r="A96" s="88" t="s">
        <v>194</v>
      </c>
      <c r="B96" s="88"/>
      <c r="C96" s="86" t="s">
        <v>195</v>
      </c>
      <c r="D96" s="168">
        <f t="shared" si="33"/>
        <v>25</v>
      </c>
      <c r="E96" s="180">
        <f t="shared" si="32"/>
        <v>5</v>
      </c>
      <c r="F96" s="99">
        <v>5</v>
      </c>
      <c r="G96" s="99">
        <v>7.5</v>
      </c>
      <c r="H96" s="72">
        <v>7.5</v>
      </c>
      <c r="I96" s="73">
        <v>5</v>
      </c>
      <c r="J96" s="73"/>
      <c r="K96" s="74"/>
      <c r="L96" s="74">
        <f t="shared" si="34"/>
        <v>0</v>
      </c>
      <c r="M96" s="167"/>
      <c r="N96" s="167"/>
      <c r="O96" s="72">
        <f t="shared" si="27"/>
        <v>0</v>
      </c>
      <c r="P96" s="74">
        <f t="shared" si="24"/>
        <v>0</v>
      </c>
      <c r="Q96" s="73">
        <f t="shared" si="25"/>
        <v>0</v>
      </c>
    </row>
    <row r="97" spans="1:17" ht="24">
      <c r="A97" s="88" t="s">
        <v>196</v>
      </c>
      <c r="B97" s="88"/>
      <c r="C97" s="86" t="s">
        <v>197</v>
      </c>
      <c r="D97" s="168">
        <f t="shared" si="33"/>
        <v>9</v>
      </c>
      <c r="E97" s="180">
        <f t="shared" si="32"/>
        <v>0.9</v>
      </c>
      <c r="F97" s="99">
        <v>0.9</v>
      </c>
      <c r="G97" s="99">
        <v>2.7</v>
      </c>
      <c r="H97" s="72">
        <v>2.7</v>
      </c>
      <c r="I97" s="73">
        <v>2.7</v>
      </c>
      <c r="J97" s="73"/>
      <c r="K97" s="74"/>
      <c r="L97" s="74">
        <f t="shared" si="34"/>
        <v>0</v>
      </c>
      <c r="M97" s="167"/>
      <c r="N97" s="167"/>
      <c r="O97" s="72">
        <f t="shared" si="27"/>
        <v>0</v>
      </c>
      <c r="P97" s="74">
        <f t="shared" si="24"/>
        <v>0</v>
      </c>
      <c r="Q97" s="73">
        <f t="shared" si="25"/>
        <v>0</v>
      </c>
    </row>
    <row r="98" spans="1:17" ht="12.75">
      <c r="A98" s="88" t="s">
        <v>202</v>
      </c>
      <c r="B98" s="108"/>
      <c r="C98" s="71" t="s">
        <v>203</v>
      </c>
      <c r="D98" s="168">
        <f t="shared" si="33"/>
        <v>0</v>
      </c>
      <c r="E98" s="180">
        <f t="shared" si="32"/>
        <v>0</v>
      </c>
      <c r="F98" s="181"/>
      <c r="G98" s="181"/>
      <c r="H98" s="72"/>
      <c r="I98" s="73"/>
      <c r="J98" s="73">
        <v>54.8</v>
      </c>
      <c r="K98" s="85"/>
      <c r="L98" s="74" t="e">
        <f t="shared" si="34"/>
        <v>#DIV/0!</v>
      </c>
      <c r="M98" s="167"/>
      <c r="N98" s="167"/>
      <c r="O98" s="72" t="e">
        <f t="shared" si="27"/>
        <v>#DIV/0!</v>
      </c>
      <c r="P98" s="85"/>
      <c r="Q98" s="80"/>
    </row>
    <row r="99" spans="1:17" ht="12.75">
      <c r="A99" s="103" t="s">
        <v>206</v>
      </c>
      <c r="B99" s="103"/>
      <c r="C99" s="91" t="s">
        <v>207</v>
      </c>
      <c r="D99" s="92">
        <f aca="true" t="shared" si="35" ref="D99:K99">D100+D101</f>
        <v>22315.4</v>
      </c>
      <c r="E99" s="92">
        <f t="shared" si="35"/>
        <v>5480.9</v>
      </c>
      <c r="F99" s="92">
        <f t="shared" si="35"/>
        <v>5480.9</v>
      </c>
      <c r="G99" s="92">
        <f t="shared" si="35"/>
        <v>5676.8</v>
      </c>
      <c r="H99" s="92">
        <f t="shared" si="35"/>
        <v>5676.8</v>
      </c>
      <c r="I99" s="92">
        <f t="shared" si="35"/>
        <v>5480.9</v>
      </c>
      <c r="J99" s="92">
        <f t="shared" si="35"/>
        <v>1190.9</v>
      </c>
      <c r="K99" s="92">
        <f t="shared" si="35"/>
        <v>0</v>
      </c>
      <c r="L99" s="85">
        <f>J99/H99*100</f>
        <v>20.978368094701242</v>
      </c>
      <c r="M99" s="167"/>
      <c r="N99" s="167"/>
      <c r="O99" s="93">
        <f t="shared" si="27"/>
        <v>21.728183327555698</v>
      </c>
      <c r="P99" s="85">
        <f t="shared" si="24"/>
        <v>21.728183327555698</v>
      </c>
      <c r="Q99" s="80">
        <f t="shared" si="25"/>
        <v>5.3366733287326245</v>
      </c>
    </row>
    <row r="100" spans="1:17" ht="24">
      <c r="A100" s="69" t="s">
        <v>208</v>
      </c>
      <c r="B100" s="67"/>
      <c r="C100" s="94" t="s">
        <v>209</v>
      </c>
      <c r="D100" s="168">
        <f t="shared" si="33"/>
        <v>22315.4</v>
      </c>
      <c r="E100" s="180">
        <f t="shared" si="32"/>
        <v>5480.9</v>
      </c>
      <c r="F100" s="99">
        <v>5480.9</v>
      </c>
      <c r="G100" s="99">
        <v>5676.8</v>
      </c>
      <c r="H100" s="72">
        <v>5676.8</v>
      </c>
      <c r="I100" s="73">
        <v>5480.9</v>
      </c>
      <c r="J100" s="73">
        <v>1190.9</v>
      </c>
      <c r="K100" s="74"/>
      <c r="L100" s="74">
        <f t="shared" si="34"/>
        <v>20.978368094701242</v>
      </c>
      <c r="M100" s="167"/>
      <c r="N100" s="167"/>
      <c r="O100" s="72">
        <f t="shared" si="27"/>
        <v>21.728183327555698</v>
      </c>
      <c r="P100" s="74">
        <f t="shared" si="24"/>
        <v>21.728183327555698</v>
      </c>
      <c r="Q100" s="73">
        <f t="shared" si="25"/>
        <v>5.3366733287326245</v>
      </c>
    </row>
    <row r="101" spans="1:17" ht="12.75">
      <c r="A101" s="69" t="s">
        <v>210</v>
      </c>
      <c r="B101" s="69"/>
      <c r="C101" s="95" t="s">
        <v>211</v>
      </c>
      <c r="D101" s="168">
        <f t="shared" si="33"/>
        <v>0</v>
      </c>
      <c r="E101" s="180">
        <f t="shared" si="32"/>
        <v>0</v>
      </c>
      <c r="F101" s="179"/>
      <c r="G101" s="179"/>
      <c r="H101" s="72"/>
      <c r="I101" s="73"/>
      <c r="J101" s="73"/>
      <c r="K101" s="74"/>
      <c r="L101" s="74"/>
      <c r="M101" s="167"/>
      <c r="N101" s="167"/>
      <c r="O101" s="72" t="e">
        <f t="shared" si="27"/>
        <v>#DIV/0!</v>
      </c>
      <c r="P101" s="85"/>
      <c r="Q101" s="80"/>
    </row>
    <row r="102" spans="1:17" ht="12.75">
      <c r="A102" s="77"/>
      <c r="B102" s="78"/>
      <c r="C102" s="79" t="s">
        <v>216</v>
      </c>
      <c r="D102" s="80">
        <f aca="true" t="shared" si="36" ref="D102:K102">D99+D91</f>
        <v>24742.9</v>
      </c>
      <c r="E102" s="93">
        <f t="shared" si="36"/>
        <v>6080.2</v>
      </c>
      <c r="F102" s="93">
        <f t="shared" si="36"/>
        <v>6080.2</v>
      </c>
      <c r="G102" s="93">
        <f t="shared" si="36"/>
        <v>6287.3</v>
      </c>
      <c r="H102" s="80">
        <f t="shared" si="36"/>
        <v>6287.3</v>
      </c>
      <c r="I102" s="80">
        <f t="shared" si="36"/>
        <v>6088.099999999999</v>
      </c>
      <c r="J102" s="80">
        <f t="shared" si="36"/>
        <v>1311.1000000000001</v>
      </c>
      <c r="K102" s="80" t="e">
        <f t="shared" si="36"/>
        <v>#REF!</v>
      </c>
      <c r="L102" s="85">
        <f>J102/H102*100</f>
        <v>20.853148410287407</v>
      </c>
      <c r="M102" s="167"/>
      <c r="N102" s="171" t="e">
        <f>I102+#REF!+#REF!</f>
        <v>#REF!</v>
      </c>
      <c r="O102" s="93">
        <f t="shared" si="27"/>
        <v>21.535454411064208</v>
      </c>
      <c r="P102" s="85">
        <f t="shared" si="24"/>
        <v>21.563435413308774</v>
      </c>
      <c r="Q102" s="80">
        <f t="shared" si="25"/>
        <v>5.2988938240869095</v>
      </c>
    </row>
    <row r="103" spans="1:17" ht="12.75">
      <c r="A103" s="150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2"/>
      <c r="M103" s="167"/>
      <c r="N103" s="167"/>
      <c r="O103" s="96"/>
      <c r="P103" s="85"/>
      <c r="Q103" s="80"/>
    </row>
    <row r="104" spans="1:17" ht="12.75">
      <c r="A104" s="149" t="s">
        <v>222</v>
      </c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85"/>
      <c r="Q104" s="80"/>
    </row>
    <row r="105" spans="1:17" ht="12.75">
      <c r="A105" s="83" t="s">
        <v>178</v>
      </c>
      <c r="B105" s="83"/>
      <c r="C105" s="84" t="s">
        <v>179</v>
      </c>
      <c r="D105" s="85">
        <f aca="true" t="shared" si="37" ref="D105:J105">D106+D107+D111+D108+D109+D112+D110+D113</f>
        <v>1418.9</v>
      </c>
      <c r="E105" s="85">
        <f t="shared" si="37"/>
        <v>196.2</v>
      </c>
      <c r="F105" s="85">
        <f t="shared" si="37"/>
        <v>196.2</v>
      </c>
      <c r="G105" s="85">
        <f t="shared" si="37"/>
        <v>398</v>
      </c>
      <c r="H105" s="85">
        <f t="shared" si="37"/>
        <v>399.20000000000005</v>
      </c>
      <c r="I105" s="85">
        <f t="shared" si="37"/>
        <v>425.5</v>
      </c>
      <c r="J105" s="85">
        <f t="shared" si="37"/>
        <v>15.200000000000003</v>
      </c>
      <c r="K105" s="85" t="e">
        <f>J105/#REF!*100</f>
        <v>#REF!</v>
      </c>
      <c r="L105" s="85">
        <f aca="true" t="shared" si="38" ref="L105:L111">J105/H105*100</f>
        <v>3.807615230460922</v>
      </c>
      <c r="M105" s="167"/>
      <c r="N105" s="167"/>
      <c r="O105" s="85">
        <f t="shared" si="27"/>
        <v>3.5722679200940077</v>
      </c>
      <c r="P105" s="85">
        <f t="shared" si="24"/>
        <v>7.747196738022428</v>
      </c>
      <c r="Q105" s="80">
        <f t="shared" si="25"/>
        <v>1.0712523786031434</v>
      </c>
    </row>
    <row r="106" spans="1:17" ht="12.75">
      <c r="A106" s="77" t="s">
        <v>180</v>
      </c>
      <c r="B106" s="77"/>
      <c r="C106" s="86" t="s">
        <v>181</v>
      </c>
      <c r="D106" s="168">
        <f>F106+G106+H106+I106</f>
        <v>840</v>
      </c>
      <c r="E106" s="168">
        <f aca="true" t="shared" si="39" ref="E106:E115">F106</f>
        <v>127.6</v>
      </c>
      <c r="F106" s="168">
        <v>127.6</v>
      </c>
      <c r="G106" s="168">
        <v>222.6</v>
      </c>
      <c r="H106" s="73">
        <v>198.2</v>
      </c>
      <c r="I106" s="73">
        <v>291.6</v>
      </c>
      <c r="J106" s="73">
        <v>7.7</v>
      </c>
      <c r="K106" s="74" t="e">
        <f>J106/#REF!*100</f>
        <v>#REF!</v>
      </c>
      <c r="L106" s="74">
        <f t="shared" si="38"/>
        <v>3.884964682139254</v>
      </c>
      <c r="M106" s="167"/>
      <c r="N106" s="167"/>
      <c r="O106" s="72">
        <f t="shared" si="27"/>
        <v>2.6406035665294922</v>
      </c>
      <c r="P106" s="74">
        <f t="shared" si="24"/>
        <v>6.0344827586206895</v>
      </c>
      <c r="Q106" s="73">
        <f t="shared" si="25"/>
        <v>0.9166666666666666</v>
      </c>
    </row>
    <row r="107" spans="1:17" ht="12.75">
      <c r="A107" s="67" t="s">
        <v>184</v>
      </c>
      <c r="B107" s="67"/>
      <c r="C107" s="86" t="s">
        <v>185</v>
      </c>
      <c r="D107" s="168">
        <f aca="true" t="shared" si="40" ref="D107:D115">F107+G107+H107+I107</f>
        <v>55</v>
      </c>
      <c r="E107" s="168">
        <f t="shared" si="39"/>
        <v>7.8</v>
      </c>
      <c r="F107" s="168">
        <v>7.8</v>
      </c>
      <c r="G107" s="168">
        <v>13.5</v>
      </c>
      <c r="H107" s="73">
        <v>19.8</v>
      </c>
      <c r="I107" s="73">
        <v>13.9</v>
      </c>
      <c r="J107" s="73">
        <v>1.6</v>
      </c>
      <c r="K107" s="74" t="e">
        <f>J107/#REF!*100</f>
        <v>#REF!</v>
      </c>
      <c r="L107" s="74">
        <f t="shared" si="38"/>
        <v>8.080808080808081</v>
      </c>
      <c r="M107" s="167"/>
      <c r="N107" s="167"/>
      <c r="O107" s="72">
        <f t="shared" si="27"/>
        <v>11.510791366906474</v>
      </c>
      <c r="P107" s="74">
        <f t="shared" si="24"/>
        <v>20.512820512820515</v>
      </c>
      <c r="Q107" s="73">
        <f t="shared" si="25"/>
        <v>2.909090909090909</v>
      </c>
    </row>
    <row r="108" spans="1:17" ht="12.75">
      <c r="A108" s="67" t="s">
        <v>186</v>
      </c>
      <c r="B108" s="67"/>
      <c r="C108" s="86" t="s">
        <v>187</v>
      </c>
      <c r="D108" s="168">
        <f t="shared" si="40"/>
        <v>31</v>
      </c>
      <c r="E108" s="168">
        <f t="shared" si="39"/>
        <v>5.6</v>
      </c>
      <c r="F108" s="168">
        <v>5.6</v>
      </c>
      <c r="G108" s="168">
        <v>2.1</v>
      </c>
      <c r="H108" s="73">
        <v>12.4</v>
      </c>
      <c r="I108" s="73">
        <v>10.9</v>
      </c>
      <c r="J108" s="73">
        <v>1.4</v>
      </c>
      <c r="K108" s="74" t="e">
        <f>J108/#REF!*100</f>
        <v>#REF!</v>
      </c>
      <c r="L108" s="74">
        <f t="shared" si="38"/>
        <v>11.29032258064516</v>
      </c>
      <c r="M108" s="167"/>
      <c r="N108" s="167"/>
      <c r="O108" s="72">
        <f t="shared" si="27"/>
        <v>12.844036697247706</v>
      </c>
      <c r="P108" s="74">
        <f t="shared" si="24"/>
        <v>25</v>
      </c>
      <c r="Q108" s="73">
        <f t="shared" si="25"/>
        <v>4.516129032258065</v>
      </c>
    </row>
    <row r="109" spans="1:17" ht="24">
      <c r="A109" s="68" t="s">
        <v>190</v>
      </c>
      <c r="B109" s="68"/>
      <c r="C109" s="86" t="s">
        <v>191</v>
      </c>
      <c r="D109" s="168">
        <f t="shared" si="40"/>
        <v>375.4</v>
      </c>
      <c r="E109" s="168">
        <f t="shared" si="39"/>
        <v>32.7</v>
      </c>
      <c r="F109" s="168">
        <v>32.7</v>
      </c>
      <c r="G109" s="168">
        <v>119.8</v>
      </c>
      <c r="H109" s="73">
        <v>136.3</v>
      </c>
      <c r="I109" s="73">
        <v>86.6</v>
      </c>
      <c r="J109" s="73">
        <v>4.2</v>
      </c>
      <c r="K109" s="74" t="e">
        <f>J109/#REF!*100</f>
        <v>#REF!</v>
      </c>
      <c r="L109" s="74">
        <f t="shared" si="38"/>
        <v>3.081438004402054</v>
      </c>
      <c r="M109" s="167"/>
      <c r="N109" s="167"/>
      <c r="O109" s="72">
        <f t="shared" si="27"/>
        <v>4.849884526558892</v>
      </c>
      <c r="P109" s="74">
        <f t="shared" si="24"/>
        <v>12.844036697247706</v>
      </c>
      <c r="Q109" s="73">
        <f t="shared" si="25"/>
        <v>1.1188066062866278</v>
      </c>
    </row>
    <row r="110" spans="1:17" ht="24">
      <c r="A110" s="88" t="s">
        <v>194</v>
      </c>
      <c r="B110" s="88"/>
      <c r="C110" s="86" t="s">
        <v>195</v>
      </c>
      <c r="D110" s="168">
        <f t="shared" si="40"/>
        <v>90</v>
      </c>
      <c r="E110" s="168">
        <f t="shared" si="39"/>
        <v>22.5</v>
      </c>
      <c r="F110" s="168">
        <v>22.5</v>
      </c>
      <c r="G110" s="168">
        <v>22.5</v>
      </c>
      <c r="H110" s="73">
        <v>22.5</v>
      </c>
      <c r="I110" s="73">
        <v>22.5</v>
      </c>
      <c r="J110" s="73"/>
      <c r="K110" s="74" t="e">
        <f>J110/#REF!*100</f>
        <v>#REF!</v>
      </c>
      <c r="L110" s="74">
        <f t="shared" si="38"/>
        <v>0</v>
      </c>
      <c r="M110" s="167"/>
      <c r="N110" s="167"/>
      <c r="O110" s="72">
        <f t="shared" si="27"/>
        <v>0</v>
      </c>
      <c r="P110" s="74">
        <f t="shared" si="24"/>
        <v>0</v>
      </c>
      <c r="Q110" s="73">
        <f t="shared" si="25"/>
        <v>0</v>
      </c>
    </row>
    <row r="111" spans="1:17" ht="24">
      <c r="A111" s="87" t="s">
        <v>196</v>
      </c>
      <c r="B111" s="87"/>
      <c r="C111" s="86" t="s">
        <v>197</v>
      </c>
      <c r="D111" s="168">
        <f t="shared" si="40"/>
        <v>27.5</v>
      </c>
      <c r="E111" s="168">
        <f t="shared" si="39"/>
        <v>0</v>
      </c>
      <c r="F111" s="168"/>
      <c r="G111" s="168">
        <v>17.5</v>
      </c>
      <c r="H111" s="73">
        <v>10</v>
      </c>
      <c r="I111" s="73"/>
      <c r="J111" s="73">
        <v>0.3</v>
      </c>
      <c r="K111" s="74" t="e">
        <f>J111/#REF!*100</f>
        <v>#REF!</v>
      </c>
      <c r="L111" s="74">
        <f t="shared" si="38"/>
        <v>3</v>
      </c>
      <c r="M111" s="167"/>
      <c r="N111" s="167"/>
      <c r="O111" s="72" t="e">
        <f t="shared" si="27"/>
        <v>#DIV/0!</v>
      </c>
      <c r="P111" s="74"/>
      <c r="Q111" s="73">
        <f t="shared" si="25"/>
        <v>1.0909090909090908</v>
      </c>
    </row>
    <row r="112" spans="1:17" ht="12.75">
      <c r="A112" s="77" t="s">
        <v>200</v>
      </c>
      <c r="B112" s="77"/>
      <c r="C112" s="86" t="s">
        <v>201</v>
      </c>
      <c r="D112" s="168">
        <f t="shared" si="40"/>
        <v>0</v>
      </c>
      <c r="E112" s="168">
        <f t="shared" si="39"/>
        <v>0</v>
      </c>
      <c r="F112" s="168"/>
      <c r="G112" s="168"/>
      <c r="H112" s="73"/>
      <c r="I112" s="73"/>
      <c r="J112" s="73"/>
      <c r="K112" s="74"/>
      <c r="L112" s="74"/>
      <c r="M112" s="167"/>
      <c r="N112" s="167"/>
      <c r="O112" s="72" t="e">
        <f t="shared" si="27"/>
        <v>#DIV/0!</v>
      </c>
      <c r="P112" s="85" t="e">
        <f t="shared" si="24"/>
        <v>#DIV/0!</v>
      </c>
      <c r="Q112" s="80" t="e">
        <f t="shared" si="25"/>
        <v>#DIV/0!</v>
      </c>
    </row>
    <row r="113" spans="1:17" ht="12.75">
      <c r="A113" s="87" t="s">
        <v>202</v>
      </c>
      <c r="B113" s="108"/>
      <c r="C113" s="71" t="s">
        <v>203</v>
      </c>
      <c r="D113" s="168">
        <f t="shared" si="40"/>
        <v>0</v>
      </c>
      <c r="E113" s="168">
        <f t="shared" si="39"/>
        <v>0</v>
      </c>
      <c r="F113" s="168"/>
      <c r="G113" s="168"/>
      <c r="H113" s="73"/>
      <c r="I113" s="73"/>
      <c r="J113" s="73"/>
      <c r="K113" s="74"/>
      <c r="L113" s="74"/>
      <c r="M113" s="167"/>
      <c r="N113" s="167"/>
      <c r="O113" s="72" t="e">
        <f t="shared" si="27"/>
        <v>#DIV/0!</v>
      </c>
      <c r="P113" s="85" t="e">
        <f t="shared" si="24"/>
        <v>#DIV/0!</v>
      </c>
      <c r="Q113" s="80" t="e">
        <f t="shared" si="25"/>
        <v>#DIV/0!</v>
      </c>
    </row>
    <row r="114" spans="1:17" ht="12.75">
      <c r="A114" s="83" t="s">
        <v>206</v>
      </c>
      <c r="B114" s="83"/>
      <c r="C114" s="91" t="s">
        <v>207</v>
      </c>
      <c r="D114" s="92">
        <f aca="true" t="shared" si="41" ref="D114:K114">D115</f>
        <v>28818.8</v>
      </c>
      <c r="E114" s="182">
        <f t="shared" si="41"/>
        <v>5070.3</v>
      </c>
      <c r="F114" s="182">
        <f t="shared" si="41"/>
        <v>5070.3</v>
      </c>
      <c r="G114" s="182">
        <f t="shared" si="41"/>
        <v>8644.5</v>
      </c>
      <c r="H114" s="182">
        <f t="shared" si="41"/>
        <v>7774.2</v>
      </c>
      <c r="I114" s="92">
        <f t="shared" si="41"/>
        <v>7329.8</v>
      </c>
      <c r="J114" s="92">
        <f t="shared" si="41"/>
        <v>1460.4</v>
      </c>
      <c r="K114" s="92" t="e">
        <f t="shared" si="41"/>
        <v>#REF!</v>
      </c>
      <c r="L114" s="85">
        <f>J114/H114*100</f>
        <v>18.785212626379565</v>
      </c>
      <c r="M114" s="167"/>
      <c r="N114" s="167"/>
      <c r="O114" s="93">
        <f t="shared" si="27"/>
        <v>19.924145269993723</v>
      </c>
      <c r="P114" s="85">
        <f t="shared" si="24"/>
        <v>28.803029406543992</v>
      </c>
      <c r="Q114" s="80">
        <f t="shared" si="25"/>
        <v>5.067525365386484</v>
      </c>
    </row>
    <row r="115" spans="1:17" ht="24">
      <c r="A115" s="69" t="s">
        <v>208</v>
      </c>
      <c r="B115" s="67"/>
      <c r="C115" s="94" t="s">
        <v>209</v>
      </c>
      <c r="D115" s="168">
        <f t="shared" si="40"/>
        <v>28818.8</v>
      </c>
      <c r="E115" s="168">
        <f t="shared" si="39"/>
        <v>5070.3</v>
      </c>
      <c r="F115" s="168">
        <v>5070.3</v>
      </c>
      <c r="G115" s="168">
        <v>8644.5</v>
      </c>
      <c r="H115" s="73">
        <v>7774.2</v>
      </c>
      <c r="I115" s="73">
        <v>7329.8</v>
      </c>
      <c r="J115" s="73">
        <v>1460.4</v>
      </c>
      <c r="K115" s="74" t="e">
        <f>J115/#REF!*100</f>
        <v>#REF!</v>
      </c>
      <c r="L115" s="74">
        <f>J115/H115*100</f>
        <v>18.785212626379565</v>
      </c>
      <c r="M115" s="167"/>
      <c r="N115" s="167"/>
      <c r="O115" s="72">
        <f t="shared" si="27"/>
        <v>19.924145269993723</v>
      </c>
      <c r="P115" s="74">
        <f t="shared" si="24"/>
        <v>28.803029406543992</v>
      </c>
      <c r="Q115" s="73">
        <f t="shared" si="25"/>
        <v>5.067525365386484</v>
      </c>
    </row>
    <row r="116" spans="1:17" ht="12.75">
      <c r="A116" s="77"/>
      <c r="B116" s="78"/>
      <c r="C116" s="79" t="s">
        <v>216</v>
      </c>
      <c r="D116" s="80">
        <f aca="true" t="shared" si="42" ref="D116:J116">D114+D105</f>
        <v>30237.7</v>
      </c>
      <c r="E116" s="80">
        <f t="shared" si="42"/>
        <v>5266.5</v>
      </c>
      <c r="F116" s="80">
        <f t="shared" si="42"/>
        <v>5266.5</v>
      </c>
      <c r="G116" s="80">
        <f t="shared" si="42"/>
        <v>9042.5</v>
      </c>
      <c r="H116" s="80">
        <f t="shared" si="42"/>
        <v>8173.4</v>
      </c>
      <c r="I116" s="80">
        <f t="shared" si="42"/>
        <v>7755.3</v>
      </c>
      <c r="J116" s="80">
        <f t="shared" si="42"/>
        <v>1475.6000000000001</v>
      </c>
      <c r="K116" s="85" t="e">
        <f>J116/#REF!*100</f>
        <v>#REF!</v>
      </c>
      <c r="L116" s="85">
        <f>J116/H116*100</f>
        <v>18.053686348398465</v>
      </c>
      <c r="M116" s="167"/>
      <c r="N116" s="171" t="e">
        <f>I116+#REF!+#REF!</f>
        <v>#REF!</v>
      </c>
      <c r="O116" s="93">
        <f t="shared" si="27"/>
        <v>19.026987995306435</v>
      </c>
      <c r="P116" s="85">
        <f t="shared" si="24"/>
        <v>28.018608183803284</v>
      </c>
      <c r="Q116" s="80">
        <f t="shared" si="25"/>
        <v>4.880000793711162</v>
      </c>
    </row>
    <row r="117" spans="1:17" ht="12.75">
      <c r="A117" s="150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2"/>
      <c r="M117" s="167"/>
      <c r="N117" s="167"/>
      <c r="O117" s="96"/>
      <c r="P117" s="85"/>
      <c r="Q117" s="80"/>
    </row>
    <row r="118" spans="1:17" ht="12.75">
      <c r="A118" s="149" t="s">
        <v>223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85"/>
      <c r="Q118" s="80"/>
    </row>
    <row r="119" spans="1:17" ht="12.75">
      <c r="A119" s="83" t="s">
        <v>178</v>
      </c>
      <c r="B119" s="83"/>
      <c r="C119" s="84" t="s">
        <v>179</v>
      </c>
      <c r="D119" s="85">
        <f aca="true" t="shared" si="43" ref="D119:J119">D120+D121+D122+D123+D125+D127+D124+D126</f>
        <v>2606.3</v>
      </c>
      <c r="E119" s="85">
        <f t="shared" si="43"/>
        <v>521.2</v>
      </c>
      <c r="F119" s="85">
        <f t="shared" si="43"/>
        <v>521.2</v>
      </c>
      <c r="G119" s="85">
        <f t="shared" si="43"/>
        <v>725.1999999999999</v>
      </c>
      <c r="H119" s="85">
        <f t="shared" si="43"/>
        <v>766.3</v>
      </c>
      <c r="I119" s="85">
        <f t="shared" si="43"/>
        <v>593.5999999999999</v>
      </c>
      <c r="J119" s="85">
        <f t="shared" si="43"/>
        <v>66.1</v>
      </c>
      <c r="K119" s="85" t="e">
        <f>J119/#REF!*100</f>
        <v>#REF!</v>
      </c>
      <c r="L119" s="85">
        <f aca="true" t="shared" si="44" ref="L119:L125">J119/H119*100</f>
        <v>8.625864543912305</v>
      </c>
      <c r="M119" s="167"/>
      <c r="N119" s="167"/>
      <c r="O119" s="85">
        <f t="shared" si="27"/>
        <v>11.13544474393531</v>
      </c>
      <c r="P119" s="85">
        <f t="shared" si="24"/>
        <v>12.682271680736758</v>
      </c>
      <c r="Q119" s="80">
        <f t="shared" si="25"/>
        <v>2.536162375781759</v>
      </c>
    </row>
    <row r="120" spans="1:17" ht="12.75">
      <c r="A120" s="77" t="s">
        <v>180</v>
      </c>
      <c r="B120" s="77"/>
      <c r="C120" s="86" t="s">
        <v>181</v>
      </c>
      <c r="D120" s="168">
        <f>F120+G120+H120+I120</f>
        <v>1884.8</v>
      </c>
      <c r="E120" s="168">
        <f aca="true" t="shared" si="45" ref="E120:E130">F120</f>
        <v>387.2</v>
      </c>
      <c r="F120" s="99">
        <v>387.2</v>
      </c>
      <c r="G120" s="99">
        <v>504.9</v>
      </c>
      <c r="H120" s="72">
        <v>559</v>
      </c>
      <c r="I120" s="73">
        <v>433.7</v>
      </c>
      <c r="J120" s="73">
        <v>30.8</v>
      </c>
      <c r="K120" s="74" t="e">
        <f>J120/#REF!*100</f>
        <v>#REF!</v>
      </c>
      <c r="L120" s="74">
        <f t="shared" si="44"/>
        <v>5.509838998211091</v>
      </c>
      <c r="M120" s="167"/>
      <c r="N120" s="167"/>
      <c r="O120" s="72">
        <f t="shared" si="27"/>
        <v>7.101683191145954</v>
      </c>
      <c r="P120" s="74">
        <f t="shared" si="24"/>
        <v>7.954545454545455</v>
      </c>
      <c r="Q120" s="73">
        <f t="shared" si="25"/>
        <v>1.634125636672326</v>
      </c>
    </row>
    <row r="121" spans="1:17" ht="12.75">
      <c r="A121" s="67" t="s">
        <v>184</v>
      </c>
      <c r="B121" s="67"/>
      <c r="C121" s="86" t="s">
        <v>185</v>
      </c>
      <c r="D121" s="168">
        <f aca="true" t="shared" si="46" ref="D121:D130">F121+G121+H121+I121</f>
        <v>166</v>
      </c>
      <c r="E121" s="168">
        <f t="shared" si="45"/>
        <v>25.5</v>
      </c>
      <c r="F121" s="99">
        <v>25.5</v>
      </c>
      <c r="G121" s="99">
        <v>49.3</v>
      </c>
      <c r="H121" s="72">
        <v>56.8</v>
      </c>
      <c r="I121" s="73">
        <v>34.4</v>
      </c>
      <c r="J121" s="73">
        <v>16.7</v>
      </c>
      <c r="K121" s="74" t="e">
        <f>J121/#REF!*100</f>
        <v>#REF!</v>
      </c>
      <c r="L121" s="74">
        <f t="shared" si="44"/>
        <v>29.401408450704224</v>
      </c>
      <c r="M121" s="167"/>
      <c r="N121" s="167"/>
      <c r="O121" s="72">
        <f t="shared" si="27"/>
        <v>48.54651162790698</v>
      </c>
      <c r="P121" s="74">
        <f t="shared" si="24"/>
        <v>65.49019607843137</v>
      </c>
      <c r="Q121" s="73">
        <f t="shared" si="25"/>
        <v>10.060240963855422</v>
      </c>
    </row>
    <row r="122" spans="1:17" ht="12.75">
      <c r="A122" s="67" t="s">
        <v>186</v>
      </c>
      <c r="B122" s="67"/>
      <c r="C122" s="86" t="s">
        <v>187</v>
      </c>
      <c r="D122" s="168">
        <f t="shared" si="46"/>
        <v>40</v>
      </c>
      <c r="E122" s="168">
        <f t="shared" si="45"/>
        <v>7</v>
      </c>
      <c r="F122" s="99">
        <v>7</v>
      </c>
      <c r="G122" s="99">
        <v>12</v>
      </c>
      <c r="H122" s="72">
        <v>11.6</v>
      </c>
      <c r="I122" s="73">
        <v>9.4</v>
      </c>
      <c r="J122" s="73">
        <v>4.1</v>
      </c>
      <c r="K122" s="74" t="e">
        <f>J122/#REF!*100</f>
        <v>#REF!</v>
      </c>
      <c r="L122" s="74">
        <f t="shared" si="44"/>
        <v>35.3448275862069</v>
      </c>
      <c r="M122" s="167"/>
      <c r="N122" s="167"/>
      <c r="O122" s="72">
        <f t="shared" si="27"/>
        <v>43.617021276595736</v>
      </c>
      <c r="P122" s="74">
        <f t="shared" si="24"/>
        <v>58.57142857142856</v>
      </c>
      <c r="Q122" s="73">
        <f t="shared" si="25"/>
        <v>10.249999999999998</v>
      </c>
    </row>
    <row r="123" spans="1:17" ht="24">
      <c r="A123" s="68" t="s">
        <v>190</v>
      </c>
      <c r="B123" s="68"/>
      <c r="C123" s="86" t="s">
        <v>191</v>
      </c>
      <c r="D123" s="168">
        <f t="shared" si="46"/>
        <v>342.5</v>
      </c>
      <c r="E123" s="168">
        <f t="shared" si="45"/>
        <v>65.5</v>
      </c>
      <c r="F123" s="99">
        <v>65.5</v>
      </c>
      <c r="G123" s="99">
        <v>107.4</v>
      </c>
      <c r="H123" s="72">
        <v>93.3</v>
      </c>
      <c r="I123" s="73">
        <v>76.3</v>
      </c>
      <c r="J123" s="73"/>
      <c r="K123" s="74" t="e">
        <f>J123/#REF!*100</f>
        <v>#REF!</v>
      </c>
      <c r="L123" s="74">
        <f t="shared" si="44"/>
        <v>0</v>
      </c>
      <c r="M123" s="167"/>
      <c r="N123" s="167"/>
      <c r="O123" s="72">
        <f t="shared" si="27"/>
        <v>0</v>
      </c>
      <c r="P123" s="74">
        <f t="shared" si="24"/>
        <v>0</v>
      </c>
      <c r="Q123" s="73">
        <f t="shared" si="25"/>
        <v>0</v>
      </c>
    </row>
    <row r="124" spans="1:17" ht="24">
      <c r="A124" s="88" t="s">
        <v>194</v>
      </c>
      <c r="B124" s="88"/>
      <c r="C124" s="86" t="s">
        <v>195</v>
      </c>
      <c r="D124" s="168">
        <f t="shared" si="46"/>
        <v>80</v>
      </c>
      <c r="E124" s="168">
        <f t="shared" si="45"/>
        <v>16</v>
      </c>
      <c r="F124" s="99">
        <v>16</v>
      </c>
      <c r="G124" s="99">
        <v>23.7</v>
      </c>
      <c r="H124" s="72">
        <v>21.9</v>
      </c>
      <c r="I124" s="73">
        <v>18.4</v>
      </c>
      <c r="J124" s="73"/>
      <c r="K124" s="74" t="e">
        <f>J124/#REF!*100</f>
        <v>#REF!</v>
      </c>
      <c r="L124" s="74">
        <f t="shared" si="44"/>
        <v>0</v>
      </c>
      <c r="M124" s="167"/>
      <c r="N124" s="167"/>
      <c r="O124" s="72">
        <f t="shared" si="27"/>
        <v>0</v>
      </c>
      <c r="P124" s="74">
        <f t="shared" si="24"/>
        <v>0</v>
      </c>
      <c r="Q124" s="73">
        <f t="shared" si="25"/>
        <v>0</v>
      </c>
    </row>
    <row r="125" spans="1:17" ht="24">
      <c r="A125" s="88" t="s">
        <v>196</v>
      </c>
      <c r="B125" s="88"/>
      <c r="C125" s="86" t="s">
        <v>197</v>
      </c>
      <c r="D125" s="168">
        <f t="shared" si="46"/>
        <v>93</v>
      </c>
      <c r="E125" s="168">
        <f t="shared" si="45"/>
        <v>20</v>
      </c>
      <c r="F125" s="99">
        <v>20</v>
      </c>
      <c r="G125" s="99">
        <v>27.9</v>
      </c>
      <c r="H125" s="72">
        <v>23.7</v>
      </c>
      <c r="I125" s="73">
        <v>21.4</v>
      </c>
      <c r="J125" s="73">
        <v>12.5</v>
      </c>
      <c r="K125" s="74" t="e">
        <f>J125/#REF!*100</f>
        <v>#REF!</v>
      </c>
      <c r="L125" s="74">
        <f t="shared" si="44"/>
        <v>52.742616033755276</v>
      </c>
      <c r="M125" s="167"/>
      <c r="N125" s="167"/>
      <c r="O125" s="72">
        <f t="shared" si="27"/>
        <v>58.411214953271035</v>
      </c>
      <c r="P125" s="74">
        <f t="shared" si="24"/>
        <v>62.5</v>
      </c>
      <c r="Q125" s="73">
        <f t="shared" si="25"/>
        <v>13.440860215053764</v>
      </c>
    </row>
    <row r="126" spans="1:17" ht="12.75">
      <c r="A126" s="77" t="s">
        <v>200</v>
      </c>
      <c r="B126" s="77"/>
      <c r="C126" s="86" t="s">
        <v>201</v>
      </c>
      <c r="D126" s="168">
        <f t="shared" si="46"/>
        <v>0</v>
      </c>
      <c r="E126" s="168">
        <f t="shared" si="45"/>
        <v>0</v>
      </c>
      <c r="F126" s="99"/>
      <c r="G126" s="99"/>
      <c r="H126" s="72"/>
      <c r="I126" s="73"/>
      <c r="J126" s="73"/>
      <c r="K126" s="74"/>
      <c r="L126" s="74"/>
      <c r="M126" s="167"/>
      <c r="N126" s="167"/>
      <c r="O126" s="72"/>
      <c r="P126" s="74"/>
      <c r="Q126" s="73"/>
    </row>
    <row r="127" spans="1:17" ht="12.75">
      <c r="A127" s="88" t="s">
        <v>202</v>
      </c>
      <c r="B127" s="108"/>
      <c r="C127" s="71" t="s">
        <v>203</v>
      </c>
      <c r="D127" s="168">
        <f t="shared" si="46"/>
        <v>0</v>
      </c>
      <c r="E127" s="168">
        <f t="shared" si="45"/>
        <v>0</v>
      </c>
      <c r="F127" s="99"/>
      <c r="G127" s="99"/>
      <c r="H127" s="72"/>
      <c r="I127" s="73"/>
      <c r="J127" s="72">
        <v>2</v>
      </c>
      <c r="K127" s="74"/>
      <c r="L127" s="74"/>
      <c r="M127" s="167"/>
      <c r="N127" s="167"/>
      <c r="O127" s="72"/>
      <c r="P127" s="74"/>
      <c r="Q127" s="73"/>
    </row>
    <row r="128" spans="1:17" ht="12.75">
      <c r="A128" s="103" t="s">
        <v>206</v>
      </c>
      <c r="B128" s="103"/>
      <c r="C128" s="91" t="s">
        <v>207</v>
      </c>
      <c r="D128" s="92">
        <f aca="true" t="shared" si="47" ref="D128:J128">D129+D130</f>
        <v>42945.9</v>
      </c>
      <c r="E128" s="92">
        <f t="shared" si="47"/>
        <v>8031.4</v>
      </c>
      <c r="F128" s="92">
        <f t="shared" si="47"/>
        <v>8031.4</v>
      </c>
      <c r="G128" s="92">
        <f t="shared" si="47"/>
        <v>13441.6</v>
      </c>
      <c r="H128" s="92">
        <f t="shared" si="47"/>
        <v>12236.8</v>
      </c>
      <c r="I128" s="92">
        <f t="shared" si="47"/>
        <v>9236.1</v>
      </c>
      <c r="J128" s="92">
        <f t="shared" si="47"/>
        <v>2334.3</v>
      </c>
      <c r="K128" s="85" t="e">
        <f>J128/#REF!*100</f>
        <v>#REF!</v>
      </c>
      <c r="L128" s="85">
        <f>J128/H128*100</f>
        <v>19.076065638075317</v>
      </c>
      <c r="M128" s="167"/>
      <c r="N128" s="167"/>
      <c r="O128" s="93">
        <f t="shared" si="27"/>
        <v>25.273654464546727</v>
      </c>
      <c r="P128" s="85">
        <f t="shared" si="24"/>
        <v>29.06467116567473</v>
      </c>
      <c r="Q128" s="80">
        <f t="shared" si="25"/>
        <v>5.435443197138726</v>
      </c>
    </row>
    <row r="129" spans="1:17" ht="24">
      <c r="A129" s="69" t="s">
        <v>208</v>
      </c>
      <c r="B129" s="67"/>
      <c r="C129" s="94" t="s">
        <v>209</v>
      </c>
      <c r="D129" s="168">
        <f t="shared" si="46"/>
        <v>42945.9</v>
      </c>
      <c r="E129" s="168">
        <f t="shared" si="45"/>
        <v>8031.4</v>
      </c>
      <c r="F129" s="99">
        <v>8031.4</v>
      </c>
      <c r="G129" s="99">
        <v>13441.6</v>
      </c>
      <c r="H129" s="72">
        <v>12236.8</v>
      </c>
      <c r="I129" s="73">
        <v>9236.1</v>
      </c>
      <c r="J129" s="73">
        <v>2334.3</v>
      </c>
      <c r="K129" s="74" t="e">
        <f>J129/#REF!*100</f>
        <v>#REF!</v>
      </c>
      <c r="L129" s="74">
        <f>J129/H129*100</f>
        <v>19.076065638075317</v>
      </c>
      <c r="M129" s="167"/>
      <c r="N129" s="167"/>
      <c r="O129" s="72">
        <f t="shared" si="27"/>
        <v>25.273654464546727</v>
      </c>
      <c r="P129" s="74">
        <f t="shared" si="24"/>
        <v>29.06467116567473</v>
      </c>
      <c r="Q129" s="73">
        <f t="shared" si="25"/>
        <v>5.435443197138726</v>
      </c>
    </row>
    <row r="130" spans="1:17" ht="12.75">
      <c r="A130" s="69" t="s">
        <v>210</v>
      </c>
      <c r="B130" s="69"/>
      <c r="C130" s="95" t="s">
        <v>211</v>
      </c>
      <c r="D130" s="168">
        <f t="shared" si="46"/>
        <v>0</v>
      </c>
      <c r="E130" s="168">
        <f t="shared" si="45"/>
        <v>0</v>
      </c>
      <c r="F130" s="179"/>
      <c r="G130" s="179"/>
      <c r="H130" s="72"/>
      <c r="I130" s="73"/>
      <c r="J130" s="73"/>
      <c r="K130" s="74"/>
      <c r="L130" s="74"/>
      <c r="M130" s="167"/>
      <c r="N130" s="167"/>
      <c r="O130" s="72" t="e">
        <f t="shared" si="27"/>
        <v>#DIV/0!</v>
      </c>
      <c r="P130" s="74"/>
      <c r="Q130" s="73"/>
    </row>
    <row r="131" spans="1:17" ht="12.75">
      <c r="A131" s="77"/>
      <c r="B131" s="78"/>
      <c r="C131" s="79" t="s">
        <v>216</v>
      </c>
      <c r="D131" s="80">
        <f aca="true" t="shared" si="48" ref="D131:J131">D128+D119</f>
        <v>45552.200000000004</v>
      </c>
      <c r="E131" s="80">
        <f t="shared" si="48"/>
        <v>8552.6</v>
      </c>
      <c r="F131" s="93">
        <f t="shared" si="48"/>
        <v>8552.6</v>
      </c>
      <c r="G131" s="93">
        <f t="shared" si="48"/>
        <v>14166.800000000001</v>
      </c>
      <c r="H131" s="93">
        <f t="shared" si="48"/>
        <v>13003.099999999999</v>
      </c>
      <c r="I131" s="80">
        <f t="shared" si="48"/>
        <v>9829.7</v>
      </c>
      <c r="J131" s="80">
        <f t="shared" si="48"/>
        <v>2400.4</v>
      </c>
      <c r="K131" s="85" t="e">
        <f>J131/#REF!*100</f>
        <v>#REF!</v>
      </c>
      <c r="L131" s="85">
        <f>J131/H131*100</f>
        <v>18.460213333743493</v>
      </c>
      <c r="M131" s="167"/>
      <c r="N131" s="171" t="e">
        <f>I131+#REF!+#REF!</f>
        <v>#REF!</v>
      </c>
      <c r="O131" s="93">
        <f t="shared" si="27"/>
        <v>24.4198703927892</v>
      </c>
      <c r="P131" s="85">
        <f t="shared" si="24"/>
        <v>28.066319014100973</v>
      </c>
      <c r="Q131" s="80">
        <f t="shared" si="25"/>
        <v>5.269558879702846</v>
      </c>
    </row>
    <row r="132" spans="1:17" ht="12.75">
      <c r="A132" s="153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5"/>
      <c r="M132" s="167"/>
      <c r="N132" s="167"/>
      <c r="O132" s="96"/>
      <c r="P132" s="85"/>
      <c r="Q132" s="80"/>
    </row>
    <row r="133" spans="1:17" ht="12.75">
      <c r="A133" s="149" t="s">
        <v>224</v>
      </c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85"/>
      <c r="Q133" s="80"/>
    </row>
    <row r="134" spans="1:17" ht="12.75">
      <c r="A134" s="83" t="s">
        <v>178</v>
      </c>
      <c r="B134" s="83"/>
      <c r="C134" s="84" t="s">
        <v>179</v>
      </c>
      <c r="D134" s="85">
        <f aca="true" t="shared" si="49" ref="D134:J134">D135+D137+D139+D141+D138+D142+D140+D143+D136</f>
        <v>14576.5</v>
      </c>
      <c r="E134" s="85">
        <f t="shared" si="49"/>
        <v>3105.5</v>
      </c>
      <c r="F134" s="85">
        <f t="shared" si="49"/>
        <v>3105.5</v>
      </c>
      <c r="G134" s="85">
        <f t="shared" si="49"/>
        <v>3837.6</v>
      </c>
      <c r="H134" s="85">
        <f t="shared" si="49"/>
        <v>4267.1</v>
      </c>
      <c r="I134" s="85">
        <f t="shared" si="49"/>
        <v>3366.3</v>
      </c>
      <c r="J134" s="85">
        <f t="shared" si="49"/>
        <v>677.4999999999999</v>
      </c>
      <c r="K134" s="85" t="e">
        <f>J134/#REF!*100</f>
        <v>#REF!</v>
      </c>
      <c r="L134" s="85">
        <f>J134/H134*100</f>
        <v>15.877293712357336</v>
      </c>
      <c r="M134" s="167"/>
      <c r="N134" s="167"/>
      <c r="O134" s="85">
        <f t="shared" si="27"/>
        <v>20.12595431185574</v>
      </c>
      <c r="P134" s="85">
        <f t="shared" si="24"/>
        <v>21.816132667847363</v>
      </c>
      <c r="Q134" s="80">
        <f t="shared" si="25"/>
        <v>4.6478921551812835</v>
      </c>
    </row>
    <row r="135" spans="1:17" ht="12.75">
      <c r="A135" s="77" t="s">
        <v>180</v>
      </c>
      <c r="B135" s="77"/>
      <c r="C135" s="86" t="s">
        <v>181</v>
      </c>
      <c r="D135" s="99">
        <f>F135+G135+H135+I135</f>
        <v>13125</v>
      </c>
      <c r="E135" s="99">
        <f aca="true" t="shared" si="50" ref="E135:E146">F135</f>
        <v>2750</v>
      </c>
      <c r="F135" s="99">
        <v>2750</v>
      </c>
      <c r="G135" s="99">
        <v>3475</v>
      </c>
      <c r="H135" s="72">
        <v>3900</v>
      </c>
      <c r="I135" s="73">
        <v>3000</v>
      </c>
      <c r="J135" s="73">
        <v>667.3</v>
      </c>
      <c r="K135" s="74" t="e">
        <f>J135/#REF!*100</f>
        <v>#REF!</v>
      </c>
      <c r="L135" s="74">
        <f>J135/H135*100</f>
        <v>17.110256410256408</v>
      </c>
      <c r="M135" s="167"/>
      <c r="N135" s="167"/>
      <c r="O135" s="72">
        <f t="shared" si="27"/>
        <v>22.243333333333332</v>
      </c>
      <c r="P135" s="74">
        <f t="shared" si="24"/>
        <v>24.265454545454546</v>
      </c>
      <c r="Q135" s="73">
        <f t="shared" si="25"/>
        <v>5.084190476190476</v>
      </c>
    </row>
    <row r="136" spans="1:17" ht="12.75">
      <c r="A136" s="67" t="s">
        <v>182</v>
      </c>
      <c r="B136" s="67"/>
      <c r="C136" s="86" t="s">
        <v>183</v>
      </c>
      <c r="D136" s="99">
        <f aca="true" t="shared" si="51" ref="D136:D146">F136+G136+H136+I136</f>
        <v>0</v>
      </c>
      <c r="E136" s="99">
        <f t="shared" si="50"/>
        <v>0</v>
      </c>
      <c r="F136" s="99"/>
      <c r="G136" s="99"/>
      <c r="H136" s="72"/>
      <c r="I136" s="73"/>
      <c r="J136" s="73"/>
      <c r="K136" s="74"/>
      <c r="L136" s="74"/>
      <c r="M136" s="167"/>
      <c r="N136" s="167"/>
      <c r="O136" s="72" t="e">
        <f t="shared" si="27"/>
        <v>#DIV/0!</v>
      </c>
      <c r="P136" s="74"/>
      <c r="Q136" s="73"/>
    </row>
    <row r="137" spans="1:17" ht="12.75">
      <c r="A137" s="67" t="s">
        <v>184</v>
      </c>
      <c r="B137" s="67"/>
      <c r="C137" s="86" t="s">
        <v>185</v>
      </c>
      <c r="D137" s="99">
        <f t="shared" si="51"/>
        <v>387</v>
      </c>
      <c r="E137" s="99">
        <f t="shared" si="50"/>
        <v>95.5</v>
      </c>
      <c r="F137" s="99">
        <v>95.5</v>
      </c>
      <c r="G137" s="99">
        <v>95.5</v>
      </c>
      <c r="H137" s="72">
        <v>98.5</v>
      </c>
      <c r="I137" s="73">
        <v>97.5</v>
      </c>
      <c r="J137" s="73">
        <v>7.9</v>
      </c>
      <c r="K137" s="74" t="e">
        <f>J137/#REF!*100</f>
        <v>#REF!</v>
      </c>
      <c r="L137" s="74">
        <f>J137/H137*100</f>
        <v>8.02030456852792</v>
      </c>
      <c r="M137" s="167"/>
      <c r="N137" s="167"/>
      <c r="O137" s="72">
        <f t="shared" si="27"/>
        <v>8.102564102564102</v>
      </c>
      <c r="P137" s="74">
        <f aca="true" t="shared" si="52" ref="P137:P199">J137*100/E137</f>
        <v>8.272251308900524</v>
      </c>
      <c r="Q137" s="73">
        <f aca="true" t="shared" si="53" ref="Q137:Q199">J137*100/D137</f>
        <v>2.041343669250646</v>
      </c>
    </row>
    <row r="138" spans="1:17" ht="12.75">
      <c r="A138" s="67" t="s">
        <v>186</v>
      </c>
      <c r="B138" s="67"/>
      <c r="C138" s="86" t="s">
        <v>187</v>
      </c>
      <c r="D138" s="99">
        <f t="shared" si="51"/>
        <v>123</v>
      </c>
      <c r="E138" s="99">
        <f t="shared" si="50"/>
        <v>30</v>
      </c>
      <c r="F138" s="99">
        <v>30</v>
      </c>
      <c r="G138" s="99">
        <v>31</v>
      </c>
      <c r="H138" s="72">
        <v>32</v>
      </c>
      <c r="I138" s="73">
        <v>30</v>
      </c>
      <c r="J138" s="73"/>
      <c r="K138" s="74" t="e">
        <f>J138/#REF!*100</f>
        <v>#REF!</v>
      </c>
      <c r="L138" s="74">
        <f>J138/H138*100</f>
        <v>0</v>
      </c>
      <c r="M138" s="167"/>
      <c r="N138" s="167"/>
      <c r="O138" s="72">
        <f t="shared" si="27"/>
        <v>0</v>
      </c>
      <c r="P138" s="74">
        <f t="shared" si="52"/>
        <v>0</v>
      </c>
      <c r="Q138" s="73">
        <f t="shared" si="53"/>
        <v>0</v>
      </c>
    </row>
    <row r="139" spans="1:17" ht="24">
      <c r="A139" s="68" t="s">
        <v>190</v>
      </c>
      <c r="B139" s="68"/>
      <c r="C139" s="86" t="s">
        <v>191</v>
      </c>
      <c r="D139" s="99">
        <f t="shared" si="51"/>
        <v>870.5</v>
      </c>
      <c r="E139" s="99">
        <f t="shared" si="50"/>
        <v>213</v>
      </c>
      <c r="F139" s="99">
        <v>213</v>
      </c>
      <c r="G139" s="99">
        <v>218.1</v>
      </c>
      <c r="H139" s="72">
        <v>218.6</v>
      </c>
      <c r="I139" s="73">
        <v>220.8</v>
      </c>
      <c r="J139" s="73">
        <v>1.3</v>
      </c>
      <c r="K139" s="74" t="e">
        <f>J139/#REF!*100</f>
        <v>#REF!</v>
      </c>
      <c r="L139" s="74">
        <f>J139/H139*100</f>
        <v>0.594693504117109</v>
      </c>
      <c r="M139" s="167"/>
      <c r="N139" s="167"/>
      <c r="O139" s="72">
        <f t="shared" si="27"/>
        <v>0.5887681159420289</v>
      </c>
      <c r="P139" s="74">
        <f t="shared" si="52"/>
        <v>0.6103286384976526</v>
      </c>
      <c r="Q139" s="73">
        <f t="shared" si="53"/>
        <v>0.14933946008041354</v>
      </c>
    </row>
    <row r="140" spans="1:17" ht="24">
      <c r="A140" s="88" t="s">
        <v>194</v>
      </c>
      <c r="B140" s="88"/>
      <c r="C140" s="86" t="s">
        <v>195</v>
      </c>
      <c r="D140" s="99">
        <f t="shared" si="51"/>
        <v>0</v>
      </c>
      <c r="E140" s="99">
        <f t="shared" si="50"/>
        <v>0</v>
      </c>
      <c r="F140" s="99"/>
      <c r="G140" s="99"/>
      <c r="H140" s="72"/>
      <c r="I140" s="73"/>
      <c r="J140" s="73"/>
      <c r="K140" s="74"/>
      <c r="L140" s="74"/>
      <c r="M140" s="167"/>
      <c r="N140" s="167"/>
      <c r="O140" s="72" t="e">
        <f aca="true" t="shared" si="54" ref="O140:O203">J140*100/I140</f>
        <v>#DIV/0!</v>
      </c>
      <c r="P140" s="74" t="e">
        <f t="shared" si="52"/>
        <v>#DIV/0!</v>
      </c>
      <c r="Q140" s="73" t="e">
        <f t="shared" si="53"/>
        <v>#DIV/0!</v>
      </c>
    </row>
    <row r="141" spans="1:17" ht="24">
      <c r="A141" s="87" t="s">
        <v>196</v>
      </c>
      <c r="B141" s="87"/>
      <c r="C141" s="86" t="s">
        <v>197</v>
      </c>
      <c r="D141" s="99">
        <f t="shared" si="51"/>
        <v>71</v>
      </c>
      <c r="E141" s="99">
        <f t="shared" si="50"/>
        <v>17</v>
      </c>
      <c r="F141" s="99">
        <v>17</v>
      </c>
      <c r="G141" s="99">
        <v>18</v>
      </c>
      <c r="H141" s="72">
        <v>18</v>
      </c>
      <c r="I141" s="73">
        <v>18</v>
      </c>
      <c r="J141" s="73">
        <v>1</v>
      </c>
      <c r="K141" s="74" t="e">
        <f>J141/#REF!*100</f>
        <v>#REF!</v>
      </c>
      <c r="L141" s="74">
        <f>J141/H141*100</f>
        <v>5.555555555555555</v>
      </c>
      <c r="M141" s="167"/>
      <c r="N141" s="167"/>
      <c r="O141" s="72">
        <f t="shared" si="54"/>
        <v>5.555555555555555</v>
      </c>
      <c r="P141" s="74">
        <f t="shared" si="52"/>
        <v>5.882352941176471</v>
      </c>
      <c r="Q141" s="73">
        <f t="shared" si="53"/>
        <v>1.408450704225352</v>
      </c>
    </row>
    <row r="142" spans="1:17" ht="12.75">
      <c r="A142" s="77" t="s">
        <v>200</v>
      </c>
      <c r="B142" s="77"/>
      <c r="C142" s="86" t="s">
        <v>201</v>
      </c>
      <c r="D142" s="99">
        <f t="shared" si="51"/>
        <v>0</v>
      </c>
      <c r="E142" s="99">
        <f t="shared" si="50"/>
        <v>0</v>
      </c>
      <c r="F142" s="99"/>
      <c r="G142" s="99"/>
      <c r="H142" s="72"/>
      <c r="I142" s="73"/>
      <c r="J142" s="73"/>
      <c r="K142" s="74" t="e">
        <f>J142/#REF!*100</f>
        <v>#REF!</v>
      </c>
      <c r="L142" s="74"/>
      <c r="M142" s="167"/>
      <c r="N142" s="167"/>
      <c r="O142" s="72" t="e">
        <f t="shared" si="54"/>
        <v>#DIV/0!</v>
      </c>
      <c r="P142" s="74"/>
      <c r="Q142" s="73"/>
    </row>
    <row r="143" spans="1:17" ht="12.75">
      <c r="A143" s="87" t="s">
        <v>202</v>
      </c>
      <c r="B143" s="109"/>
      <c r="C143" s="71" t="s">
        <v>203</v>
      </c>
      <c r="D143" s="99">
        <f t="shared" si="51"/>
        <v>0</v>
      </c>
      <c r="E143" s="99">
        <f t="shared" si="50"/>
        <v>0</v>
      </c>
      <c r="F143" s="181"/>
      <c r="G143" s="181"/>
      <c r="H143" s="72"/>
      <c r="I143" s="73"/>
      <c r="J143" s="73"/>
      <c r="K143" s="74"/>
      <c r="L143" s="74"/>
      <c r="M143" s="167"/>
      <c r="N143" s="167"/>
      <c r="O143" s="72" t="e">
        <f t="shared" si="54"/>
        <v>#DIV/0!</v>
      </c>
      <c r="P143" s="85" t="e">
        <f t="shared" si="52"/>
        <v>#DIV/0!</v>
      </c>
      <c r="Q143" s="80" t="e">
        <f t="shared" si="53"/>
        <v>#DIV/0!</v>
      </c>
    </row>
    <row r="144" spans="1:17" ht="12.75">
      <c r="A144" s="87" t="s">
        <v>204</v>
      </c>
      <c r="B144" s="109"/>
      <c r="C144" s="71" t="s">
        <v>205</v>
      </c>
      <c r="D144" s="99" t="e">
        <f t="shared" si="51"/>
        <v>#REF!</v>
      </c>
      <c r="E144" s="99">
        <f t="shared" si="50"/>
        <v>0</v>
      </c>
      <c r="F144" s="181"/>
      <c r="G144" s="181"/>
      <c r="H144" s="72" t="e">
        <f>I144+#REF!+#REF!+#REF!</f>
        <v>#REF!</v>
      </c>
      <c r="I144" s="73"/>
      <c r="J144" s="73"/>
      <c r="K144" s="85"/>
      <c r="L144" s="85"/>
      <c r="M144" s="167"/>
      <c r="N144" s="167"/>
      <c r="O144" s="72" t="e">
        <f t="shared" si="54"/>
        <v>#DIV/0!</v>
      </c>
      <c r="P144" s="85" t="e">
        <f t="shared" si="52"/>
        <v>#DIV/0!</v>
      </c>
      <c r="Q144" s="80" t="e">
        <f t="shared" si="53"/>
        <v>#REF!</v>
      </c>
    </row>
    <row r="145" spans="1:17" ht="12.75">
      <c r="A145" s="83" t="s">
        <v>206</v>
      </c>
      <c r="B145" s="83"/>
      <c r="C145" s="91" t="s">
        <v>207</v>
      </c>
      <c r="D145" s="92">
        <f aca="true" t="shared" si="55" ref="D145:J145">D146</f>
        <v>27590.9</v>
      </c>
      <c r="E145" s="92">
        <f t="shared" si="55"/>
        <v>5307.8</v>
      </c>
      <c r="F145" s="92">
        <f t="shared" si="55"/>
        <v>5307.8</v>
      </c>
      <c r="G145" s="92">
        <f t="shared" si="55"/>
        <v>7200.2</v>
      </c>
      <c r="H145" s="92">
        <f t="shared" si="55"/>
        <v>7602.8</v>
      </c>
      <c r="I145" s="92">
        <f t="shared" si="55"/>
        <v>7480.1</v>
      </c>
      <c r="J145" s="92">
        <f t="shared" si="55"/>
        <v>1528.9</v>
      </c>
      <c r="K145" s="85" t="e">
        <f>J145/#REF!*100</f>
        <v>#REF!</v>
      </c>
      <c r="L145" s="85">
        <f>J145/H145*100</f>
        <v>20.109696427631928</v>
      </c>
      <c r="M145" s="167"/>
      <c r="N145" s="167"/>
      <c r="O145" s="93">
        <f t="shared" si="54"/>
        <v>20.43956631595834</v>
      </c>
      <c r="P145" s="85">
        <f t="shared" si="52"/>
        <v>28.80477787407212</v>
      </c>
      <c r="Q145" s="80">
        <f t="shared" si="53"/>
        <v>5.541319782971922</v>
      </c>
    </row>
    <row r="146" spans="1:17" ht="24">
      <c r="A146" s="69" t="s">
        <v>208</v>
      </c>
      <c r="B146" s="67"/>
      <c r="C146" s="94" t="s">
        <v>209</v>
      </c>
      <c r="D146" s="99">
        <f t="shared" si="51"/>
        <v>27590.9</v>
      </c>
      <c r="E146" s="99">
        <f t="shared" si="50"/>
        <v>5307.8</v>
      </c>
      <c r="F146" s="99">
        <v>5307.8</v>
      </c>
      <c r="G146" s="99">
        <v>7200.2</v>
      </c>
      <c r="H146" s="72">
        <v>7602.8</v>
      </c>
      <c r="I146" s="73">
        <v>7480.1</v>
      </c>
      <c r="J146" s="73">
        <v>1528.9</v>
      </c>
      <c r="K146" s="74" t="e">
        <f>J146/#REF!*100</f>
        <v>#REF!</v>
      </c>
      <c r="L146" s="74">
        <f>J146/H146*100</f>
        <v>20.109696427631928</v>
      </c>
      <c r="M146" s="167"/>
      <c r="N146" s="167"/>
      <c r="O146" s="72">
        <f t="shared" si="54"/>
        <v>20.43956631595834</v>
      </c>
      <c r="P146" s="74">
        <f t="shared" si="52"/>
        <v>28.80477787407212</v>
      </c>
      <c r="Q146" s="73">
        <f t="shared" si="53"/>
        <v>5.541319782971922</v>
      </c>
    </row>
    <row r="147" spans="1:17" ht="12.75">
      <c r="A147" s="77"/>
      <c r="B147" s="78"/>
      <c r="C147" s="79" t="s">
        <v>216</v>
      </c>
      <c r="D147" s="80">
        <f aca="true" t="shared" si="56" ref="D147:J147">D145+D134</f>
        <v>42167.4</v>
      </c>
      <c r="E147" s="80">
        <f t="shared" si="56"/>
        <v>8413.3</v>
      </c>
      <c r="F147" s="80">
        <f t="shared" si="56"/>
        <v>8413.3</v>
      </c>
      <c r="G147" s="80">
        <f t="shared" si="56"/>
        <v>11037.8</v>
      </c>
      <c r="H147" s="80">
        <f t="shared" si="56"/>
        <v>11869.900000000001</v>
      </c>
      <c r="I147" s="80">
        <f t="shared" si="56"/>
        <v>10846.400000000001</v>
      </c>
      <c r="J147" s="80">
        <f t="shared" si="56"/>
        <v>2206.4</v>
      </c>
      <c r="K147" s="85" t="e">
        <f>J147/#REF!*100</f>
        <v>#REF!</v>
      </c>
      <c r="L147" s="85">
        <f>J147/H147*100</f>
        <v>18.588193666332486</v>
      </c>
      <c r="M147" s="167"/>
      <c r="N147" s="171" t="e">
        <f>I147+#REF!+#REF!</f>
        <v>#REF!</v>
      </c>
      <c r="O147" s="93">
        <f t="shared" si="54"/>
        <v>20.34223336775335</v>
      </c>
      <c r="P147" s="85">
        <f t="shared" si="52"/>
        <v>26.22514352275564</v>
      </c>
      <c r="Q147" s="80">
        <f t="shared" si="53"/>
        <v>5.23247817034012</v>
      </c>
    </row>
    <row r="148" spans="1:17" ht="12.75">
      <c r="A148" s="150"/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2"/>
      <c r="M148" s="167"/>
      <c r="N148" s="167"/>
      <c r="O148" s="96"/>
      <c r="P148" s="85"/>
      <c r="Q148" s="80"/>
    </row>
    <row r="149" spans="1:17" ht="12.75">
      <c r="A149" s="149" t="s">
        <v>225</v>
      </c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85"/>
      <c r="Q149" s="80"/>
    </row>
    <row r="150" spans="1:17" ht="12.75">
      <c r="A150" s="83" t="s">
        <v>178</v>
      </c>
      <c r="B150" s="83"/>
      <c r="C150" s="84" t="s">
        <v>179</v>
      </c>
      <c r="D150" s="85">
        <f aca="true" t="shared" si="57" ref="D150:J150">D151+D152+D153+D154+D156+D157+D158+D155</f>
        <v>3415.5</v>
      </c>
      <c r="E150" s="85">
        <f t="shared" si="57"/>
        <v>686</v>
      </c>
      <c r="F150" s="85">
        <f t="shared" si="57"/>
        <v>686</v>
      </c>
      <c r="G150" s="85">
        <f t="shared" si="57"/>
        <v>963</v>
      </c>
      <c r="H150" s="85">
        <f t="shared" si="57"/>
        <v>861</v>
      </c>
      <c r="I150" s="85">
        <f t="shared" si="57"/>
        <v>905.5</v>
      </c>
      <c r="J150" s="85">
        <f t="shared" si="57"/>
        <v>212.20000000000005</v>
      </c>
      <c r="K150" s="85" t="e">
        <f>J150/#REF!*100</f>
        <v>#REF!</v>
      </c>
      <c r="L150" s="85">
        <f aca="true" t="shared" si="58" ref="L150:L156">J150/H150*100</f>
        <v>24.645760743321723</v>
      </c>
      <c r="M150" s="167"/>
      <c r="N150" s="167"/>
      <c r="O150" s="85">
        <f t="shared" si="54"/>
        <v>23.43456653782441</v>
      </c>
      <c r="P150" s="85">
        <f t="shared" si="52"/>
        <v>30.932944606414</v>
      </c>
      <c r="Q150" s="80">
        <f t="shared" si="53"/>
        <v>6.21285316937491</v>
      </c>
    </row>
    <row r="151" spans="1:17" ht="12.75">
      <c r="A151" s="77" t="s">
        <v>180</v>
      </c>
      <c r="B151" s="77"/>
      <c r="C151" s="86" t="s">
        <v>181</v>
      </c>
      <c r="D151" s="99">
        <f>F151+G151+H151+I151</f>
        <v>2940</v>
      </c>
      <c r="E151" s="168">
        <f aca="true" t="shared" si="59" ref="E151:E161">F151</f>
        <v>550</v>
      </c>
      <c r="F151" s="168">
        <v>550</v>
      </c>
      <c r="G151" s="168">
        <v>870</v>
      </c>
      <c r="H151" s="72">
        <v>750</v>
      </c>
      <c r="I151" s="73">
        <v>770</v>
      </c>
      <c r="J151" s="73">
        <v>173.3</v>
      </c>
      <c r="K151" s="74" t="e">
        <f>J151/#REF!*100</f>
        <v>#REF!</v>
      </c>
      <c r="L151" s="74">
        <f t="shared" si="58"/>
        <v>23.106666666666666</v>
      </c>
      <c r="M151" s="167"/>
      <c r="N151" s="167"/>
      <c r="O151" s="72">
        <f t="shared" si="54"/>
        <v>22.506493506493506</v>
      </c>
      <c r="P151" s="74">
        <f t="shared" si="52"/>
        <v>31.509090909090908</v>
      </c>
      <c r="Q151" s="73">
        <f t="shared" si="53"/>
        <v>5.894557823129252</v>
      </c>
    </row>
    <row r="152" spans="1:17" ht="12.75">
      <c r="A152" s="67" t="s">
        <v>184</v>
      </c>
      <c r="B152" s="67"/>
      <c r="C152" s="86" t="s">
        <v>185</v>
      </c>
      <c r="D152" s="99">
        <f aca="true" t="shared" si="60" ref="D152:D160">F152+G152+H152+I152</f>
        <v>252</v>
      </c>
      <c r="E152" s="168">
        <f t="shared" si="59"/>
        <v>46</v>
      </c>
      <c r="F152" s="168">
        <v>46</v>
      </c>
      <c r="G152" s="168">
        <v>47</v>
      </c>
      <c r="H152" s="72">
        <v>66</v>
      </c>
      <c r="I152" s="73">
        <v>93</v>
      </c>
      <c r="J152" s="73">
        <v>-0.1</v>
      </c>
      <c r="K152" s="74" t="e">
        <f>J152/#REF!*100</f>
        <v>#REF!</v>
      </c>
      <c r="L152" s="74">
        <f t="shared" si="58"/>
        <v>-0.15151515151515152</v>
      </c>
      <c r="M152" s="167"/>
      <c r="N152" s="167"/>
      <c r="O152" s="72">
        <f t="shared" si="54"/>
        <v>-0.10752688172043011</v>
      </c>
      <c r="P152" s="74">
        <f t="shared" si="52"/>
        <v>-0.21739130434782608</v>
      </c>
      <c r="Q152" s="73">
        <f t="shared" si="53"/>
        <v>-0.03968253968253968</v>
      </c>
    </row>
    <row r="153" spans="1:17" ht="12.75">
      <c r="A153" s="67" t="s">
        <v>186</v>
      </c>
      <c r="B153" s="67"/>
      <c r="C153" s="86" t="s">
        <v>187</v>
      </c>
      <c r="D153" s="99">
        <f t="shared" si="60"/>
        <v>47</v>
      </c>
      <c r="E153" s="168">
        <f t="shared" si="59"/>
        <v>8</v>
      </c>
      <c r="F153" s="168">
        <v>8</v>
      </c>
      <c r="G153" s="168">
        <v>14</v>
      </c>
      <c r="H153" s="72">
        <v>13</v>
      </c>
      <c r="I153" s="73">
        <v>12</v>
      </c>
      <c r="J153" s="73">
        <v>11.8</v>
      </c>
      <c r="K153" s="74" t="e">
        <f>J153/#REF!*100</f>
        <v>#REF!</v>
      </c>
      <c r="L153" s="74">
        <f t="shared" si="58"/>
        <v>90.76923076923077</v>
      </c>
      <c r="M153" s="167"/>
      <c r="N153" s="167"/>
      <c r="O153" s="72">
        <f t="shared" si="54"/>
        <v>98.33333333333333</v>
      </c>
      <c r="P153" s="74">
        <f t="shared" si="52"/>
        <v>147.5</v>
      </c>
      <c r="Q153" s="73">
        <f t="shared" si="53"/>
        <v>25.106382978723403</v>
      </c>
    </row>
    <row r="154" spans="1:17" ht="24">
      <c r="A154" s="68" t="s">
        <v>190</v>
      </c>
      <c r="B154" s="68"/>
      <c r="C154" s="86" t="s">
        <v>191</v>
      </c>
      <c r="D154" s="99">
        <f t="shared" si="60"/>
        <v>98</v>
      </c>
      <c r="E154" s="168">
        <f t="shared" si="59"/>
        <v>62</v>
      </c>
      <c r="F154" s="168">
        <v>62</v>
      </c>
      <c r="G154" s="168">
        <v>12</v>
      </c>
      <c r="H154" s="72">
        <v>12</v>
      </c>
      <c r="I154" s="73">
        <v>12</v>
      </c>
      <c r="J154" s="73">
        <v>5.3</v>
      </c>
      <c r="K154" s="74" t="e">
        <f>J154/#REF!*100</f>
        <v>#REF!</v>
      </c>
      <c r="L154" s="74">
        <f t="shared" si="58"/>
        <v>44.166666666666664</v>
      </c>
      <c r="M154" s="167"/>
      <c r="N154" s="167"/>
      <c r="O154" s="72">
        <f t="shared" si="54"/>
        <v>44.166666666666664</v>
      </c>
      <c r="P154" s="74">
        <f t="shared" si="52"/>
        <v>8.548387096774194</v>
      </c>
      <c r="Q154" s="73">
        <f t="shared" si="53"/>
        <v>5.408163265306122</v>
      </c>
    </row>
    <row r="155" spans="1:17" ht="24">
      <c r="A155" s="88" t="s">
        <v>194</v>
      </c>
      <c r="B155" s="88"/>
      <c r="C155" s="86" t="s">
        <v>195</v>
      </c>
      <c r="D155" s="99">
        <f t="shared" si="60"/>
        <v>60</v>
      </c>
      <c r="E155" s="168">
        <f t="shared" si="59"/>
        <v>15</v>
      </c>
      <c r="F155" s="168">
        <v>15</v>
      </c>
      <c r="G155" s="168">
        <v>15</v>
      </c>
      <c r="H155" s="72">
        <v>15</v>
      </c>
      <c r="I155" s="73">
        <v>15</v>
      </c>
      <c r="J155" s="73">
        <v>18.8</v>
      </c>
      <c r="K155" s="74" t="e">
        <f>J155/#REF!*100</f>
        <v>#REF!</v>
      </c>
      <c r="L155" s="74">
        <f t="shared" si="58"/>
        <v>125.33333333333334</v>
      </c>
      <c r="M155" s="167"/>
      <c r="N155" s="167"/>
      <c r="O155" s="72">
        <f t="shared" si="54"/>
        <v>125.33333333333333</v>
      </c>
      <c r="P155" s="74">
        <f t="shared" si="52"/>
        <v>125.33333333333333</v>
      </c>
      <c r="Q155" s="73">
        <f t="shared" si="53"/>
        <v>31.333333333333332</v>
      </c>
    </row>
    <row r="156" spans="1:17" ht="24">
      <c r="A156" s="87" t="s">
        <v>196</v>
      </c>
      <c r="B156" s="87"/>
      <c r="C156" s="86" t="s">
        <v>197</v>
      </c>
      <c r="D156" s="99">
        <f t="shared" si="60"/>
        <v>18.5</v>
      </c>
      <c r="E156" s="168">
        <f t="shared" si="59"/>
        <v>5</v>
      </c>
      <c r="F156" s="168">
        <v>5</v>
      </c>
      <c r="G156" s="168">
        <v>5</v>
      </c>
      <c r="H156" s="72">
        <v>5</v>
      </c>
      <c r="I156" s="73">
        <v>3.5</v>
      </c>
      <c r="J156" s="73">
        <v>3.1</v>
      </c>
      <c r="K156" s="74" t="e">
        <f>J156/#REF!*100</f>
        <v>#REF!</v>
      </c>
      <c r="L156" s="74">
        <f t="shared" si="58"/>
        <v>62</v>
      </c>
      <c r="M156" s="167"/>
      <c r="N156" s="167"/>
      <c r="O156" s="72">
        <f t="shared" si="54"/>
        <v>88.57142857142857</v>
      </c>
      <c r="P156" s="74">
        <f t="shared" si="52"/>
        <v>62</v>
      </c>
      <c r="Q156" s="73">
        <f t="shared" si="53"/>
        <v>16.756756756756758</v>
      </c>
    </row>
    <row r="157" spans="1:17" ht="12.75">
      <c r="A157" s="77" t="s">
        <v>200</v>
      </c>
      <c r="B157" s="77"/>
      <c r="C157" s="86" t="s">
        <v>201</v>
      </c>
      <c r="D157" s="99">
        <f t="shared" si="60"/>
        <v>0</v>
      </c>
      <c r="E157" s="168">
        <f t="shared" si="59"/>
        <v>0</v>
      </c>
      <c r="F157" s="168"/>
      <c r="G157" s="168"/>
      <c r="H157" s="72"/>
      <c r="I157" s="73"/>
      <c r="J157" s="73"/>
      <c r="K157" s="74"/>
      <c r="L157" s="74"/>
      <c r="M157" s="167"/>
      <c r="N157" s="167"/>
      <c r="O157" s="72" t="e">
        <f t="shared" si="54"/>
        <v>#DIV/0!</v>
      </c>
      <c r="P157" s="85" t="e">
        <f t="shared" si="52"/>
        <v>#DIV/0!</v>
      </c>
      <c r="Q157" s="80" t="e">
        <f t="shared" si="53"/>
        <v>#DIV/0!</v>
      </c>
    </row>
    <row r="158" spans="1:17" ht="12.75">
      <c r="A158" s="102" t="s">
        <v>202</v>
      </c>
      <c r="B158" s="90"/>
      <c r="C158" s="71" t="s">
        <v>203</v>
      </c>
      <c r="D158" s="99">
        <f t="shared" si="60"/>
        <v>0</v>
      </c>
      <c r="E158" s="168">
        <f t="shared" si="59"/>
        <v>0</v>
      </c>
      <c r="F158" s="173"/>
      <c r="G158" s="173"/>
      <c r="H158" s="72"/>
      <c r="I158" s="73"/>
      <c r="J158" s="73"/>
      <c r="K158" s="74"/>
      <c r="L158" s="74"/>
      <c r="M158" s="167"/>
      <c r="N158" s="167"/>
      <c r="O158" s="72" t="e">
        <f t="shared" si="54"/>
        <v>#DIV/0!</v>
      </c>
      <c r="P158" s="85" t="e">
        <f t="shared" si="52"/>
        <v>#DIV/0!</v>
      </c>
      <c r="Q158" s="80" t="e">
        <f t="shared" si="53"/>
        <v>#DIV/0!</v>
      </c>
    </row>
    <row r="159" spans="1:17" ht="12.75">
      <c r="A159" s="83" t="s">
        <v>206</v>
      </c>
      <c r="B159" s="83"/>
      <c r="C159" s="91" t="s">
        <v>207</v>
      </c>
      <c r="D159" s="92">
        <f aca="true" t="shared" si="61" ref="D159:J159">D160+D161</f>
        <v>22066.3</v>
      </c>
      <c r="E159" s="182">
        <f t="shared" si="61"/>
        <v>4532.2</v>
      </c>
      <c r="F159" s="182">
        <f t="shared" si="61"/>
        <v>4532.2</v>
      </c>
      <c r="G159" s="182">
        <f t="shared" si="61"/>
        <v>6157.8</v>
      </c>
      <c r="H159" s="92">
        <f t="shared" si="61"/>
        <v>6655.3</v>
      </c>
      <c r="I159" s="92">
        <f t="shared" si="61"/>
        <v>4721</v>
      </c>
      <c r="J159" s="92">
        <f t="shared" si="61"/>
        <v>1367.7</v>
      </c>
      <c r="K159" s="85" t="e">
        <f>J159/#REF!*100</f>
        <v>#REF!</v>
      </c>
      <c r="L159" s="85">
        <f>J159/H159*100</f>
        <v>20.55053866842967</v>
      </c>
      <c r="M159" s="167"/>
      <c r="N159" s="167"/>
      <c r="O159" s="93">
        <f t="shared" si="54"/>
        <v>28.97055708536327</v>
      </c>
      <c r="P159" s="85">
        <f t="shared" si="52"/>
        <v>30.177397290499098</v>
      </c>
      <c r="Q159" s="80">
        <f t="shared" si="53"/>
        <v>6.198139244005565</v>
      </c>
    </row>
    <row r="160" spans="1:17" ht="24">
      <c r="A160" s="69" t="s">
        <v>208</v>
      </c>
      <c r="B160" s="67"/>
      <c r="C160" s="94" t="s">
        <v>209</v>
      </c>
      <c r="D160" s="99">
        <f t="shared" si="60"/>
        <v>22066.3</v>
      </c>
      <c r="E160" s="168">
        <f t="shared" si="59"/>
        <v>4532.2</v>
      </c>
      <c r="F160" s="168">
        <v>4532.2</v>
      </c>
      <c r="G160" s="168">
        <v>6157.8</v>
      </c>
      <c r="H160" s="72">
        <v>6655.3</v>
      </c>
      <c r="I160" s="73">
        <v>4721</v>
      </c>
      <c r="J160" s="73">
        <v>1367.7</v>
      </c>
      <c r="K160" s="74" t="e">
        <f>J160/#REF!*100</f>
        <v>#REF!</v>
      </c>
      <c r="L160" s="74">
        <f>J160/H160*100</f>
        <v>20.55053866842967</v>
      </c>
      <c r="M160" s="167"/>
      <c r="N160" s="167"/>
      <c r="O160" s="72">
        <f t="shared" si="54"/>
        <v>28.97055708536327</v>
      </c>
      <c r="P160" s="74">
        <f t="shared" si="52"/>
        <v>30.177397290499098</v>
      </c>
      <c r="Q160" s="73">
        <f t="shared" si="53"/>
        <v>6.198139244005565</v>
      </c>
    </row>
    <row r="161" spans="1:17" ht="12.75">
      <c r="A161" s="69" t="s">
        <v>210</v>
      </c>
      <c r="B161" s="69"/>
      <c r="C161" s="95" t="s">
        <v>211</v>
      </c>
      <c r="D161" s="99">
        <f>F161+G161+H161+I161</f>
        <v>0</v>
      </c>
      <c r="E161" s="168">
        <f t="shared" si="59"/>
        <v>0</v>
      </c>
      <c r="F161" s="169"/>
      <c r="G161" s="169"/>
      <c r="H161" s="72"/>
      <c r="I161" s="73"/>
      <c r="J161" s="73"/>
      <c r="K161" s="74" t="e">
        <f>J161/#REF!*100</f>
        <v>#REF!</v>
      </c>
      <c r="L161" s="74"/>
      <c r="M161" s="167"/>
      <c r="N161" s="167"/>
      <c r="O161" s="72" t="e">
        <f t="shared" si="54"/>
        <v>#DIV/0!</v>
      </c>
      <c r="P161" s="74"/>
      <c r="Q161" s="73"/>
    </row>
    <row r="162" spans="1:17" ht="12.75">
      <c r="A162" s="77"/>
      <c r="B162" s="78"/>
      <c r="C162" s="79" t="s">
        <v>216</v>
      </c>
      <c r="D162" s="80">
        <f aca="true" t="shared" si="62" ref="D162:J162">D159+D150</f>
        <v>25481.8</v>
      </c>
      <c r="E162" s="80">
        <f t="shared" si="62"/>
        <v>5218.2</v>
      </c>
      <c r="F162" s="80">
        <f t="shared" si="62"/>
        <v>5218.2</v>
      </c>
      <c r="G162" s="80">
        <f t="shared" si="62"/>
        <v>7120.8</v>
      </c>
      <c r="H162" s="80">
        <f t="shared" si="62"/>
        <v>7516.3</v>
      </c>
      <c r="I162" s="80">
        <f t="shared" si="62"/>
        <v>5626.5</v>
      </c>
      <c r="J162" s="80">
        <f t="shared" si="62"/>
        <v>1579.9</v>
      </c>
      <c r="K162" s="85" t="e">
        <f>J162/#REF!*100</f>
        <v>#REF!</v>
      </c>
      <c r="L162" s="85">
        <f>J162/H162*100</f>
        <v>21.019650625972886</v>
      </c>
      <c r="M162" s="167"/>
      <c r="N162" s="171" t="e">
        <f>I162+#REF!+#REF!</f>
        <v>#REF!</v>
      </c>
      <c r="O162" s="93">
        <f t="shared" si="54"/>
        <v>28.07962321158802</v>
      </c>
      <c r="P162" s="85">
        <f t="shared" si="52"/>
        <v>30.276723774481624</v>
      </c>
      <c r="Q162" s="80">
        <f t="shared" si="53"/>
        <v>6.200111452095221</v>
      </c>
    </row>
    <row r="163" spans="1:17" ht="12.75">
      <c r="A163" s="150"/>
      <c r="B163" s="151"/>
      <c r="C163" s="151"/>
      <c r="D163" s="151"/>
      <c r="E163" s="151"/>
      <c r="F163" s="151"/>
      <c r="G163" s="151"/>
      <c r="H163" s="151"/>
      <c r="I163" s="151"/>
      <c r="J163" s="151"/>
      <c r="K163" s="151"/>
      <c r="L163" s="152"/>
      <c r="M163" s="167"/>
      <c r="N163" s="167"/>
      <c r="O163" s="96"/>
      <c r="P163" s="85"/>
      <c r="Q163" s="80"/>
    </row>
    <row r="164" spans="1:17" ht="12.75">
      <c r="A164" s="149" t="s">
        <v>226</v>
      </c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85"/>
      <c r="Q164" s="80"/>
    </row>
    <row r="165" spans="1:17" ht="12.75">
      <c r="A165" s="83" t="s">
        <v>178</v>
      </c>
      <c r="B165" s="83"/>
      <c r="C165" s="84" t="s">
        <v>179</v>
      </c>
      <c r="D165" s="85">
        <f aca="true" t="shared" si="63" ref="D165:J165">D166+D167+D168+D169+D170+D172+D174+D173+D171</f>
        <v>16510.5</v>
      </c>
      <c r="E165" s="85">
        <f t="shared" si="63"/>
        <v>3077</v>
      </c>
      <c r="F165" s="85">
        <f t="shared" si="63"/>
        <v>3077</v>
      </c>
      <c r="G165" s="85">
        <f t="shared" si="63"/>
        <v>3914</v>
      </c>
      <c r="H165" s="85">
        <f t="shared" si="63"/>
        <v>3080</v>
      </c>
      <c r="I165" s="85">
        <f t="shared" si="63"/>
        <v>6439.5</v>
      </c>
      <c r="J165" s="85">
        <f t="shared" si="63"/>
        <v>910.9000000000001</v>
      </c>
      <c r="K165" s="85" t="e">
        <f>J165/#REF!*100</f>
        <v>#REF!</v>
      </c>
      <c r="L165" s="85">
        <f>J165/H165*100</f>
        <v>29.574675324675326</v>
      </c>
      <c r="M165" s="167"/>
      <c r="N165" s="167"/>
      <c r="O165" s="85">
        <f t="shared" si="54"/>
        <v>14.145508191629787</v>
      </c>
      <c r="P165" s="85">
        <f t="shared" si="52"/>
        <v>29.6035099122522</v>
      </c>
      <c r="Q165" s="80">
        <f t="shared" si="53"/>
        <v>5.517095181853972</v>
      </c>
    </row>
    <row r="166" spans="1:17" ht="12.75">
      <c r="A166" s="77" t="s">
        <v>180</v>
      </c>
      <c r="B166" s="77"/>
      <c r="C166" s="86" t="s">
        <v>181</v>
      </c>
      <c r="D166" s="99">
        <f>F166+G166+H166+I166</f>
        <v>13545</v>
      </c>
      <c r="E166" s="99">
        <f aca="true" t="shared" si="64" ref="E166:E176">F166</f>
        <v>2600</v>
      </c>
      <c r="F166" s="99">
        <v>2600</v>
      </c>
      <c r="G166" s="99">
        <v>3272</v>
      </c>
      <c r="H166" s="72">
        <v>2473</v>
      </c>
      <c r="I166" s="73">
        <v>5200</v>
      </c>
      <c r="J166" s="73">
        <v>843.7</v>
      </c>
      <c r="K166" s="74" t="e">
        <f>J166/#REF!*100</f>
        <v>#REF!</v>
      </c>
      <c r="L166" s="74">
        <f>J166/H166*100</f>
        <v>34.116457743631216</v>
      </c>
      <c r="M166" s="167"/>
      <c r="N166" s="167"/>
      <c r="O166" s="72">
        <f t="shared" si="54"/>
        <v>16.225</v>
      </c>
      <c r="P166" s="74">
        <f t="shared" si="52"/>
        <v>32.45</v>
      </c>
      <c r="Q166" s="73">
        <f t="shared" si="53"/>
        <v>6.228866740494648</v>
      </c>
    </row>
    <row r="167" spans="1:17" ht="12.75">
      <c r="A167" s="67" t="s">
        <v>182</v>
      </c>
      <c r="B167" s="67"/>
      <c r="C167" s="86" t="s">
        <v>183</v>
      </c>
      <c r="D167" s="99">
        <f aca="true" t="shared" si="65" ref="D167:D176">F167+G167+H167+I167</f>
        <v>0</v>
      </c>
      <c r="E167" s="99">
        <f t="shared" si="64"/>
        <v>0</v>
      </c>
      <c r="F167" s="99"/>
      <c r="G167" s="99"/>
      <c r="H167" s="72"/>
      <c r="I167" s="73"/>
      <c r="J167" s="73"/>
      <c r="K167" s="74"/>
      <c r="L167" s="74"/>
      <c r="M167" s="167"/>
      <c r="N167" s="167"/>
      <c r="O167" s="72" t="e">
        <f t="shared" si="54"/>
        <v>#DIV/0!</v>
      </c>
      <c r="P167" s="74" t="e">
        <f t="shared" si="52"/>
        <v>#DIV/0!</v>
      </c>
      <c r="Q167" s="73" t="e">
        <f t="shared" si="53"/>
        <v>#DIV/0!</v>
      </c>
    </row>
    <row r="168" spans="1:17" ht="12.75">
      <c r="A168" s="67" t="s">
        <v>184</v>
      </c>
      <c r="B168" s="67"/>
      <c r="C168" s="86" t="s">
        <v>185</v>
      </c>
      <c r="D168" s="99">
        <f t="shared" si="65"/>
        <v>1789</v>
      </c>
      <c r="E168" s="99">
        <f t="shared" si="64"/>
        <v>154</v>
      </c>
      <c r="F168" s="99">
        <v>154</v>
      </c>
      <c r="G168" s="99">
        <v>369</v>
      </c>
      <c r="H168" s="72">
        <v>404</v>
      </c>
      <c r="I168" s="73">
        <v>862</v>
      </c>
      <c r="J168" s="73">
        <v>58.9</v>
      </c>
      <c r="K168" s="74" t="e">
        <f>J168/#REF!*100</f>
        <v>#REF!</v>
      </c>
      <c r="L168" s="74">
        <f>J168/H168*100</f>
        <v>14.579207920792078</v>
      </c>
      <c r="M168" s="167"/>
      <c r="N168" s="167"/>
      <c r="O168" s="72">
        <f t="shared" si="54"/>
        <v>6.832946635730859</v>
      </c>
      <c r="P168" s="74">
        <f t="shared" si="52"/>
        <v>38.246753246753244</v>
      </c>
      <c r="Q168" s="73">
        <f t="shared" si="53"/>
        <v>3.292342090553382</v>
      </c>
    </row>
    <row r="169" spans="1:17" ht="12.75">
      <c r="A169" s="67" t="s">
        <v>186</v>
      </c>
      <c r="B169" s="67"/>
      <c r="C169" s="86" t="s">
        <v>187</v>
      </c>
      <c r="D169" s="99">
        <f t="shared" si="65"/>
        <v>189</v>
      </c>
      <c r="E169" s="99">
        <f t="shared" si="64"/>
        <v>50</v>
      </c>
      <c r="F169" s="99">
        <v>50</v>
      </c>
      <c r="G169" s="99">
        <v>50</v>
      </c>
      <c r="H169" s="72">
        <v>40</v>
      </c>
      <c r="I169" s="73">
        <v>49</v>
      </c>
      <c r="J169" s="73">
        <v>5.1</v>
      </c>
      <c r="K169" s="74" t="e">
        <f>J169/#REF!*100</f>
        <v>#REF!</v>
      </c>
      <c r="L169" s="74">
        <f>J169/H169*100</f>
        <v>12.75</v>
      </c>
      <c r="M169" s="167"/>
      <c r="N169" s="167"/>
      <c r="O169" s="72">
        <f t="shared" si="54"/>
        <v>10.408163265306122</v>
      </c>
      <c r="P169" s="74">
        <f t="shared" si="52"/>
        <v>10.2</v>
      </c>
      <c r="Q169" s="73">
        <f t="shared" si="53"/>
        <v>2.698412698412698</v>
      </c>
    </row>
    <row r="170" spans="1:17" ht="24">
      <c r="A170" s="68" t="s">
        <v>190</v>
      </c>
      <c r="B170" s="68"/>
      <c r="C170" s="86" t="s">
        <v>191</v>
      </c>
      <c r="D170" s="99">
        <f t="shared" si="65"/>
        <v>847.5</v>
      </c>
      <c r="E170" s="99">
        <f t="shared" si="64"/>
        <v>180</v>
      </c>
      <c r="F170" s="99">
        <v>180</v>
      </c>
      <c r="G170" s="99">
        <v>190</v>
      </c>
      <c r="H170" s="72">
        <v>160</v>
      </c>
      <c r="I170" s="73">
        <v>317.5</v>
      </c>
      <c r="J170" s="73">
        <v>2.2</v>
      </c>
      <c r="K170" s="74" t="e">
        <f>J170/#REF!*100</f>
        <v>#REF!</v>
      </c>
      <c r="L170" s="74">
        <f>J170/H170*100</f>
        <v>1.3750000000000002</v>
      </c>
      <c r="M170" s="167"/>
      <c r="N170" s="167"/>
      <c r="O170" s="72">
        <f t="shared" si="54"/>
        <v>0.6929133858267718</v>
      </c>
      <c r="P170" s="74">
        <f t="shared" si="52"/>
        <v>1.2222222222222223</v>
      </c>
      <c r="Q170" s="73">
        <f t="shared" si="53"/>
        <v>0.2595870206489676</v>
      </c>
    </row>
    <row r="171" spans="1:17" ht="24">
      <c r="A171" s="88" t="s">
        <v>194</v>
      </c>
      <c r="B171" s="88"/>
      <c r="C171" s="86" t="s">
        <v>195</v>
      </c>
      <c r="D171" s="99">
        <f t="shared" si="65"/>
        <v>120</v>
      </c>
      <c r="E171" s="99">
        <f t="shared" si="64"/>
        <v>90</v>
      </c>
      <c r="F171" s="99">
        <v>90</v>
      </c>
      <c r="G171" s="99">
        <v>30</v>
      </c>
      <c r="H171" s="72"/>
      <c r="I171" s="73"/>
      <c r="J171" s="73"/>
      <c r="K171" s="74" t="e">
        <f>J171/#REF!*100</f>
        <v>#REF!</v>
      </c>
      <c r="L171" s="74" t="e">
        <f>J171/H171*100</f>
        <v>#DIV/0!</v>
      </c>
      <c r="M171" s="167"/>
      <c r="N171" s="167"/>
      <c r="O171" s="72" t="e">
        <f t="shared" si="54"/>
        <v>#DIV/0!</v>
      </c>
      <c r="P171" s="74">
        <f t="shared" si="52"/>
        <v>0</v>
      </c>
      <c r="Q171" s="73">
        <f t="shared" si="53"/>
        <v>0</v>
      </c>
    </row>
    <row r="172" spans="1:17" ht="24">
      <c r="A172" s="88" t="s">
        <v>196</v>
      </c>
      <c r="B172" s="88"/>
      <c r="C172" s="86" t="s">
        <v>197</v>
      </c>
      <c r="D172" s="99">
        <f t="shared" si="65"/>
        <v>20</v>
      </c>
      <c r="E172" s="99">
        <f t="shared" si="64"/>
        <v>3</v>
      </c>
      <c r="F172" s="99">
        <v>3</v>
      </c>
      <c r="G172" s="99">
        <v>3</v>
      </c>
      <c r="H172" s="72">
        <v>3</v>
      </c>
      <c r="I172" s="73">
        <v>11</v>
      </c>
      <c r="J172" s="73"/>
      <c r="K172" s="74" t="e">
        <f>J172/#REF!*100</f>
        <v>#REF!</v>
      </c>
      <c r="L172" s="74">
        <f>J172/H172*100</f>
        <v>0</v>
      </c>
      <c r="M172" s="167"/>
      <c r="N172" s="167"/>
      <c r="O172" s="72">
        <f t="shared" si="54"/>
        <v>0</v>
      </c>
      <c r="P172" s="74">
        <f t="shared" si="52"/>
        <v>0</v>
      </c>
      <c r="Q172" s="73">
        <f t="shared" si="53"/>
        <v>0</v>
      </c>
    </row>
    <row r="173" spans="1:17" ht="12.75">
      <c r="A173" s="77" t="s">
        <v>200</v>
      </c>
      <c r="B173" s="77"/>
      <c r="C173" s="86" t="s">
        <v>201</v>
      </c>
      <c r="D173" s="99">
        <f t="shared" si="65"/>
        <v>0</v>
      </c>
      <c r="E173" s="99">
        <f t="shared" si="64"/>
        <v>0</v>
      </c>
      <c r="F173" s="99"/>
      <c r="G173" s="99"/>
      <c r="H173" s="72"/>
      <c r="I173" s="73"/>
      <c r="J173" s="73"/>
      <c r="K173" s="74" t="e">
        <f>J173/#REF!*100</f>
        <v>#REF!</v>
      </c>
      <c r="L173" s="74"/>
      <c r="M173" s="167"/>
      <c r="N173" s="167"/>
      <c r="O173" s="72" t="e">
        <f t="shared" si="54"/>
        <v>#DIV/0!</v>
      </c>
      <c r="P173" s="74"/>
      <c r="Q173" s="73"/>
    </row>
    <row r="174" spans="1:17" ht="12.75">
      <c r="A174" s="102" t="s">
        <v>202</v>
      </c>
      <c r="B174" s="90"/>
      <c r="C174" s="71" t="s">
        <v>203</v>
      </c>
      <c r="D174" s="99">
        <f t="shared" si="65"/>
        <v>0</v>
      </c>
      <c r="E174" s="99">
        <f t="shared" si="64"/>
        <v>0</v>
      </c>
      <c r="F174" s="181"/>
      <c r="G174" s="181"/>
      <c r="H174" s="72"/>
      <c r="I174" s="73"/>
      <c r="J174" s="73">
        <v>1</v>
      </c>
      <c r="K174" s="74" t="e">
        <f>J174/#REF!*100</f>
        <v>#REF!</v>
      </c>
      <c r="L174" s="74"/>
      <c r="M174" s="167"/>
      <c r="N174" s="167"/>
      <c r="O174" s="72" t="e">
        <f t="shared" si="54"/>
        <v>#DIV/0!</v>
      </c>
      <c r="P174" s="85"/>
      <c r="Q174" s="80"/>
    </row>
    <row r="175" spans="1:17" ht="12.75">
      <c r="A175" s="83" t="s">
        <v>206</v>
      </c>
      <c r="B175" s="83"/>
      <c r="C175" s="91" t="s">
        <v>207</v>
      </c>
      <c r="D175" s="93">
        <f aca="true" t="shared" si="66" ref="D175:J175">D176</f>
        <v>32481.5</v>
      </c>
      <c r="E175" s="93">
        <f t="shared" si="66"/>
        <v>8475.7</v>
      </c>
      <c r="F175" s="93">
        <f t="shared" si="66"/>
        <v>8475.7</v>
      </c>
      <c r="G175" s="93">
        <f t="shared" si="66"/>
        <v>8900.4</v>
      </c>
      <c r="H175" s="93">
        <f t="shared" si="66"/>
        <v>7552.7</v>
      </c>
      <c r="I175" s="93">
        <f t="shared" si="66"/>
        <v>7552.7</v>
      </c>
      <c r="J175" s="93">
        <f t="shared" si="66"/>
        <v>1756.6</v>
      </c>
      <c r="K175" s="85" t="e">
        <f>J175/#REF!*100</f>
        <v>#REF!</v>
      </c>
      <c r="L175" s="85">
        <f>J175/H175*100</f>
        <v>23.257907768082937</v>
      </c>
      <c r="M175" s="167"/>
      <c r="N175" s="167"/>
      <c r="O175" s="93">
        <f t="shared" si="54"/>
        <v>23.257907768082937</v>
      </c>
      <c r="P175" s="85">
        <f t="shared" si="52"/>
        <v>20.725131847517016</v>
      </c>
      <c r="Q175" s="80">
        <f t="shared" si="53"/>
        <v>5.408001477764266</v>
      </c>
    </row>
    <row r="176" spans="1:17" ht="24">
      <c r="A176" s="69" t="s">
        <v>208</v>
      </c>
      <c r="B176" s="67"/>
      <c r="C176" s="94" t="s">
        <v>209</v>
      </c>
      <c r="D176" s="99">
        <f t="shared" si="65"/>
        <v>32481.5</v>
      </c>
      <c r="E176" s="99">
        <f t="shared" si="64"/>
        <v>8475.7</v>
      </c>
      <c r="F176" s="99">
        <v>8475.7</v>
      </c>
      <c r="G176" s="99">
        <v>8900.4</v>
      </c>
      <c r="H176" s="72">
        <v>7552.7</v>
      </c>
      <c r="I176" s="73">
        <v>7552.7</v>
      </c>
      <c r="J176" s="73">
        <v>1756.6</v>
      </c>
      <c r="K176" s="74" t="e">
        <f>J176/#REF!*100</f>
        <v>#REF!</v>
      </c>
      <c r="L176" s="74">
        <f>J176/H176*100</f>
        <v>23.257907768082937</v>
      </c>
      <c r="M176" s="167"/>
      <c r="N176" s="167"/>
      <c r="O176" s="72">
        <f t="shared" si="54"/>
        <v>23.257907768082937</v>
      </c>
      <c r="P176" s="74">
        <f t="shared" si="52"/>
        <v>20.725131847517016</v>
      </c>
      <c r="Q176" s="73">
        <f t="shared" si="53"/>
        <v>5.408001477764266</v>
      </c>
    </row>
    <row r="177" spans="1:17" ht="12.75">
      <c r="A177" s="77"/>
      <c r="B177" s="78"/>
      <c r="C177" s="79" t="s">
        <v>216</v>
      </c>
      <c r="D177" s="80">
        <f aca="true" t="shared" si="67" ref="D177:J177">D175+D165</f>
        <v>48992</v>
      </c>
      <c r="E177" s="80">
        <f t="shared" si="67"/>
        <v>11552.7</v>
      </c>
      <c r="F177" s="80">
        <f t="shared" si="67"/>
        <v>11552.7</v>
      </c>
      <c r="G177" s="80">
        <f t="shared" si="67"/>
        <v>12814.4</v>
      </c>
      <c r="H177" s="80">
        <f t="shared" si="67"/>
        <v>10632.7</v>
      </c>
      <c r="I177" s="80">
        <f t="shared" si="67"/>
        <v>13992.2</v>
      </c>
      <c r="J177" s="80">
        <f t="shared" si="67"/>
        <v>2667.5</v>
      </c>
      <c r="K177" s="85" t="e">
        <f>J177/#REF!*100</f>
        <v>#REF!</v>
      </c>
      <c r="L177" s="85">
        <f>J177/H177*100</f>
        <v>25.087701148344255</v>
      </c>
      <c r="M177" s="167"/>
      <c r="N177" s="171" t="e">
        <f>I177+#REF!+#REF!</f>
        <v>#REF!</v>
      </c>
      <c r="O177" s="93">
        <f t="shared" si="54"/>
        <v>19.064192907477022</v>
      </c>
      <c r="P177" s="85">
        <f t="shared" si="52"/>
        <v>23.089840470193113</v>
      </c>
      <c r="Q177" s="80">
        <f t="shared" si="53"/>
        <v>5.4447664924885695</v>
      </c>
    </row>
    <row r="178" spans="1:17" ht="12.75">
      <c r="A178" s="150"/>
      <c r="B178" s="151"/>
      <c r="C178" s="151"/>
      <c r="D178" s="151"/>
      <c r="E178" s="151"/>
      <c r="F178" s="151"/>
      <c r="G178" s="151"/>
      <c r="H178" s="151"/>
      <c r="I178" s="151"/>
      <c r="J178" s="151"/>
      <c r="K178" s="151"/>
      <c r="L178" s="152"/>
      <c r="M178" s="167"/>
      <c r="N178" s="167"/>
      <c r="O178" s="96"/>
      <c r="P178" s="85"/>
      <c r="Q178" s="80"/>
    </row>
    <row r="179" spans="1:17" ht="12.75">
      <c r="A179" s="149" t="s">
        <v>227</v>
      </c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85"/>
      <c r="Q179" s="80"/>
    </row>
    <row r="180" spans="1:17" ht="12.75">
      <c r="A180" s="83" t="s">
        <v>178</v>
      </c>
      <c r="B180" s="83"/>
      <c r="C180" s="84" t="s">
        <v>179</v>
      </c>
      <c r="D180" s="85">
        <f aca="true" t="shared" si="68" ref="D180:J180">D181+D183+D185+D186+D184+D187+D188+D182</f>
        <v>1693.5</v>
      </c>
      <c r="E180" s="85">
        <f t="shared" si="68"/>
        <v>153</v>
      </c>
      <c r="F180" s="85">
        <f t="shared" si="68"/>
        <v>153</v>
      </c>
      <c r="G180" s="85">
        <f t="shared" si="68"/>
        <v>435</v>
      </c>
      <c r="H180" s="85">
        <f t="shared" si="68"/>
        <v>443</v>
      </c>
      <c r="I180" s="85">
        <f t="shared" si="68"/>
        <v>662.5</v>
      </c>
      <c r="J180" s="85">
        <f t="shared" si="68"/>
        <v>50.2</v>
      </c>
      <c r="K180" s="85" t="e">
        <f>J180/#REF!*100</f>
        <v>#REF!</v>
      </c>
      <c r="L180" s="85">
        <f aca="true" t="shared" si="69" ref="L180:L186">J180/H180*100</f>
        <v>11.331828442437924</v>
      </c>
      <c r="M180" s="167"/>
      <c r="N180" s="167"/>
      <c r="O180" s="85">
        <f t="shared" si="54"/>
        <v>7.577358490566038</v>
      </c>
      <c r="P180" s="85">
        <f t="shared" si="52"/>
        <v>32.810457516339866</v>
      </c>
      <c r="Q180" s="80">
        <f t="shared" si="53"/>
        <v>2.964275169766755</v>
      </c>
    </row>
    <row r="181" spans="1:17" ht="12.75">
      <c r="A181" s="77" t="s">
        <v>180</v>
      </c>
      <c r="B181" s="77"/>
      <c r="C181" s="86" t="s">
        <v>181</v>
      </c>
      <c r="D181" s="99">
        <f>F181+G181+H181+I181</f>
        <v>1155</v>
      </c>
      <c r="E181" s="99">
        <f aca="true" t="shared" si="70" ref="E181:E190">F181</f>
        <v>120</v>
      </c>
      <c r="F181" s="99">
        <v>120</v>
      </c>
      <c r="G181" s="99">
        <v>300</v>
      </c>
      <c r="H181" s="72">
        <v>270</v>
      </c>
      <c r="I181" s="72">
        <v>465</v>
      </c>
      <c r="J181" s="73">
        <v>16.8</v>
      </c>
      <c r="K181" s="74" t="e">
        <f>J181/#REF!*100</f>
        <v>#REF!</v>
      </c>
      <c r="L181" s="74">
        <f t="shared" si="69"/>
        <v>6.222222222222222</v>
      </c>
      <c r="M181" s="167"/>
      <c r="N181" s="167"/>
      <c r="O181" s="72">
        <f t="shared" si="54"/>
        <v>3.6129032258064515</v>
      </c>
      <c r="P181" s="74">
        <f t="shared" si="52"/>
        <v>14</v>
      </c>
      <c r="Q181" s="73">
        <f t="shared" si="53"/>
        <v>1.4545454545454546</v>
      </c>
    </row>
    <row r="182" spans="1:17" ht="36">
      <c r="A182" s="67" t="s">
        <v>182</v>
      </c>
      <c r="B182" s="110" t="s">
        <v>228</v>
      </c>
      <c r="C182" s="86" t="s">
        <v>183</v>
      </c>
      <c r="D182" s="99">
        <f aca="true" t="shared" si="71" ref="D182:D190">F182+G182+H182+I182</f>
        <v>16</v>
      </c>
      <c r="E182" s="99">
        <f t="shared" si="70"/>
        <v>0</v>
      </c>
      <c r="F182" s="99"/>
      <c r="G182" s="99">
        <v>16</v>
      </c>
      <c r="H182" s="72"/>
      <c r="I182" s="72"/>
      <c r="J182" s="73"/>
      <c r="K182" s="74" t="e">
        <f>J182/#REF!*100</f>
        <v>#REF!</v>
      </c>
      <c r="L182" s="74"/>
      <c r="M182" s="167"/>
      <c r="N182" s="167"/>
      <c r="O182" s="72" t="e">
        <f t="shared" si="54"/>
        <v>#DIV/0!</v>
      </c>
      <c r="P182" s="74"/>
      <c r="Q182" s="73">
        <f t="shared" si="53"/>
        <v>0</v>
      </c>
    </row>
    <row r="183" spans="1:17" ht="12.75">
      <c r="A183" s="67" t="s">
        <v>184</v>
      </c>
      <c r="B183" s="67"/>
      <c r="C183" s="86" t="s">
        <v>185</v>
      </c>
      <c r="D183" s="99">
        <f t="shared" si="71"/>
        <v>106</v>
      </c>
      <c r="E183" s="99">
        <f t="shared" si="70"/>
        <v>6.5</v>
      </c>
      <c r="F183" s="99">
        <v>6.5</v>
      </c>
      <c r="G183" s="99">
        <v>7.5</v>
      </c>
      <c r="H183" s="72">
        <v>46</v>
      </c>
      <c r="I183" s="72">
        <v>46</v>
      </c>
      <c r="J183" s="73"/>
      <c r="K183" s="74" t="e">
        <f>J183/#REF!*100</f>
        <v>#REF!</v>
      </c>
      <c r="L183" s="74">
        <f t="shared" si="69"/>
        <v>0</v>
      </c>
      <c r="M183" s="167"/>
      <c r="N183" s="167"/>
      <c r="O183" s="72">
        <f t="shared" si="54"/>
        <v>0</v>
      </c>
      <c r="P183" s="74">
        <f t="shared" si="52"/>
        <v>0</v>
      </c>
      <c r="Q183" s="73">
        <f t="shared" si="53"/>
        <v>0</v>
      </c>
    </row>
    <row r="184" spans="1:17" ht="12.75">
      <c r="A184" s="67" t="s">
        <v>186</v>
      </c>
      <c r="B184" s="67"/>
      <c r="C184" s="86" t="s">
        <v>187</v>
      </c>
      <c r="D184" s="99">
        <f t="shared" si="71"/>
        <v>28</v>
      </c>
      <c r="E184" s="99">
        <f t="shared" si="70"/>
        <v>3</v>
      </c>
      <c r="F184" s="99">
        <v>3</v>
      </c>
      <c r="G184" s="99">
        <v>6</v>
      </c>
      <c r="H184" s="72">
        <v>7</v>
      </c>
      <c r="I184" s="72">
        <v>12</v>
      </c>
      <c r="J184" s="73">
        <v>1.2</v>
      </c>
      <c r="K184" s="74" t="e">
        <f>J184/#REF!*100</f>
        <v>#REF!</v>
      </c>
      <c r="L184" s="74">
        <f t="shared" si="69"/>
        <v>17.142857142857142</v>
      </c>
      <c r="M184" s="167"/>
      <c r="N184" s="167"/>
      <c r="O184" s="72">
        <f t="shared" si="54"/>
        <v>10</v>
      </c>
      <c r="P184" s="74">
        <f t="shared" si="52"/>
        <v>40</v>
      </c>
      <c r="Q184" s="73">
        <f t="shared" si="53"/>
        <v>4.285714285714286</v>
      </c>
    </row>
    <row r="185" spans="1:17" ht="24">
      <c r="A185" s="68" t="s">
        <v>190</v>
      </c>
      <c r="B185" s="68"/>
      <c r="C185" s="86" t="s">
        <v>191</v>
      </c>
      <c r="D185" s="99">
        <f t="shared" si="71"/>
        <v>387.5</v>
      </c>
      <c r="E185" s="99">
        <f t="shared" si="70"/>
        <v>23.5</v>
      </c>
      <c r="F185" s="99">
        <v>23.5</v>
      </c>
      <c r="G185" s="99">
        <v>105.5</v>
      </c>
      <c r="H185" s="72">
        <v>119</v>
      </c>
      <c r="I185" s="72">
        <v>139.5</v>
      </c>
      <c r="J185" s="73">
        <v>32.2</v>
      </c>
      <c r="K185" s="74" t="e">
        <f>J185/#REF!*100</f>
        <v>#REF!</v>
      </c>
      <c r="L185" s="74">
        <f t="shared" si="69"/>
        <v>27.058823529411768</v>
      </c>
      <c r="M185" s="167"/>
      <c r="N185" s="167"/>
      <c r="O185" s="72">
        <f t="shared" si="54"/>
        <v>23.082437275985665</v>
      </c>
      <c r="P185" s="74">
        <f t="shared" si="52"/>
        <v>137.0212765957447</v>
      </c>
      <c r="Q185" s="73">
        <f t="shared" si="53"/>
        <v>8.30967741935484</v>
      </c>
    </row>
    <row r="186" spans="1:17" ht="24">
      <c r="A186" s="87" t="s">
        <v>196</v>
      </c>
      <c r="B186" s="87"/>
      <c r="C186" s="86" t="s">
        <v>197</v>
      </c>
      <c r="D186" s="99">
        <f t="shared" si="71"/>
        <v>1</v>
      </c>
      <c r="E186" s="99">
        <f t="shared" si="70"/>
        <v>0</v>
      </c>
      <c r="F186" s="99"/>
      <c r="G186" s="99"/>
      <c r="H186" s="72">
        <v>1</v>
      </c>
      <c r="I186" s="72"/>
      <c r="J186" s="73"/>
      <c r="K186" s="74" t="e">
        <f>J186/#REF!*100</f>
        <v>#REF!</v>
      </c>
      <c r="L186" s="74">
        <f t="shared" si="69"/>
        <v>0</v>
      </c>
      <c r="M186" s="167"/>
      <c r="N186" s="167"/>
      <c r="O186" s="72" t="e">
        <f t="shared" si="54"/>
        <v>#DIV/0!</v>
      </c>
      <c r="P186" s="74"/>
      <c r="Q186" s="73">
        <f t="shared" si="53"/>
        <v>0</v>
      </c>
    </row>
    <row r="187" spans="1:17" ht="12.75">
      <c r="A187" s="87" t="s">
        <v>200</v>
      </c>
      <c r="B187" s="109"/>
      <c r="C187" s="86" t="s">
        <v>201</v>
      </c>
      <c r="D187" s="99">
        <f t="shared" si="71"/>
        <v>0</v>
      </c>
      <c r="E187" s="99">
        <f t="shared" si="70"/>
        <v>0</v>
      </c>
      <c r="F187" s="99"/>
      <c r="G187" s="99"/>
      <c r="H187" s="72"/>
      <c r="I187" s="72"/>
      <c r="J187" s="73"/>
      <c r="K187" s="74" t="e">
        <f>J187/#REF!*100</f>
        <v>#REF!</v>
      </c>
      <c r="L187" s="74"/>
      <c r="M187" s="167"/>
      <c r="N187" s="167"/>
      <c r="O187" s="72" t="e">
        <f t="shared" si="54"/>
        <v>#DIV/0!</v>
      </c>
      <c r="P187" s="74"/>
      <c r="Q187" s="73"/>
    </row>
    <row r="188" spans="1:17" ht="12.75">
      <c r="A188" s="102" t="s">
        <v>202</v>
      </c>
      <c r="B188" s="90"/>
      <c r="C188" s="71" t="s">
        <v>203</v>
      </c>
      <c r="D188" s="99">
        <f t="shared" si="71"/>
        <v>0</v>
      </c>
      <c r="E188" s="99">
        <f t="shared" si="70"/>
        <v>0</v>
      </c>
      <c r="F188" s="99"/>
      <c r="G188" s="99"/>
      <c r="H188" s="72"/>
      <c r="I188" s="72"/>
      <c r="J188" s="73"/>
      <c r="K188" s="74" t="e">
        <f>J188/#REF!*100</f>
        <v>#REF!</v>
      </c>
      <c r="L188" s="74"/>
      <c r="M188" s="167"/>
      <c r="N188" s="167"/>
      <c r="O188" s="72"/>
      <c r="P188" s="74"/>
      <c r="Q188" s="73"/>
    </row>
    <row r="189" spans="1:17" ht="12.75">
      <c r="A189" s="83" t="s">
        <v>206</v>
      </c>
      <c r="B189" s="83"/>
      <c r="C189" s="91" t="s">
        <v>207</v>
      </c>
      <c r="D189" s="92">
        <f aca="true" t="shared" si="72" ref="D189:J189">D190</f>
        <v>21291.3</v>
      </c>
      <c r="E189" s="92">
        <f t="shared" si="72"/>
        <v>4207</v>
      </c>
      <c r="F189" s="92">
        <f t="shared" si="72"/>
        <v>4207</v>
      </c>
      <c r="G189" s="92">
        <f t="shared" si="72"/>
        <v>5569</v>
      </c>
      <c r="H189" s="92">
        <f t="shared" si="72"/>
        <v>6714.1</v>
      </c>
      <c r="I189" s="92">
        <f t="shared" si="72"/>
        <v>4801.2</v>
      </c>
      <c r="J189" s="92">
        <f t="shared" si="72"/>
        <v>1272.4</v>
      </c>
      <c r="K189" s="85" t="e">
        <f>J189/#REF!*100</f>
        <v>#REF!</v>
      </c>
      <c r="L189" s="85">
        <f>J189/H189*100</f>
        <v>18.951162478962186</v>
      </c>
      <c r="M189" s="167"/>
      <c r="N189" s="167"/>
      <c r="O189" s="93">
        <f t="shared" si="54"/>
        <v>26.50170790635675</v>
      </c>
      <c r="P189" s="85">
        <f t="shared" si="52"/>
        <v>30.24483004516283</v>
      </c>
      <c r="Q189" s="80">
        <f t="shared" si="53"/>
        <v>5.976149882815987</v>
      </c>
    </row>
    <row r="190" spans="1:17" ht="24">
      <c r="A190" s="69" t="s">
        <v>208</v>
      </c>
      <c r="B190" s="67"/>
      <c r="C190" s="94" t="s">
        <v>209</v>
      </c>
      <c r="D190" s="99">
        <f t="shared" si="71"/>
        <v>21291.3</v>
      </c>
      <c r="E190" s="99">
        <f t="shared" si="70"/>
        <v>4207</v>
      </c>
      <c r="F190" s="99">
        <v>4207</v>
      </c>
      <c r="G190" s="99">
        <v>5569</v>
      </c>
      <c r="H190" s="72">
        <v>6714.1</v>
      </c>
      <c r="I190" s="72">
        <v>4801.2</v>
      </c>
      <c r="J190" s="73">
        <v>1272.4</v>
      </c>
      <c r="K190" s="74" t="e">
        <f>J190/#REF!*100</f>
        <v>#REF!</v>
      </c>
      <c r="L190" s="74">
        <f>J190/H190*100</f>
        <v>18.951162478962186</v>
      </c>
      <c r="M190" s="167"/>
      <c r="N190" s="167"/>
      <c r="O190" s="72">
        <f t="shared" si="54"/>
        <v>26.50170790635675</v>
      </c>
      <c r="P190" s="74">
        <f t="shared" si="52"/>
        <v>30.24483004516283</v>
      </c>
      <c r="Q190" s="73">
        <f t="shared" si="53"/>
        <v>5.976149882815987</v>
      </c>
    </row>
    <row r="191" spans="1:17" ht="12.75">
      <c r="A191" s="77"/>
      <c r="B191" s="78"/>
      <c r="C191" s="79" t="s">
        <v>216</v>
      </c>
      <c r="D191" s="80">
        <f aca="true" t="shared" si="73" ref="D191:J191">D189+D180</f>
        <v>22984.8</v>
      </c>
      <c r="E191" s="80">
        <f t="shared" si="73"/>
        <v>4360</v>
      </c>
      <c r="F191" s="93">
        <f t="shared" si="73"/>
        <v>4360</v>
      </c>
      <c r="G191" s="93">
        <f t="shared" si="73"/>
        <v>6004</v>
      </c>
      <c r="H191" s="93">
        <f t="shared" si="73"/>
        <v>7157.1</v>
      </c>
      <c r="I191" s="93">
        <f t="shared" si="73"/>
        <v>5463.7</v>
      </c>
      <c r="J191" s="80">
        <f t="shared" si="73"/>
        <v>1322.6000000000001</v>
      </c>
      <c r="K191" s="85" t="e">
        <f>J191/#REF!*100</f>
        <v>#REF!</v>
      </c>
      <c r="L191" s="85">
        <f>J191/H191*100</f>
        <v>18.479551773763117</v>
      </c>
      <c r="M191" s="167"/>
      <c r="N191" s="171" t="e">
        <f>I191+#REF!+#REF!</f>
        <v>#REF!</v>
      </c>
      <c r="O191" s="93">
        <f t="shared" si="54"/>
        <v>24.207039185899667</v>
      </c>
      <c r="P191" s="85">
        <f t="shared" si="52"/>
        <v>30.334862385321102</v>
      </c>
      <c r="Q191" s="80">
        <f t="shared" si="53"/>
        <v>5.754237583098396</v>
      </c>
    </row>
    <row r="192" spans="1:17" ht="12.75">
      <c r="A192" s="150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2"/>
      <c r="M192" s="167"/>
      <c r="N192" s="167"/>
      <c r="O192" s="96"/>
      <c r="P192" s="85"/>
      <c r="Q192" s="80"/>
    </row>
    <row r="193" spans="1:17" ht="12.75">
      <c r="A193" s="149" t="s">
        <v>229</v>
      </c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85"/>
      <c r="Q193" s="80"/>
    </row>
    <row r="194" spans="1:17" ht="12.75">
      <c r="A194" s="83" t="s">
        <v>178</v>
      </c>
      <c r="B194" s="111"/>
      <c r="C194" s="84" t="s">
        <v>179</v>
      </c>
      <c r="D194" s="85">
        <f aca="true" t="shared" si="74" ref="D194:J194">D195+D197+D198+D199+D201+D202+D204+D206+D203+D200+D207+D205+D196</f>
        <v>990973.6</v>
      </c>
      <c r="E194" s="85">
        <f t="shared" si="74"/>
        <v>230346.00000000003</v>
      </c>
      <c r="F194" s="85">
        <f t="shared" si="74"/>
        <v>230346.00000000003</v>
      </c>
      <c r="G194" s="85">
        <f t="shared" si="74"/>
        <v>253748.7</v>
      </c>
      <c r="H194" s="85">
        <f t="shared" si="74"/>
        <v>237135.60000000006</v>
      </c>
      <c r="I194" s="85">
        <f t="shared" si="74"/>
        <v>269743.3</v>
      </c>
      <c r="J194" s="85">
        <f t="shared" si="74"/>
        <v>68963.00000000001</v>
      </c>
      <c r="K194" s="85" t="e">
        <f>J194/#REF!*100</f>
        <v>#REF!</v>
      </c>
      <c r="L194" s="85">
        <f aca="true" t="shared" si="75" ref="L194:L205">J194/H194*100</f>
        <v>29.081673101803357</v>
      </c>
      <c r="M194" s="167"/>
      <c r="N194" s="167"/>
      <c r="O194" s="85">
        <f t="shared" si="54"/>
        <v>25.566158640455583</v>
      </c>
      <c r="P194" s="85">
        <f t="shared" si="52"/>
        <v>29.938874562614505</v>
      </c>
      <c r="Q194" s="80">
        <f t="shared" si="53"/>
        <v>6.959115762518802</v>
      </c>
    </row>
    <row r="195" spans="1:17" ht="36">
      <c r="A195" s="77" t="s">
        <v>180</v>
      </c>
      <c r="B195" s="112" t="s">
        <v>230</v>
      </c>
      <c r="C195" s="86" t="s">
        <v>181</v>
      </c>
      <c r="D195" s="99">
        <f>F195+G195+H195+I195</f>
        <v>782732.1</v>
      </c>
      <c r="E195" s="99">
        <f aca="true" t="shared" si="76" ref="E195:E211">F195</f>
        <v>180524.7</v>
      </c>
      <c r="F195" s="73">
        <f>F9+F31+F43+F59+F75+F92+F106+F120+F135+F151+F166+F181</f>
        <v>180524.7</v>
      </c>
      <c r="G195" s="73">
        <f>G9+G31+G43+G59+G75+G92+G106+G120+G135+G151+G166+G181</f>
        <v>201785.4</v>
      </c>
      <c r="H195" s="73">
        <f>H9+H31+H43+H59+H75+H92+H106+H120+H135+H151+H166+H181</f>
        <v>184993.90000000002</v>
      </c>
      <c r="I195" s="73">
        <f>I9+I31+I43+I59+I75+I92+I106+I120+I135+I151+I166+I181</f>
        <v>215428.1</v>
      </c>
      <c r="J195" s="73">
        <f>J9+J31+J43+J59+J75+J92+J106+J120+J135+J151+J166+J181</f>
        <v>53301.100000000006</v>
      </c>
      <c r="K195" s="74" t="e">
        <f>J195/#REF!*100</f>
        <v>#REF!</v>
      </c>
      <c r="L195" s="74">
        <f t="shared" si="75"/>
        <v>28.812355434422432</v>
      </c>
      <c r="M195" s="167"/>
      <c r="N195" s="167"/>
      <c r="O195" s="72">
        <f t="shared" si="54"/>
        <v>24.741944063935954</v>
      </c>
      <c r="P195" s="74">
        <f t="shared" si="52"/>
        <v>29.52565493807773</v>
      </c>
      <c r="Q195" s="73">
        <f t="shared" si="53"/>
        <v>6.809622347160671</v>
      </c>
    </row>
    <row r="196" spans="1:17" ht="12.75">
      <c r="A196" s="67" t="s">
        <v>242</v>
      </c>
      <c r="B196" s="67"/>
      <c r="C196" s="86" t="s">
        <v>243</v>
      </c>
      <c r="D196" s="99">
        <f aca="true" t="shared" si="77" ref="D196:D211">F196+G196+H196+I196</f>
        <v>40154.200000000004</v>
      </c>
      <c r="E196" s="99">
        <f t="shared" si="76"/>
        <v>8828.2</v>
      </c>
      <c r="F196" s="73">
        <f>F10</f>
        <v>8828.2</v>
      </c>
      <c r="G196" s="73">
        <f>G10</f>
        <v>9979.2</v>
      </c>
      <c r="H196" s="73">
        <f>H10</f>
        <v>9979.2</v>
      </c>
      <c r="I196" s="73">
        <f aca="true" t="shared" si="78" ref="I196:O196">I10</f>
        <v>11367.6</v>
      </c>
      <c r="J196" s="73">
        <f t="shared" si="78"/>
        <v>3056.1</v>
      </c>
      <c r="K196" s="73">
        <f t="shared" si="78"/>
        <v>0</v>
      </c>
      <c r="L196" s="73">
        <f t="shared" si="78"/>
        <v>0</v>
      </c>
      <c r="M196" s="73">
        <f t="shared" si="78"/>
        <v>0</v>
      </c>
      <c r="N196" s="73">
        <f t="shared" si="78"/>
        <v>0</v>
      </c>
      <c r="O196" s="73">
        <f t="shared" si="78"/>
        <v>0</v>
      </c>
      <c r="P196" s="74">
        <f t="shared" si="52"/>
        <v>34.61747581613466</v>
      </c>
      <c r="Q196" s="73">
        <f t="shared" si="53"/>
        <v>7.610909942172922</v>
      </c>
    </row>
    <row r="197" spans="1:17" ht="36">
      <c r="A197" s="67" t="s">
        <v>182</v>
      </c>
      <c r="B197" s="110" t="s">
        <v>228</v>
      </c>
      <c r="C197" s="86" t="s">
        <v>183</v>
      </c>
      <c r="D197" s="99">
        <f t="shared" si="77"/>
        <v>34242.299999999996</v>
      </c>
      <c r="E197" s="99">
        <f t="shared" si="76"/>
        <v>8540</v>
      </c>
      <c r="F197" s="73">
        <f>F11+F44+F60+F182+F136</f>
        <v>8540</v>
      </c>
      <c r="G197" s="73">
        <f>G11+G44+G60+G182+G136</f>
        <v>8526.899999999998</v>
      </c>
      <c r="H197" s="73">
        <f>H11+H44+H60+H182+H136</f>
        <v>8540.3</v>
      </c>
      <c r="I197" s="73">
        <f>I11+I44+I60+I182+I136</f>
        <v>8635.099999999999</v>
      </c>
      <c r="J197" s="73">
        <f>J11+J44+J60+J182+J136</f>
        <v>3395.6</v>
      </c>
      <c r="K197" s="74" t="e">
        <f>J197/#REF!*100</f>
        <v>#REF!</v>
      </c>
      <c r="L197" s="74">
        <f t="shared" si="75"/>
        <v>39.75972741004414</v>
      </c>
      <c r="M197" s="167"/>
      <c r="N197" s="167"/>
      <c r="O197" s="72">
        <f t="shared" si="54"/>
        <v>39.3232272932566</v>
      </c>
      <c r="P197" s="74">
        <f t="shared" si="52"/>
        <v>39.76112412177986</v>
      </c>
      <c r="Q197" s="73">
        <f t="shared" si="53"/>
        <v>9.916389962122873</v>
      </c>
    </row>
    <row r="198" spans="1:17" ht="36">
      <c r="A198" s="67" t="s">
        <v>184</v>
      </c>
      <c r="B198" s="110" t="s">
        <v>231</v>
      </c>
      <c r="C198" s="86" t="s">
        <v>185</v>
      </c>
      <c r="D198" s="99">
        <f t="shared" si="77"/>
        <v>17931.9</v>
      </c>
      <c r="E198" s="99">
        <f t="shared" si="76"/>
        <v>3849.9000000000005</v>
      </c>
      <c r="F198" s="73">
        <f>F12+F32+F45+F61+F77+F93+F107+F121+F137+F152+F168+F183</f>
        <v>3849.9000000000005</v>
      </c>
      <c r="G198" s="73">
        <f>G12+G32+G45+G61+G77+G93+G107+G121+G137+G152+G168+G183</f>
        <v>4084.4</v>
      </c>
      <c r="H198" s="73">
        <f>H12+H32+H45+H61+H77+H93+H107+H121+H137+H152+H168+H183</f>
        <v>4375.200000000001</v>
      </c>
      <c r="I198" s="73">
        <f>I12+I32+I45+I61+I77+I93+I107+I121+I137+I152+I168+I183-0.1</f>
        <v>5622.399999999999</v>
      </c>
      <c r="J198" s="73">
        <f>J12+J32+J45+J61+J77+J93+J107+J121+J137+J152+J168+J183</f>
        <v>1522.6</v>
      </c>
      <c r="K198" s="74" t="e">
        <f>J198/#REF!*100</f>
        <v>#REF!</v>
      </c>
      <c r="L198" s="74">
        <f t="shared" si="75"/>
        <v>34.8006948253794</v>
      </c>
      <c r="M198" s="167"/>
      <c r="N198" s="167"/>
      <c r="O198" s="72">
        <f t="shared" si="54"/>
        <v>27.08096186681845</v>
      </c>
      <c r="P198" s="74">
        <f t="shared" si="52"/>
        <v>39.54907919686225</v>
      </c>
      <c r="Q198" s="73">
        <f t="shared" si="53"/>
        <v>8.491013222246387</v>
      </c>
    </row>
    <row r="199" spans="1:17" ht="36">
      <c r="A199" s="67" t="s">
        <v>186</v>
      </c>
      <c r="B199" s="110" t="s">
        <v>232</v>
      </c>
      <c r="C199" s="86" t="s">
        <v>187</v>
      </c>
      <c r="D199" s="99">
        <f t="shared" si="77"/>
        <v>3721.0000000000005</v>
      </c>
      <c r="E199" s="99">
        <f t="shared" si="76"/>
        <v>849.8000000000001</v>
      </c>
      <c r="F199" s="73">
        <f>F13+F33+F62+F78+F94+F108+F122+F138+F153+F169+F184</f>
        <v>849.8000000000001</v>
      </c>
      <c r="G199" s="73">
        <f>G13+G33+G62+G78+G94+G108+G122+G138+G153+G169+G184</f>
        <v>1061.4</v>
      </c>
      <c r="H199" s="73">
        <f>H13+H33+H62+H78+H94+H108+H122+H138+H153+H169+H184</f>
        <v>1062.2</v>
      </c>
      <c r="I199" s="73">
        <f>I13+I33+I62+I78+I94+I108+I122+I138+I153+I169+I184</f>
        <v>747.5999999999999</v>
      </c>
      <c r="J199" s="73">
        <f>J13+J33+J46+J62+J78+J94+J108+J122+J138+J153+J169+J184</f>
        <v>184.9</v>
      </c>
      <c r="K199" s="74" t="e">
        <f>J199/#REF!*100</f>
        <v>#REF!</v>
      </c>
      <c r="L199" s="74">
        <f t="shared" si="75"/>
        <v>17.407267934475616</v>
      </c>
      <c r="M199" s="167"/>
      <c r="N199" s="167"/>
      <c r="O199" s="72">
        <f t="shared" si="54"/>
        <v>24.73247726056715</v>
      </c>
      <c r="P199" s="74">
        <f t="shared" si="52"/>
        <v>21.75806072016945</v>
      </c>
      <c r="Q199" s="73">
        <f t="shared" si="53"/>
        <v>4.9690943294813215</v>
      </c>
    </row>
    <row r="200" spans="1:17" ht="24">
      <c r="A200" s="67" t="s">
        <v>188</v>
      </c>
      <c r="B200" s="110" t="s">
        <v>233</v>
      </c>
      <c r="C200" s="86" t="s">
        <v>189</v>
      </c>
      <c r="D200" s="99">
        <f t="shared" si="77"/>
        <v>0</v>
      </c>
      <c r="E200" s="99">
        <f t="shared" si="76"/>
        <v>0</v>
      </c>
      <c r="F200" s="113">
        <f>F14</f>
        <v>0</v>
      </c>
      <c r="G200" s="113">
        <f>G14</f>
        <v>0</v>
      </c>
      <c r="H200" s="113">
        <f>H14</f>
        <v>0</v>
      </c>
      <c r="I200" s="113">
        <f>I14</f>
        <v>0</v>
      </c>
      <c r="J200" s="113">
        <f>J14</f>
        <v>0</v>
      </c>
      <c r="K200" s="74" t="e">
        <f>J200/#REF!*100</f>
        <v>#REF!</v>
      </c>
      <c r="L200" s="74"/>
      <c r="M200" s="167"/>
      <c r="N200" s="167"/>
      <c r="O200" s="72" t="e">
        <f t="shared" si="54"/>
        <v>#DIV/0!</v>
      </c>
      <c r="P200" s="74"/>
      <c r="Q200" s="73"/>
    </row>
    <row r="201" spans="1:17" ht="36">
      <c r="A201" s="68" t="s">
        <v>190</v>
      </c>
      <c r="B201" s="114" t="s">
        <v>234</v>
      </c>
      <c r="C201" s="86" t="s">
        <v>191</v>
      </c>
      <c r="D201" s="99">
        <f t="shared" si="77"/>
        <v>80610.9</v>
      </c>
      <c r="E201" s="99">
        <f t="shared" si="76"/>
        <v>19825.5</v>
      </c>
      <c r="F201" s="73">
        <f>F15+F34+F47+F63+F79+F95+F109+F123+F139+F154+F170+F185</f>
        <v>19825.5</v>
      </c>
      <c r="G201" s="73">
        <f>G15+G34+G47+G63+G79+G95+G109+G123+G139+G154+G170+G185</f>
        <v>20094.3</v>
      </c>
      <c r="H201" s="73">
        <f>H15+H34+H47+H63+H79+H95+H109+H123+H139+H154+H170+H185</f>
        <v>20429</v>
      </c>
      <c r="I201" s="73">
        <f>I15+I34+I47+I63+I79+I95+I109+I123+I139+I154+I170+I185</f>
        <v>20262.099999999995</v>
      </c>
      <c r="J201" s="73">
        <f>J15+J34+J47+J63+J79+J95+J109+J123+J139+J154+J170+J185</f>
        <v>1111.9</v>
      </c>
      <c r="K201" s="74" t="e">
        <f>J201/#REF!*100</f>
        <v>#REF!</v>
      </c>
      <c r="L201" s="74">
        <f t="shared" si="75"/>
        <v>5.442752949238828</v>
      </c>
      <c r="M201" s="167"/>
      <c r="N201" s="167"/>
      <c r="O201" s="72">
        <f t="shared" si="54"/>
        <v>5.487585196006339</v>
      </c>
      <c r="P201" s="74">
        <f aca="true" t="shared" si="79" ref="P201:P212">J201*100/E201</f>
        <v>5.608433583011778</v>
      </c>
      <c r="Q201" s="73">
        <f aca="true" t="shared" si="80" ref="Q201:Q212">J201*100/D201</f>
        <v>1.3793419996551337</v>
      </c>
    </row>
    <row r="202" spans="1:17" ht="12.75">
      <c r="A202" s="87" t="s">
        <v>192</v>
      </c>
      <c r="B202" s="115" t="s">
        <v>235</v>
      </c>
      <c r="C202" s="86" t="s">
        <v>193</v>
      </c>
      <c r="D202" s="99">
        <f t="shared" si="77"/>
        <v>13832.499999999998</v>
      </c>
      <c r="E202" s="99">
        <f t="shared" si="76"/>
        <v>3453.2</v>
      </c>
      <c r="F202" s="73">
        <f>F16</f>
        <v>3453.2</v>
      </c>
      <c r="G202" s="73">
        <f>G16</f>
        <v>3453.2</v>
      </c>
      <c r="H202" s="73">
        <f>H16</f>
        <v>3453.2</v>
      </c>
      <c r="I202" s="73">
        <f>I16</f>
        <v>3472.9</v>
      </c>
      <c r="J202" s="73">
        <f>J16</f>
        <v>3081.6</v>
      </c>
      <c r="K202" s="74" t="e">
        <f>J202/#REF!*100</f>
        <v>#REF!</v>
      </c>
      <c r="L202" s="74">
        <f t="shared" si="75"/>
        <v>89.23896675547319</v>
      </c>
      <c r="M202" s="167"/>
      <c r="N202" s="167"/>
      <c r="O202" s="72">
        <f t="shared" si="54"/>
        <v>88.73275936537188</v>
      </c>
      <c r="P202" s="74">
        <f t="shared" si="79"/>
        <v>89.23896675547319</v>
      </c>
      <c r="Q202" s="73">
        <f t="shared" si="80"/>
        <v>22.27796855232243</v>
      </c>
    </row>
    <row r="203" spans="1:17" ht="24">
      <c r="A203" s="88" t="s">
        <v>194</v>
      </c>
      <c r="B203" s="116" t="s">
        <v>236</v>
      </c>
      <c r="C203" s="86" t="s">
        <v>195</v>
      </c>
      <c r="D203" s="99">
        <f t="shared" si="77"/>
        <v>4611</v>
      </c>
      <c r="E203" s="99">
        <f t="shared" si="76"/>
        <v>1089.1</v>
      </c>
      <c r="F203" s="117">
        <f>F17+F80+F96+F124+F140+F155+F171+F110+F64</f>
        <v>1089.1</v>
      </c>
      <c r="G203" s="117">
        <f>G17+G80+G96+G124+G140+G155+G171+G110+G64</f>
        <v>1127</v>
      </c>
      <c r="H203" s="117">
        <f>H17+H80+H96+H124+H140+H155+H171+H110+H64</f>
        <v>1026.4</v>
      </c>
      <c r="I203" s="117">
        <f>I17+I80+I96+I124+I140+I155+I171+I110+I64</f>
        <v>1368.5000000000002</v>
      </c>
      <c r="J203" s="117">
        <f>J17+J80+J96+J124+J140+J155+J171+J110+J64</f>
        <v>2013.6</v>
      </c>
      <c r="K203" s="74" t="e">
        <f>J203/#REF!*100</f>
        <v>#REF!</v>
      </c>
      <c r="L203" s="74">
        <f t="shared" si="75"/>
        <v>196.18082618862041</v>
      </c>
      <c r="M203" s="167"/>
      <c r="N203" s="167"/>
      <c r="O203" s="72">
        <f t="shared" si="54"/>
        <v>147.13920350748992</v>
      </c>
      <c r="P203" s="74">
        <f t="shared" si="79"/>
        <v>184.88660361766597</v>
      </c>
      <c r="Q203" s="73">
        <f t="shared" si="80"/>
        <v>43.66948601171113</v>
      </c>
    </row>
    <row r="204" spans="1:17" ht="24">
      <c r="A204" s="88" t="s">
        <v>196</v>
      </c>
      <c r="B204" s="116" t="s">
        <v>237</v>
      </c>
      <c r="C204" s="86" t="s">
        <v>197</v>
      </c>
      <c r="D204" s="99">
        <f t="shared" si="77"/>
        <v>10251</v>
      </c>
      <c r="E204" s="99">
        <f t="shared" si="76"/>
        <v>2792.2</v>
      </c>
      <c r="F204" s="73">
        <f>F18+F35+F48+F65+F81+F97+F111+F141+F156+F172+F186+F125</f>
        <v>2792.2</v>
      </c>
      <c r="G204" s="73">
        <f>G18+G35+G48+G65+G81+G97+G111+G141+G156+G172+G186+G125</f>
        <v>2875.2</v>
      </c>
      <c r="H204" s="73">
        <f>H18+H35+H48+H65+H81+H97+H111+H141+H156+H172+H186+H125</f>
        <v>2514.4999999999995</v>
      </c>
      <c r="I204" s="73">
        <f>I18+I35+I48+I65+I81+I97+I111+I141+I156+I172+I186+I125</f>
        <v>2069.1</v>
      </c>
      <c r="J204" s="73">
        <f>J18+J35+J48+J65+J81+J97+J111+J141+J156+J172+J186+J125-0.1</f>
        <v>1128.4</v>
      </c>
      <c r="K204" s="74" t="e">
        <f>J204/#REF!*100</f>
        <v>#REF!</v>
      </c>
      <c r="L204" s="74">
        <f t="shared" si="75"/>
        <v>44.87572081924837</v>
      </c>
      <c r="M204" s="167"/>
      <c r="N204" s="167"/>
      <c r="O204" s="72">
        <f aca="true" t="shared" si="81" ref="O204:O212">J204*100/I204</f>
        <v>54.53578850708038</v>
      </c>
      <c r="P204" s="74">
        <f t="shared" si="79"/>
        <v>40.41257789556623</v>
      </c>
      <c r="Q204" s="73">
        <f t="shared" si="80"/>
        <v>11.007706565213152</v>
      </c>
    </row>
    <row r="205" spans="1:17" ht="12.75">
      <c r="A205" s="88" t="s">
        <v>198</v>
      </c>
      <c r="B205" s="88"/>
      <c r="C205" s="86" t="s">
        <v>199</v>
      </c>
      <c r="D205" s="99">
        <f t="shared" si="77"/>
        <v>20</v>
      </c>
      <c r="E205" s="99">
        <f t="shared" si="76"/>
        <v>2</v>
      </c>
      <c r="F205" s="73">
        <f>F19</f>
        <v>2</v>
      </c>
      <c r="G205" s="73">
        <f>G19</f>
        <v>6</v>
      </c>
      <c r="H205" s="73">
        <f>H19</f>
        <v>6</v>
      </c>
      <c r="I205" s="73">
        <f>I19</f>
        <v>6</v>
      </c>
      <c r="J205" s="73">
        <f>J19</f>
        <v>1</v>
      </c>
      <c r="K205" s="74" t="e">
        <f>J205/#REF!*100</f>
        <v>#REF!</v>
      </c>
      <c r="L205" s="74">
        <f t="shared" si="75"/>
        <v>16.666666666666664</v>
      </c>
      <c r="M205" s="167"/>
      <c r="N205" s="167"/>
      <c r="O205" s="72">
        <f t="shared" si="81"/>
        <v>16.666666666666668</v>
      </c>
      <c r="P205" s="74">
        <f t="shared" si="79"/>
        <v>50</v>
      </c>
      <c r="Q205" s="73">
        <f t="shared" si="80"/>
        <v>5</v>
      </c>
    </row>
    <row r="206" spans="1:17" ht="36">
      <c r="A206" s="77" t="s">
        <v>200</v>
      </c>
      <c r="B206" s="112" t="s">
        <v>238</v>
      </c>
      <c r="C206" s="86" t="s">
        <v>201</v>
      </c>
      <c r="D206" s="99">
        <f t="shared" si="77"/>
        <v>2866.7000000000003</v>
      </c>
      <c r="E206" s="99">
        <f t="shared" si="76"/>
        <v>591.4</v>
      </c>
      <c r="F206" s="73">
        <f aca="true" t="shared" si="82" ref="F206:O206">F20+F173+F187+F66+F126+F49+F142+F82</f>
        <v>591.4</v>
      </c>
      <c r="G206" s="73">
        <f t="shared" si="82"/>
        <v>755.7</v>
      </c>
      <c r="H206" s="73">
        <f t="shared" si="82"/>
        <v>755.7</v>
      </c>
      <c r="I206" s="73">
        <f t="shared" si="82"/>
        <v>763.9</v>
      </c>
      <c r="J206" s="73">
        <f t="shared" si="82"/>
        <v>366.20000000000005</v>
      </c>
      <c r="K206" s="73" t="e">
        <f t="shared" si="82"/>
        <v>#REF!</v>
      </c>
      <c r="L206" s="73">
        <f t="shared" si="82"/>
        <v>47.84967579727405</v>
      </c>
      <c r="M206" s="73">
        <f t="shared" si="82"/>
        <v>0</v>
      </c>
      <c r="N206" s="73">
        <f t="shared" si="82"/>
        <v>0</v>
      </c>
      <c r="O206" s="73" t="e">
        <f t="shared" si="82"/>
        <v>#DIV/0!</v>
      </c>
      <c r="P206" s="74">
        <f t="shared" si="79"/>
        <v>61.920865742306404</v>
      </c>
      <c r="Q206" s="73">
        <f t="shared" si="80"/>
        <v>12.774270066627134</v>
      </c>
    </row>
    <row r="207" spans="1:17" ht="24">
      <c r="A207" s="89" t="s">
        <v>202</v>
      </c>
      <c r="B207" s="118" t="s">
        <v>233</v>
      </c>
      <c r="C207" s="71" t="s">
        <v>203</v>
      </c>
      <c r="D207" s="99">
        <f t="shared" si="77"/>
        <v>0</v>
      </c>
      <c r="E207" s="99">
        <f t="shared" si="76"/>
        <v>0</v>
      </c>
      <c r="F207" s="73">
        <f>F21+F36+F50+F67+F83+F98+F113+F127+F143+F158+F174+F188</f>
        <v>0</v>
      </c>
      <c r="G207" s="73">
        <f>G21+G36+G50+G67+G83+G98+G113+G127+G143+G158+G174+G188</f>
        <v>0</v>
      </c>
      <c r="H207" s="73">
        <f>H21+H36+H50+H67+H83+H98+H113+H127+H143+H158+H174+H188</f>
        <v>0</v>
      </c>
      <c r="I207" s="73">
        <f>I21+I36+I50+I67+I83+I98+I113+I127+I143+I158+I174+I188</f>
        <v>0</v>
      </c>
      <c r="J207" s="73">
        <f>J21+J36+J50+J67+J83+J98+J113+J127+J143+J158+J174+J188</f>
        <v>-200</v>
      </c>
      <c r="K207" s="74"/>
      <c r="L207" s="74"/>
      <c r="M207" s="167"/>
      <c r="N207" s="167"/>
      <c r="O207" s="72" t="e">
        <f t="shared" si="81"/>
        <v>#DIV/0!</v>
      </c>
      <c r="P207" s="74"/>
      <c r="Q207" s="73"/>
    </row>
    <row r="208" spans="1:17" ht="12.75">
      <c r="A208" s="83" t="s">
        <v>206</v>
      </c>
      <c r="B208" s="111"/>
      <c r="C208" s="91" t="s">
        <v>207</v>
      </c>
      <c r="D208" s="92">
        <f aca="true" t="shared" si="83" ref="D208:J208">D209+D210+D211</f>
        <v>3014773.6000000006</v>
      </c>
      <c r="E208" s="92">
        <f t="shared" si="83"/>
        <v>374214.5</v>
      </c>
      <c r="F208" s="92">
        <f t="shared" si="83"/>
        <v>374214.5</v>
      </c>
      <c r="G208" s="92">
        <f t="shared" si="83"/>
        <v>741198.8</v>
      </c>
      <c r="H208" s="92">
        <f t="shared" si="83"/>
        <v>708157.2</v>
      </c>
      <c r="I208" s="92">
        <f t="shared" si="83"/>
        <v>1191203.1</v>
      </c>
      <c r="J208" s="92">
        <f t="shared" si="83"/>
        <v>-214938.99999999997</v>
      </c>
      <c r="K208" s="85" t="e">
        <f>J208/#REF!*100</f>
        <v>#REF!</v>
      </c>
      <c r="L208" s="85">
        <f>J208/H208*100</f>
        <v>-30.351876673710297</v>
      </c>
      <c r="M208" s="167"/>
      <c r="N208" s="167"/>
      <c r="O208" s="93">
        <f t="shared" si="81"/>
        <v>-18.043858347917325</v>
      </c>
      <c r="P208" s="85">
        <f t="shared" si="79"/>
        <v>-57.43737882952156</v>
      </c>
      <c r="Q208" s="80">
        <f t="shared" si="80"/>
        <v>-7.129523755946381</v>
      </c>
    </row>
    <row r="209" spans="1:17" ht="36">
      <c r="A209" s="69" t="s">
        <v>208</v>
      </c>
      <c r="B209" s="110" t="s">
        <v>239</v>
      </c>
      <c r="C209" s="94" t="s">
        <v>209</v>
      </c>
      <c r="D209" s="99">
        <f t="shared" si="77"/>
        <v>2988203.4000000004</v>
      </c>
      <c r="E209" s="99">
        <f t="shared" si="76"/>
        <v>366844.3</v>
      </c>
      <c r="F209" s="72">
        <f>F23-6274.7</f>
        <v>366844.3</v>
      </c>
      <c r="G209" s="72">
        <f>G23-9412.1</f>
        <v>734598.8</v>
      </c>
      <c r="H209" s="72">
        <f>H23-8470.9</f>
        <v>701557.2</v>
      </c>
      <c r="I209" s="72">
        <f>I23-7215.9</f>
        <v>1185203.1</v>
      </c>
      <c r="J209" s="72">
        <f>J23</f>
        <v>108028.1</v>
      </c>
      <c r="K209" s="74" t="e">
        <f>J209/#REF!*100</f>
        <v>#REF!</v>
      </c>
      <c r="L209" s="74">
        <f>J209/H209*100</f>
        <v>15.398331027035288</v>
      </c>
      <c r="M209" s="167"/>
      <c r="N209" s="167"/>
      <c r="O209" s="72">
        <f t="shared" si="81"/>
        <v>9.114733162611538</v>
      </c>
      <c r="P209" s="74">
        <f t="shared" si="79"/>
        <v>29.44794290111636</v>
      </c>
      <c r="Q209" s="73">
        <f t="shared" si="80"/>
        <v>3.6151521680217615</v>
      </c>
    </row>
    <row r="210" spans="1:17" ht="36">
      <c r="A210" s="69" t="s">
        <v>210</v>
      </c>
      <c r="B210" s="69" t="s">
        <v>240</v>
      </c>
      <c r="C210" s="95" t="s">
        <v>211</v>
      </c>
      <c r="D210" s="99">
        <f t="shared" si="77"/>
        <v>26570.2</v>
      </c>
      <c r="E210" s="99">
        <f t="shared" si="76"/>
        <v>7370.2</v>
      </c>
      <c r="F210" s="73">
        <f>F24+F87+F101+F161+F130+F53</f>
        <v>7370.2</v>
      </c>
      <c r="G210" s="73">
        <f>G24+G87+G101+G161+G130+G53</f>
        <v>6600</v>
      </c>
      <c r="H210" s="73">
        <f>H24+H87+H101+H161+H130+H53</f>
        <v>6600</v>
      </c>
      <c r="I210" s="73">
        <f>I24+I87+I101+I161+I130+I53</f>
        <v>6000</v>
      </c>
      <c r="J210" s="73">
        <f>J24+J87+J101+J161+J130+J53</f>
        <v>0</v>
      </c>
      <c r="K210" s="74" t="e">
        <f>J210/#REF!*100</f>
        <v>#REF!</v>
      </c>
      <c r="L210" s="74">
        <f>J210/H210*100</f>
        <v>0</v>
      </c>
      <c r="M210" s="167"/>
      <c r="N210" s="167"/>
      <c r="O210" s="72">
        <f t="shared" si="81"/>
        <v>0</v>
      </c>
      <c r="P210" s="74">
        <f t="shared" si="79"/>
        <v>0</v>
      </c>
      <c r="Q210" s="73">
        <f t="shared" si="80"/>
        <v>0</v>
      </c>
    </row>
    <row r="211" spans="1:17" ht="36">
      <c r="A211" s="69" t="s">
        <v>214</v>
      </c>
      <c r="B211" s="70"/>
      <c r="C211" s="76" t="s">
        <v>215</v>
      </c>
      <c r="D211" s="99">
        <f t="shared" si="77"/>
        <v>0</v>
      </c>
      <c r="E211" s="99">
        <f t="shared" si="76"/>
        <v>0</v>
      </c>
      <c r="F211" s="73">
        <f>F26</f>
        <v>0</v>
      </c>
      <c r="G211" s="73">
        <f>G26</f>
        <v>0</v>
      </c>
      <c r="H211" s="73">
        <f>H26</f>
        <v>0</v>
      </c>
      <c r="I211" s="73">
        <f>I26</f>
        <v>0</v>
      </c>
      <c r="J211" s="73">
        <f>J26</f>
        <v>-322967.1</v>
      </c>
      <c r="K211" s="74" t="e">
        <f>J211/#REF!*100</f>
        <v>#REF!</v>
      </c>
      <c r="L211" s="74"/>
      <c r="M211" s="167"/>
      <c r="N211" s="167"/>
      <c r="O211" s="72" t="e">
        <f t="shared" si="81"/>
        <v>#DIV/0!</v>
      </c>
      <c r="P211" s="74"/>
      <c r="Q211" s="73"/>
    </row>
    <row r="212" spans="1:17" ht="12.75">
      <c r="A212" s="77"/>
      <c r="B212" s="78"/>
      <c r="C212" s="79" t="s">
        <v>216</v>
      </c>
      <c r="D212" s="80">
        <f aca="true" t="shared" si="84" ref="D212:J212">D208+D194</f>
        <v>4005747.2000000007</v>
      </c>
      <c r="E212" s="80">
        <f t="shared" si="84"/>
        <v>604560.5</v>
      </c>
      <c r="F212" s="80">
        <f t="shared" si="84"/>
        <v>604560.5</v>
      </c>
      <c r="G212" s="80">
        <f t="shared" si="84"/>
        <v>994947.5</v>
      </c>
      <c r="H212" s="80">
        <f t="shared" si="84"/>
        <v>945292.8</v>
      </c>
      <c r="I212" s="80">
        <f t="shared" si="84"/>
        <v>1460946.4000000001</v>
      </c>
      <c r="J212" s="80">
        <f t="shared" si="84"/>
        <v>-145975.99999999994</v>
      </c>
      <c r="K212" s="85" t="e">
        <f>J212/#REF!*100</f>
        <v>#REF!</v>
      </c>
      <c r="L212" s="85">
        <f>J212/H212*100</f>
        <v>-15.442411070940128</v>
      </c>
      <c r="M212" s="167"/>
      <c r="N212" s="171" t="e">
        <f>I212+#REF!+#REF!</f>
        <v>#REF!</v>
      </c>
      <c r="O212" s="93">
        <f t="shared" si="81"/>
        <v>-9.991879236637287</v>
      </c>
      <c r="P212" s="85">
        <f t="shared" si="79"/>
        <v>-24.145805093121357</v>
      </c>
      <c r="Q212" s="80">
        <f t="shared" si="80"/>
        <v>-3.6441640650713034</v>
      </c>
    </row>
    <row r="213" spans="1:17" ht="12.75">
      <c r="A213" s="81"/>
      <c r="B213" s="81"/>
      <c r="C213" s="183"/>
      <c r="D213" s="183"/>
      <c r="E213" s="183"/>
      <c r="F213" s="183"/>
      <c r="G213" s="183"/>
      <c r="H213" s="184"/>
      <c r="I213" s="81"/>
      <c r="J213" s="81"/>
      <c r="K213" s="81"/>
      <c r="L213" s="81"/>
      <c r="M213" s="81"/>
      <c r="N213" s="81"/>
      <c r="O213" s="81"/>
      <c r="P213" s="81"/>
      <c r="Q213" s="81"/>
    </row>
  </sheetData>
  <sheetProtection/>
  <mergeCells count="41">
    <mergeCell ref="A178:L178"/>
    <mergeCell ref="A179:O179"/>
    <mergeCell ref="A192:L192"/>
    <mergeCell ref="A193:O193"/>
    <mergeCell ref="A132:L132"/>
    <mergeCell ref="A133:O133"/>
    <mergeCell ref="A148:L148"/>
    <mergeCell ref="A149:O149"/>
    <mergeCell ref="A163:L163"/>
    <mergeCell ref="A164:O164"/>
    <mergeCell ref="A57:O57"/>
    <mergeCell ref="A72:L72"/>
    <mergeCell ref="A73:O73"/>
    <mergeCell ref="A89:L89"/>
    <mergeCell ref="A90:O90"/>
    <mergeCell ref="A103:L103"/>
    <mergeCell ref="A7:O7"/>
    <mergeCell ref="A28:L28"/>
    <mergeCell ref="A29:O29"/>
    <mergeCell ref="C40:L40"/>
    <mergeCell ref="A41:O41"/>
    <mergeCell ref="A56:L56"/>
    <mergeCell ref="L4:L6"/>
    <mergeCell ref="M4:M6"/>
    <mergeCell ref="N4:N6"/>
    <mergeCell ref="O4:O6"/>
    <mergeCell ref="P4:P6"/>
    <mergeCell ref="Q4:Q6"/>
    <mergeCell ref="A1:L1"/>
    <mergeCell ref="A2:L2"/>
    <mergeCell ref="D4:D6"/>
    <mergeCell ref="E4:E6"/>
    <mergeCell ref="F4:F6"/>
    <mergeCell ref="G4:G6"/>
    <mergeCell ref="H4:H6"/>
    <mergeCell ref="I4:I6"/>
    <mergeCell ref="J4:J6"/>
    <mergeCell ref="K4:K6"/>
    <mergeCell ref="A104:O104"/>
    <mergeCell ref="A117:L117"/>
    <mergeCell ref="A118:O11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PageLayoutView="0" workbookViewId="0" topLeftCell="A1">
      <selection activeCell="A118" sqref="A118:C139"/>
    </sheetView>
  </sheetViews>
  <sheetFormatPr defaultColWidth="9.00390625" defaultRowHeight="12.75"/>
  <cols>
    <col min="2" max="2" width="49.875" style="0" customWidth="1"/>
    <col min="3" max="3" width="13.75390625" style="0" customWidth="1"/>
    <col min="4" max="4" width="12.875" style="0" customWidth="1"/>
    <col min="5" max="5" width="6.25390625" style="0" customWidth="1"/>
    <col min="6" max="6" width="12.625" style="0" customWidth="1"/>
    <col min="7" max="7" width="10.875" style="0" customWidth="1"/>
    <col min="8" max="8" width="6.875" style="0" customWidth="1"/>
    <col min="9" max="9" width="12.625" style="0" customWidth="1"/>
    <col min="10" max="10" width="11.875" style="0" customWidth="1"/>
  </cols>
  <sheetData>
    <row r="1" spans="1:11" ht="14.25" customHeight="1">
      <c r="A1" s="129" t="s">
        <v>244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 customHeight="1">
      <c r="A3" s="130" t="s">
        <v>98</v>
      </c>
      <c r="B3" s="132" t="s">
        <v>97</v>
      </c>
      <c r="C3" s="134" t="s">
        <v>113</v>
      </c>
      <c r="D3" s="134"/>
      <c r="E3" s="134"/>
      <c r="F3" s="135" t="s">
        <v>112</v>
      </c>
      <c r="G3" s="135"/>
      <c r="H3" s="135"/>
      <c r="I3" s="136" t="s">
        <v>111</v>
      </c>
      <c r="J3" s="136"/>
      <c r="K3" s="137"/>
    </row>
    <row r="4" spans="1:11" ht="12.75" customHeight="1">
      <c r="A4" s="131"/>
      <c r="B4" s="133"/>
      <c r="C4" s="121" t="s">
        <v>78</v>
      </c>
      <c r="D4" s="121" t="s">
        <v>245</v>
      </c>
      <c r="E4" s="121" t="s">
        <v>77</v>
      </c>
      <c r="F4" s="121" t="s">
        <v>78</v>
      </c>
      <c r="G4" s="138" t="s">
        <v>245</v>
      </c>
      <c r="H4" s="138" t="s">
        <v>77</v>
      </c>
      <c r="I4" s="139" t="s">
        <v>78</v>
      </c>
      <c r="J4" s="141" t="s">
        <v>246</v>
      </c>
      <c r="K4" s="124" t="s">
        <v>77</v>
      </c>
    </row>
    <row r="5" spans="1:11" ht="12.75">
      <c r="A5" s="131"/>
      <c r="B5" s="133"/>
      <c r="C5" s="122"/>
      <c r="D5" s="121"/>
      <c r="E5" s="128"/>
      <c r="F5" s="122"/>
      <c r="G5" s="138"/>
      <c r="H5" s="122"/>
      <c r="I5" s="140"/>
      <c r="J5" s="141"/>
      <c r="K5" s="125"/>
    </row>
    <row r="6" spans="1:11" ht="12.75">
      <c r="A6" s="131"/>
      <c r="B6" s="126" t="s">
        <v>0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1:11" ht="12.75">
      <c r="A7" s="131"/>
      <c r="B7" s="126"/>
      <c r="C7" s="126"/>
      <c r="D7" s="126"/>
      <c r="E7" s="126"/>
      <c r="F7" s="126"/>
      <c r="G7" s="126"/>
      <c r="H7" s="126"/>
      <c r="I7" s="126"/>
      <c r="J7" s="126"/>
      <c r="K7" s="127"/>
    </row>
    <row r="8" spans="1:11" ht="12.75">
      <c r="A8" s="131"/>
      <c r="B8" s="126"/>
      <c r="C8" s="126"/>
      <c r="D8" s="126"/>
      <c r="E8" s="126"/>
      <c r="F8" s="126"/>
      <c r="G8" s="126"/>
      <c r="H8" s="126"/>
      <c r="I8" s="126"/>
      <c r="J8" s="126"/>
      <c r="K8" s="127"/>
    </row>
    <row r="9" spans="1:11" ht="12.75">
      <c r="A9" s="13" t="s">
        <v>1</v>
      </c>
      <c r="B9" s="4" t="s">
        <v>2</v>
      </c>
      <c r="C9" s="24">
        <f>SUM(C10:C17)</f>
        <v>243318</v>
      </c>
      <c r="D9" s="24">
        <f>SUM(D10:D17)</f>
        <v>20199.8</v>
      </c>
      <c r="E9" s="24">
        <f>D9/C9*100</f>
        <v>8.301810799036652</v>
      </c>
      <c r="F9" s="24">
        <f>F10+F11+F12+F13+F14+F16+F17+F15</f>
        <v>173556.5</v>
      </c>
      <c r="G9" s="24">
        <f>SUM(G10:G17)</f>
        <v>6496.700000000001</v>
      </c>
      <c r="H9" s="35">
        <f>G9/F9*100</f>
        <v>3.7432766851140697</v>
      </c>
      <c r="I9" s="24">
        <f>SUM(I10:I17)</f>
        <v>416804.5</v>
      </c>
      <c r="J9" s="24">
        <f>SUM(J10:J17)</f>
        <v>26696.5</v>
      </c>
      <c r="K9" s="36">
        <f>J9/I9*100</f>
        <v>6.40504121236695</v>
      </c>
    </row>
    <row r="10" spans="1:11" ht="12.75">
      <c r="A10" s="14" t="s">
        <v>3</v>
      </c>
      <c r="B10" s="3" t="s">
        <v>4</v>
      </c>
      <c r="C10" s="22">
        <v>13161.1</v>
      </c>
      <c r="D10" s="22">
        <v>2746</v>
      </c>
      <c r="E10" s="22">
        <f>D10/C10*100</f>
        <v>20.86451740356049</v>
      </c>
      <c r="F10" s="25">
        <v>37261.9</v>
      </c>
      <c r="G10" s="23">
        <v>843.2</v>
      </c>
      <c r="H10" s="25">
        <f>G10/F10*100</f>
        <v>2.2629012476551114</v>
      </c>
      <c r="I10" s="40">
        <f aca="true" t="shared" si="0" ref="I10:J70">C10+F10</f>
        <v>50423</v>
      </c>
      <c r="J10" s="46">
        <f t="shared" si="0"/>
        <v>3589.2</v>
      </c>
      <c r="K10" s="37">
        <f aca="true" t="shared" si="1" ref="K10:K72">J10/I10*100</f>
        <v>7.1181801955456825</v>
      </c>
    </row>
    <row r="11" spans="1:11" ht="22.5">
      <c r="A11" s="14" t="s">
        <v>5</v>
      </c>
      <c r="B11" s="3" t="s">
        <v>89</v>
      </c>
      <c r="C11" s="22">
        <v>24830.9</v>
      </c>
      <c r="D11" s="22">
        <v>2898.3</v>
      </c>
      <c r="E11" s="22">
        <f aca="true" t="shared" si="2" ref="E11:E19">D11/C11*100</f>
        <v>11.672150425477932</v>
      </c>
      <c r="F11" s="25">
        <v>0</v>
      </c>
      <c r="G11" s="23">
        <v>0</v>
      </c>
      <c r="H11" s="25">
        <v>0</v>
      </c>
      <c r="I11" s="40">
        <f t="shared" si="0"/>
        <v>24830.9</v>
      </c>
      <c r="J11" s="46">
        <f t="shared" si="0"/>
        <v>2898.3</v>
      </c>
      <c r="K11" s="37">
        <f t="shared" si="1"/>
        <v>11.672150425477932</v>
      </c>
    </row>
    <row r="12" spans="1:11" ht="12.75">
      <c r="A12" s="14" t="s">
        <v>6</v>
      </c>
      <c r="B12" s="3" t="s">
        <v>7</v>
      </c>
      <c r="C12" s="22">
        <v>117590</v>
      </c>
      <c r="D12" s="22">
        <v>11209.4</v>
      </c>
      <c r="E12" s="22">
        <f t="shared" si="2"/>
        <v>9.532613317458967</v>
      </c>
      <c r="F12" s="25">
        <v>115279.3</v>
      </c>
      <c r="G12" s="23">
        <v>5433.1</v>
      </c>
      <c r="H12" s="25">
        <f aca="true" t="shared" si="3" ref="H12:H19">G12/F12*100</f>
        <v>4.712988368249981</v>
      </c>
      <c r="I12" s="40">
        <f t="shared" si="0"/>
        <v>232869.3</v>
      </c>
      <c r="J12" s="46">
        <f t="shared" si="0"/>
        <v>16642.5</v>
      </c>
      <c r="K12" s="37">
        <f t="shared" si="1"/>
        <v>7.1467127697811605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27427.6</v>
      </c>
      <c r="D14" s="22">
        <v>2873</v>
      </c>
      <c r="E14" s="22">
        <f t="shared" si="2"/>
        <v>10.474850150942846</v>
      </c>
      <c r="F14" s="25">
        <v>99.3</v>
      </c>
      <c r="G14" s="23">
        <v>60.3</v>
      </c>
      <c r="H14" s="25">
        <f t="shared" si="3"/>
        <v>60.7250755287009</v>
      </c>
      <c r="I14" s="40">
        <f>C14+F14</f>
        <v>27526.899999999998</v>
      </c>
      <c r="J14" s="46">
        <f>D14+G14</f>
        <v>2933.3</v>
      </c>
      <c r="K14" s="37">
        <f t="shared" si="1"/>
        <v>10.6561218299191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170</v>
      </c>
      <c r="G15" s="23">
        <v>0</v>
      </c>
      <c r="H15" s="25"/>
      <c r="I15" s="40">
        <f>C15+F15</f>
        <v>170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4036</v>
      </c>
      <c r="D16" s="22">
        <v>0</v>
      </c>
      <c r="E16" s="22">
        <f t="shared" si="2"/>
        <v>0</v>
      </c>
      <c r="F16" s="25">
        <v>950</v>
      </c>
      <c r="G16" s="23">
        <v>0</v>
      </c>
      <c r="H16" s="25">
        <f t="shared" si="3"/>
        <v>0</v>
      </c>
      <c r="I16" s="40">
        <f t="shared" si="0"/>
        <v>4986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56272.4</v>
      </c>
      <c r="D17" s="22">
        <v>473.1</v>
      </c>
      <c r="E17" s="22">
        <f t="shared" si="2"/>
        <v>0.8407318685536782</v>
      </c>
      <c r="F17" s="25">
        <v>19796</v>
      </c>
      <c r="G17" s="23">
        <v>160.1</v>
      </c>
      <c r="H17" s="25">
        <f t="shared" si="3"/>
        <v>0.808749242271166</v>
      </c>
      <c r="I17" s="40">
        <f>C17+F17-70</f>
        <v>75998.4</v>
      </c>
      <c r="J17" s="46">
        <f>D17+G17</f>
        <v>633.2</v>
      </c>
      <c r="K17" s="37">
        <f t="shared" si="1"/>
        <v>0.8331754352723217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4782</v>
      </c>
      <c r="D18" s="24">
        <f t="shared" si="4"/>
        <v>0</v>
      </c>
      <c r="E18" s="24">
        <f t="shared" si="4"/>
        <v>0</v>
      </c>
      <c r="F18" s="24">
        <f t="shared" si="4"/>
        <v>4782</v>
      </c>
      <c r="G18" s="24">
        <f t="shared" si="4"/>
        <v>0</v>
      </c>
      <c r="H18" s="38">
        <f t="shared" si="4"/>
        <v>0</v>
      </c>
      <c r="I18" s="24">
        <f t="shared" si="4"/>
        <v>4782</v>
      </c>
      <c r="J18" s="24">
        <f t="shared" si="4"/>
        <v>0</v>
      </c>
      <c r="K18" s="39">
        <f t="shared" si="1"/>
        <v>0</v>
      </c>
    </row>
    <row r="19" spans="1:11" ht="12.75">
      <c r="A19" s="14" t="s">
        <v>18</v>
      </c>
      <c r="B19" s="3" t="s">
        <v>19</v>
      </c>
      <c r="C19" s="22">
        <v>4782</v>
      </c>
      <c r="D19" s="22">
        <v>0</v>
      </c>
      <c r="E19" s="22">
        <f t="shared" si="2"/>
        <v>0</v>
      </c>
      <c r="F19" s="25">
        <v>4782</v>
      </c>
      <c r="G19" s="23">
        <v>0</v>
      </c>
      <c r="H19" s="25">
        <f t="shared" si="3"/>
        <v>0</v>
      </c>
      <c r="I19" s="40">
        <f>C19+F19-4782</f>
        <v>4782</v>
      </c>
      <c r="J19" s="46">
        <f>D19+G19</f>
        <v>0</v>
      </c>
      <c r="K19" s="37">
        <f t="shared" si="1"/>
        <v>0</v>
      </c>
    </row>
    <row r="20" spans="1:11" ht="12.75" customHeight="1">
      <c r="A20" s="144" t="s">
        <v>20</v>
      </c>
      <c r="B20" s="145" t="s">
        <v>102</v>
      </c>
      <c r="C20" s="123">
        <f>C23+C24+C22</f>
        <v>36701.2</v>
      </c>
      <c r="D20" s="123">
        <f>D23+D24+D22</f>
        <v>0</v>
      </c>
      <c r="E20" s="123">
        <f>D20/C20*100</f>
        <v>0</v>
      </c>
      <c r="F20" s="123">
        <f>F23+F24+F22</f>
        <v>7476.8</v>
      </c>
      <c r="G20" s="123">
        <f>G23+G24+G22</f>
        <v>29.9</v>
      </c>
      <c r="H20" s="123">
        <f>G20/F20*100</f>
        <v>0.39990370211855336</v>
      </c>
      <c r="I20" s="123">
        <f>I23+I24+I22</f>
        <v>43417</v>
      </c>
      <c r="J20" s="123">
        <f>SUM(J22:J24)</f>
        <v>29.9</v>
      </c>
      <c r="K20" s="123">
        <f>J20/I20*100</f>
        <v>0.06886703365041343</v>
      </c>
    </row>
    <row r="21" spans="1:11" ht="12.75">
      <c r="A21" s="144"/>
      <c r="B21" s="145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2.75">
      <c r="A22" s="15" t="s">
        <v>116</v>
      </c>
      <c r="B22" s="3" t="s">
        <v>247</v>
      </c>
      <c r="C22" s="22">
        <v>5428.2</v>
      </c>
      <c r="D22" s="22">
        <v>0</v>
      </c>
      <c r="E22" s="22">
        <f aca="true" t="shared" si="5" ref="E22:E8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8856.6</v>
      </c>
      <c r="D23" s="22">
        <v>0</v>
      </c>
      <c r="E23" s="22">
        <f t="shared" si="5"/>
        <v>0</v>
      </c>
      <c r="F23" s="25">
        <v>6715.8</v>
      </c>
      <c r="G23" s="23">
        <v>29.9</v>
      </c>
      <c r="H23" s="25">
        <f>G23/F23*100</f>
        <v>0.44521873790166466</v>
      </c>
      <c r="I23" s="40">
        <f>C23+F23</f>
        <v>15572.400000000001</v>
      </c>
      <c r="J23" s="46">
        <f>D23+G23</f>
        <v>29.9</v>
      </c>
      <c r="K23" s="37">
        <f>J23/I23*100</f>
        <v>0.19200637024479203</v>
      </c>
    </row>
    <row r="24" spans="1:11" ht="22.5">
      <c r="A24" s="15" t="s">
        <v>107</v>
      </c>
      <c r="B24" s="3" t="s">
        <v>108</v>
      </c>
      <c r="C24" s="22">
        <v>22416.4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22416.4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SUM(C26:C41)</f>
        <v>180775.3</v>
      </c>
      <c r="D25" s="24">
        <f>SUM(D26:D41)</f>
        <v>2159.1</v>
      </c>
      <c r="E25" s="24">
        <f>D25/C25*100</f>
        <v>1.1943556448253716</v>
      </c>
      <c r="F25" s="24">
        <f>SUM(F26:F41)</f>
        <v>64945.2</v>
      </c>
      <c r="G25" s="24">
        <f>SUM(G26:G41)</f>
        <v>539.6</v>
      </c>
      <c r="H25" s="35">
        <f>G25/F25*100</f>
        <v>0.8308543202576943</v>
      </c>
      <c r="I25" s="24">
        <f>SUM(I26:I41)</f>
        <v>228966.49999999997</v>
      </c>
      <c r="J25" s="24">
        <f>SUM(J26:J41)</f>
        <v>2698.7</v>
      </c>
      <c r="K25" s="36">
        <f t="shared" si="1"/>
        <v>1.1786440374465261</v>
      </c>
    </row>
    <row r="26" spans="1:11" ht="33.75">
      <c r="A26" s="15" t="s">
        <v>24</v>
      </c>
      <c r="B26" s="16" t="s">
        <v>248</v>
      </c>
      <c r="C26" s="22">
        <v>11292.4</v>
      </c>
      <c r="D26" s="22">
        <v>0</v>
      </c>
      <c r="E26" s="22">
        <f t="shared" si="5"/>
        <v>0</v>
      </c>
      <c r="F26" s="56">
        <v>200</v>
      </c>
      <c r="G26" s="28">
        <v>93.1</v>
      </c>
      <c r="H26" s="25">
        <f>G26/F26*100</f>
        <v>46.55</v>
      </c>
      <c r="I26" s="40">
        <f>C26+F26</f>
        <v>11492.4</v>
      </c>
      <c r="J26" s="40">
        <f>D26+G26</f>
        <v>93.1</v>
      </c>
      <c r="K26" s="37">
        <f t="shared" si="1"/>
        <v>0.8101005882148201</v>
      </c>
    </row>
    <row r="27" spans="1:11" ht="12.75">
      <c r="A27" s="14" t="s">
        <v>25</v>
      </c>
      <c r="B27" s="3" t="s">
        <v>26</v>
      </c>
      <c r="C27" s="22">
        <v>41040.5</v>
      </c>
      <c r="D27" s="22">
        <v>2103.9</v>
      </c>
      <c r="E27" s="22">
        <f t="shared" si="5"/>
        <v>5.126399532169443</v>
      </c>
      <c r="F27" s="25">
        <v>0</v>
      </c>
      <c r="G27" s="23">
        <v>0</v>
      </c>
      <c r="H27" s="25">
        <v>0</v>
      </c>
      <c r="I27" s="40">
        <f t="shared" si="0"/>
        <v>41040.5</v>
      </c>
      <c r="J27" s="46">
        <f t="shared" si="0"/>
        <v>2103.9</v>
      </c>
      <c r="K27" s="37">
        <f t="shared" si="1"/>
        <v>5.126399532169443</v>
      </c>
    </row>
    <row r="28" spans="1:11" ht="12.75">
      <c r="A28" s="14" t="s">
        <v>27</v>
      </c>
      <c r="B28" s="3" t="s">
        <v>249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250</v>
      </c>
      <c r="C29" s="56">
        <v>13896</v>
      </c>
      <c r="D29" s="22">
        <v>0</v>
      </c>
      <c r="E29" s="22">
        <f t="shared" si="5"/>
        <v>0</v>
      </c>
      <c r="F29" s="28">
        <v>12592</v>
      </c>
      <c r="G29" s="26">
        <v>0</v>
      </c>
      <c r="H29" s="25">
        <f>G29/F29*100</f>
        <v>0</v>
      </c>
      <c r="I29" s="40">
        <f t="shared" si="0"/>
        <v>26488</v>
      </c>
      <c r="J29" s="46">
        <f t="shared" si="0"/>
        <v>0</v>
      </c>
      <c r="K29" s="37">
        <f t="shared" si="1"/>
        <v>0</v>
      </c>
    </row>
    <row r="30" spans="1:11" ht="12.75">
      <c r="A30" s="14" t="s">
        <v>27</v>
      </c>
      <c r="B30" s="3" t="s">
        <v>251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33.75">
      <c r="A31" s="14" t="s">
        <v>74</v>
      </c>
      <c r="B31" s="2" t="s">
        <v>252</v>
      </c>
      <c r="C31" s="56">
        <v>1963</v>
      </c>
      <c r="D31" s="22">
        <v>0</v>
      </c>
      <c r="E31" s="22">
        <f t="shared" si="5"/>
        <v>0</v>
      </c>
      <c r="F31" s="26">
        <v>0</v>
      </c>
      <c r="G31" s="26">
        <v>0</v>
      </c>
      <c r="H31" s="25">
        <v>0</v>
      </c>
      <c r="I31" s="40">
        <f t="shared" si="0"/>
        <v>1963</v>
      </c>
      <c r="J31" s="46">
        <f t="shared" si="0"/>
        <v>0</v>
      </c>
      <c r="K31" s="37">
        <f t="shared" si="1"/>
        <v>0</v>
      </c>
    </row>
    <row r="32" spans="1:11" ht="33.75">
      <c r="A32" s="15" t="s">
        <v>74</v>
      </c>
      <c r="B32" s="2" t="s">
        <v>253</v>
      </c>
      <c r="C32" s="56">
        <f>62658+3163+14254+872.6</f>
        <v>80947.6</v>
      </c>
      <c r="D32" s="22">
        <v>0</v>
      </c>
      <c r="E32" s="22">
        <v>0</v>
      </c>
      <c r="F32" s="28">
        <v>14355.4</v>
      </c>
      <c r="G32" s="28">
        <v>0</v>
      </c>
      <c r="H32" s="25">
        <f>G32/F32*100</f>
        <v>0</v>
      </c>
      <c r="I32" s="40">
        <f>C32+F32-14254</f>
        <v>81049</v>
      </c>
      <c r="J32" s="46">
        <f>D32+G32</f>
        <v>0</v>
      </c>
      <c r="K32" s="37">
        <f>J32/I32*100</f>
        <v>0</v>
      </c>
    </row>
    <row r="33" spans="1:11" ht="56.25">
      <c r="A33" s="15" t="s">
        <v>74</v>
      </c>
      <c r="B33" s="3" t="s">
        <v>254</v>
      </c>
      <c r="C33" s="56">
        <v>2500</v>
      </c>
      <c r="D33" s="22">
        <v>0</v>
      </c>
      <c r="E33" s="22"/>
      <c r="F33" s="28">
        <v>2500</v>
      </c>
      <c r="G33" s="28"/>
      <c r="H33" s="25"/>
      <c r="I33" s="40">
        <f>C33+F33-2500</f>
        <v>2500</v>
      </c>
      <c r="J33" s="46">
        <f>D33+G33</f>
        <v>0</v>
      </c>
      <c r="K33" s="37">
        <f>J33/I33*100</f>
        <v>0</v>
      </c>
    </row>
    <row r="34" spans="1:11" ht="12.75">
      <c r="A34" s="15" t="s">
        <v>74</v>
      </c>
      <c r="B34" s="3" t="s">
        <v>255</v>
      </c>
      <c r="C34" s="56"/>
      <c r="D34" s="22"/>
      <c r="E34" s="22"/>
      <c r="F34" s="28">
        <v>32526.8</v>
      </c>
      <c r="G34" s="28">
        <v>414.5</v>
      </c>
      <c r="H34" s="25"/>
      <c r="I34" s="40">
        <f>C34+F34</f>
        <v>32526.8</v>
      </c>
      <c r="J34" s="46">
        <f>D34+G34</f>
        <v>414.5</v>
      </c>
      <c r="K34" s="37">
        <f>J34/I34*100</f>
        <v>1.2743337801443733</v>
      </c>
    </row>
    <row r="35" spans="1:11" ht="12.75">
      <c r="A35" s="14" t="s">
        <v>67</v>
      </c>
      <c r="B35" s="3" t="s">
        <v>68</v>
      </c>
      <c r="C35" s="56">
        <v>4038</v>
      </c>
      <c r="D35" s="22">
        <v>43.5</v>
      </c>
      <c r="E35" s="22">
        <f t="shared" si="5"/>
        <v>1.0772659732540861</v>
      </c>
      <c r="F35" s="28">
        <v>2271</v>
      </c>
      <c r="G35" s="26">
        <v>32</v>
      </c>
      <c r="H35" s="25">
        <f>G35/F35*100</f>
        <v>1.4090708938793484</v>
      </c>
      <c r="I35" s="40">
        <f t="shared" si="0"/>
        <v>6309</v>
      </c>
      <c r="J35" s="46">
        <f t="shared" si="0"/>
        <v>75.5</v>
      </c>
      <c r="K35" s="37">
        <f t="shared" si="1"/>
        <v>1.1967031225233793</v>
      </c>
    </row>
    <row r="36" spans="1:11" ht="12.75">
      <c r="A36" s="14" t="s">
        <v>28</v>
      </c>
      <c r="B36" s="3" t="s">
        <v>256</v>
      </c>
      <c r="C36" s="56">
        <v>0</v>
      </c>
      <c r="D36" s="56">
        <v>0</v>
      </c>
      <c r="E36" s="56"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500</v>
      </c>
      <c r="J36" s="46">
        <f t="shared" si="0"/>
        <v>0</v>
      </c>
      <c r="K36" s="37">
        <f t="shared" si="1"/>
        <v>0</v>
      </c>
    </row>
    <row r="37" spans="1:11" ht="33.75">
      <c r="A37" s="14" t="s">
        <v>28</v>
      </c>
      <c r="B37" s="2" t="s">
        <v>257</v>
      </c>
      <c r="C37" s="56">
        <v>3000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3000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258</v>
      </c>
      <c r="C38" s="56">
        <v>4500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4500</v>
      </c>
      <c r="J38" s="46">
        <f t="shared" si="0"/>
        <v>0</v>
      </c>
      <c r="K38" s="37">
        <f t="shared" si="1"/>
        <v>0</v>
      </c>
    </row>
    <row r="39" spans="1:11" ht="22.5">
      <c r="A39" s="15" t="s">
        <v>28</v>
      </c>
      <c r="B39" s="2" t="s">
        <v>259</v>
      </c>
      <c r="C39" s="56">
        <v>1416.8</v>
      </c>
      <c r="D39" s="28">
        <v>11.7</v>
      </c>
      <c r="E39" s="56">
        <f>D39/C39*100</f>
        <v>0.8258046301524562</v>
      </c>
      <c r="F39" s="28">
        <v>0</v>
      </c>
      <c r="G39" s="28">
        <v>0</v>
      </c>
      <c r="H39" s="25">
        <v>0</v>
      </c>
      <c r="I39" s="40">
        <f t="shared" si="0"/>
        <v>1416.8</v>
      </c>
      <c r="J39" s="46">
        <f t="shared" si="0"/>
        <v>11.7</v>
      </c>
      <c r="K39" s="37">
        <f>J39/I39*100</f>
        <v>0.8258046301524562</v>
      </c>
    </row>
    <row r="40" spans="1:11" ht="45">
      <c r="A40" s="15" t="s">
        <v>28</v>
      </c>
      <c r="B40" s="2" t="s">
        <v>260</v>
      </c>
      <c r="C40" s="56">
        <v>1000</v>
      </c>
      <c r="D40" s="28">
        <v>0</v>
      </c>
      <c r="E40" s="56">
        <f>D40/C40*100</f>
        <v>0</v>
      </c>
      <c r="F40" s="28">
        <v>0</v>
      </c>
      <c r="G40" s="28">
        <v>0</v>
      </c>
      <c r="H40" s="25"/>
      <c r="I40" s="40">
        <f>C40+F40</f>
        <v>1000</v>
      </c>
      <c r="J40" s="46">
        <f t="shared" si="0"/>
        <v>0</v>
      </c>
      <c r="K40" s="37">
        <f>J40/I40*100</f>
        <v>0</v>
      </c>
    </row>
    <row r="41" spans="1:11" ht="33.75">
      <c r="A41" s="15" t="s">
        <v>28</v>
      </c>
      <c r="B41" s="2" t="s">
        <v>261</v>
      </c>
      <c r="C41" s="56">
        <v>600</v>
      </c>
      <c r="D41" s="28">
        <v>0</v>
      </c>
      <c r="E41" s="56">
        <f>D41/C41*100</f>
        <v>0</v>
      </c>
      <c r="F41" s="28">
        <v>0</v>
      </c>
      <c r="G41" s="28">
        <v>0</v>
      </c>
      <c r="H41" s="25"/>
      <c r="I41" s="40">
        <f t="shared" si="0"/>
        <v>600</v>
      </c>
      <c r="J41" s="46">
        <f t="shared" si="0"/>
        <v>0</v>
      </c>
      <c r="K41" s="37">
        <f>J41/I41*100</f>
        <v>0</v>
      </c>
    </row>
    <row r="42" spans="1:11" ht="12.75">
      <c r="A42" s="13" t="s">
        <v>29</v>
      </c>
      <c r="B42" s="4" t="s">
        <v>30</v>
      </c>
      <c r="C42" s="24">
        <f>SUM(C44:C61)</f>
        <v>142479.4</v>
      </c>
      <c r="D42" s="24">
        <f>SUM(D44:D61)</f>
        <v>230</v>
      </c>
      <c r="E42" s="24">
        <f>D42/C42*100</f>
        <v>0.16142684486318723</v>
      </c>
      <c r="F42" s="27">
        <f>SUM(F43:F61)</f>
        <v>70006.29999999999</v>
      </c>
      <c r="G42" s="27">
        <f>SUM(G43:G61)</f>
        <v>967.2</v>
      </c>
      <c r="H42" s="27">
        <f>G42/F42*100</f>
        <v>1.3815899426194502</v>
      </c>
      <c r="I42" s="27">
        <f>SUM(I43:I61)</f>
        <v>206565.3</v>
      </c>
      <c r="J42" s="27">
        <f>SUM(J43:J61)</f>
        <v>1197.2</v>
      </c>
      <c r="K42" s="36">
        <f t="shared" si="1"/>
        <v>0.5795745945713051</v>
      </c>
    </row>
    <row r="43" spans="1:11" ht="12.75">
      <c r="A43" s="119" t="s">
        <v>31</v>
      </c>
      <c r="B43" s="120" t="s">
        <v>262</v>
      </c>
      <c r="C43" s="56">
        <v>0</v>
      </c>
      <c r="D43" s="56"/>
      <c r="E43" s="56"/>
      <c r="F43" s="28">
        <v>27209</v>
      </c>
      <c r="G43" s="28">
        <v>396.7</v>
      </c>
      <c r="H43" s="28"/>
      <c r="I43" s="40">
        <f t="shared" si="0"/>
        <v>27209</v>
      </c>
      <c r="J43" s="46">
        <f t="shared" si="0"/>
        <v>396.7</v>
      </c>
      <c r="K43" s="37">
        <f t="shared" si="1"/>
        <v>1.4579734646624278</v>
      </c>
    </row>
    <row r="44" spans="1:11" ht="45">
      <c r="A44" s="14" t="s">
        <v>31</v>
      </c>
      <c r="B44" s="3" t="s">
        <v>263</v>
      </c>
      <c r="C44" s="56">
        <v>2800</v>
      </c>
      <c r="D44" s="56"/>
      <c r="E44" s="56"/>
      <c r="F44" s="28"/>
      <c r="G44" s="28">
        <v>0</v>
      </c>
      <c r="H44" s="25"/>
      <c r="I44" s="40">
        <f t="shared" si="0"/>
        <v>2800</v>
      </c>
      <c r="J44" s="46">
        <f t="shared" si="0"/>
        <v>0</v>
      </c>
      <c r="K44" s="37">
        <f t="shared" si="1"/>
        <v>0</v>
      </c>
    </row>
    <row r="45" spans="1:11" ht="56.25">
      <c r="A45" s="14" t="s">
        <v>31</v>
      </c>
      <c r="B45" s="3" t="s">
        <v>264</v>
      </c>
      <c r="C45" s="56">
        <v>28713.2</v>
      </c>
      <c r="D45" s="56">
        <v>0</v>
      </c>
      <c r="E45" s="56">
        <f t="shared" si="5"/>
        <v>0</v>
      </c>
      <c r="F45" s="28">
        <v>0</v>
      </c>
      <c r="G45" s="23">
        <v>0</v>
      </c>
      <c r="H45" s="25">
        <v>0</v>
      </c>
      <c r="I45" s="40">
        <f>C45+F45</f>
        <v>28713.2</v>
      </c>
      <c r="J45" s="46">
        <f>D45+G45</f>
        <v>0</v>
      </c>
      <c r="K45" s="37">
        <f t="shared" si="1"/>
        <v>0</v>
      </c>
    </row>
    <row r="46" spans="1:11" ht="56.25">
      <c r="A46" s="15" t="s">
        <v>31</v>
      </c>
      <c r="B46" s="3" t="s">
        <v>265</v>
      </c>
      <c r="C46" s="56">
        <v>566.1</v>
      </c>
      <c r="D46" s="56">
        <v>0</v>
      </c>
      <c r="E46" s="56">
        <f t="shared" si="5"/>
        <v>0</v>
      </c>
      <c r="F46" s="28">
        <v>584.6</v>
      </c>
      <c r="G46" s="23"/>
      <c r="H46" s="25">
        <f>G46/F46*100</f>
        <v>0</v>
      </c>
      <c r="I46" s="40">
        <f>C46+F46-566.1</f>
        <v>584.6</v>
      </c>
      <c r="J46" s="46">
        <f>D46+G46</f>
        <v>0</v>
      </c>
      <c r="K46" s="37">
        <f t="shared" si="1"/>
        <v>0</v>
      </c>
    </row>
    <row r="47" spans="1:11" ht="45">
      <c r="A47" s="15" t="s">
        <v>31</v>
      </c>
      <c r="B47" s="3" t="s">
        <v>266</v>
      </c>
      <c r="C47" s="56">
        <v>2350</v>
      </c>
      <c r="D47" s="56"/>
      <c r="E47" s="56">
        <v>0</v>
      </c>
      <c r="F47" s="28">
        <v>2050</v>
      </c>
      <c r="G47" s="23"/>
      <c r="H47" s="25">
        <f>G47/F47*100</f>
        <v>0</v>
      </c>
      <c r="I47" s="40">
        <f>C47+F47-2350</f>
        <v>2050</v>
      </c>
      <c r="J47" s="46">
        <f t="shared" si="0"/>
        <v>0</v>
      </c>
      <c r="K47" s="37">
        <f t="shared" si="1"/>
        <v>0</v>
      </c>
    </row>
    <row r="48" spans="1:11" ht="67.5">
      <c r="A48" s="14" t="s">
        <v>32</v>
      </c>
      <c r="B48" s="3" t="s">
        <v>267</v>
      </c>
      <c r="C48" s="56">
        <v>9419.8</v>
      </c>
      <c r="D48" s="56">
        <v>0</v>
      </c>
      <c r="E48" s="56">
        <f t="shared" si="5"/>
        <v>0</v>
      </c>
      <c r="F48" s="28"/>
      <c r="G48" s="23"/>
      <c r="H48" s="25"/>
      <c r="I48" s="40">
        <f t="shared" si="0"/>
        <v>9419.8</v>
      </c>
      <c r="J48" s="46">
        <f t="shared" si="0"/>
        <v>0</v>
      </c>
      <c r="K48" s="37">
        <f t="shared" si="1"/>
        <v>0</v>
      </c>
    </row>
    <row r="49" spans="1:11" ht="67.5">
      <c r="A49" s="14" t="s">
        <v>32</v>
      </c>
      <c r="B49" s="3" t="s">
        <v>268</v>
      </c>
      <c r="C49" s="56">
        <v>5786.2</v>
      </c>
      <c r="D49" s="57">
        <v>0</v>
      </c>
      <c r="E49" s="56">
        <f t="shared" si="5"/>
        <v>0</v>
      </c>
      <c r="F49" s="28"/>
      <c r="G49" s="26"/>
      <c r="H49" s="25"/>
      <c r="I49" s="40">
        <f t="shared" si="0"/>
        <v>5786.2</v>
      </c>
      <c r="J49" s="46">
        <f t="shared" si="0"/>
        <v>0</v>
      </c>
      <c r="K49" s="37">
        <f t="shared" si="1"/>
        <v>0</v>
      </c>
    </row>
    <row r="50" spans="1:11" ht="78.75">
      <c r="A50" s="14" t="s">
        <v>32</v>
      </c>
      <c r="B50" s="3" t="s">
        <v>269</v>
      </c>
      <c r="C50" s="56">
        <v>12174.8</v>
      </c>
      <c r="D50" s="57">
        <v>230</v>
      </c>
      <c r="E50" s="56">
        <f>D50/C50*100</f>
        <v>1.8891480763544373</v>
      </c>
      <c r="F50" s="28"/>
      <c r="G50" s="26"/>
      <c r="H50" s="25"/>
      <c r="I50" s="40">
        <f>C50+F50</f>
        <v>12174.8</v>
      </c>
      <c r="J50" s="46">
        <f>D50+G50</f>
        <v>230</v>
      </c>
      <c r="K50" s="37">
        <f>J50/I50*100</f>
        <v>1.8891480763544373</v>
      </c>
    </row>
    <row r="51" spans="1:11" ht="78.75">
      <c r="A51" s="15" t="s">
        <v>32</v>
      </c>
      <c r="B51" s="3" t="s">
        <v>270</v>
      </c>
      <c r="C51" s="56">
        <v>33079.4</v>
      </c>
      <c r="D51" s="57">
        <v>0</v>
      </c>
      <c r="E51" s="56">
        <f t="shared" si="5"/>
        <v>0</v>
      </c>
      <c r="F51" s="28"/>
      <c r="G51" s="26"/>
      <c r="H51" s="25">
        <v>0</v>
      </c>
      <c r="I51" s="50">
        <f>C51+F51</f>
        <v>33079.4</v>
      </c>
      <c r="J51" s="40">
        <f>D51+G51</f>
        <v>0</v>
      </c>
      <c r="K51" s="46">
        <f>J51/I51*100</f>
        <v>0</v>
      </c>
    </row>
    <row r="52" spans="1:11" ht="67.5">
      <c r="A52" s="14" t="s">
        <v>32</v>
      </c>
      <c r="B52" s="3" t="s">
        <v>271</v>
      </c>
      <c r="C52" s="56">
        <v>6160</v>
      </c>
      <c r="D52" s="57">
        <v>0</v>
      </c>
      <c r="E52" s="56">
        <f t="shared" si="5"/>
        <v>0</v>
      </c>
      <c r="F52" s="28"/>
      <c r="G52" s="26"/>
      <c r="H52" s="25">
        <v>0</v>
      </c>
      <c r="I52" s="40">
        <f t="shared" si="0"/>
        <v>6160</v>
      </c>
      <c r="J52" s="46">
        <f t="shared" si="0"/>
        <v>0</v>
      </c>
      <c r="K52" s="37">
        <f t="shared" si="1"/>
        <v>0</v>
      </c>
    </row>
    <row r="53" spans="1:11" ht="40.5" customHeight="1">
      <c r="A53" s="14" t="s">
        <v>32</v>
      </c>
      <c r="B53" s="2" t="s">
        <v>272</v>
      </c>
      <c r="C53" s="56">
        <v>14397</v>
      </c>
      <c r="D53" s="56"/>
      <c r="E53" s="56">
        <f t="shared" si="5"/>
        <v>0</v>
      </c>
      <c r="F53" s="28"/>
      <c r="G53" s="26"/>
      <c r="H53" s="25">
        <v>0</v>
      </c>
      <c r="I53" s="40">
        <f t="shared" si="0"/>
        <v>14397</v>
      </c>
      <c r="J53" s="46">
        <f t="shared" si="0"/>
        <v>0</v>
      </c>
      <c r="K53" s="37">
        <f t="shared" si="1"/>
        <v>0</v>
      </c>
    </row>
    <row r="54" spans="1:11" ht="67.5">
      <c r="A54" s="15" t="s">
        <v>32</v>
      </c>
      <c r="B54" s="2" t="s">
        <v>273</v>
      </c>
      <c r="C54" s="56">
        <v>14684.6</v>
      </c>
      <c r="D54" s="57"/>
      <c r="E54" s="56">
        <f t="shared" si="5"/>
        <v>0</v>
      </c>
      <c r="F54" s="28"/>
      <c r="G54" s="26"/>
      <c r="H54" s="25" t="e">
        <f>G54/F54*100</f>
        <v>#DIV/0!</v>
      </c>
      <c r="I54" s="40">
        <f>C54+F54</f>
        <v>14684.6</v>
      </c>
      <c r="J54" s="46">
        <f>D54+G54</f>
        <v>0</v>
      </c>
      <c r="K54" s="37">
        <f t="shared" si="1"/>
        <v>0</v>
      </c>
    </row>
    <row r="55" spans="1:11" ht="67.5">
      <c r="A55" s="15" t="s">
        <v>32</v>
      </c>
      <c r="B55" s="2" t="s">
        <v>274</v>
      </c>
      <c r="C55" s="56">
        <v>1504.3</v>
      </c>
      <c r="D55" s="57">
        <v>0</v>
      </c>
      <c r="E55" s="56">
        <f t="shared" si="5"/>
        <v>0</v>
      </c>
      <c r="F55" s="28">
        <v>1504.3</v>
      </c>
      <c r="G55" s="26"/>
      <c r="H55" s="25">
        <f>G55/F55*100</f>
        <v>0</v>
      </c>
      <c r="I55" s="40">
        <f>C55+F55-1504.3</f>
        <v>1504.3</v>
      </c>
      <c r="J55" s="46">
        <f>D55+G55</f>
        <v>0</v>
      </c>
      <c r="K55" s="37">
        <f t="shared" si="1"/>
        <v>0</v>
      </c>
    </row>
    <row r="56" spans="1:11" ht="12.75">
      <c r="A56" s="15" t="s">
        <v>32</v>
      </c>
      <c r="B56" s="2" t="s">
        <v>275</v>
      </c>
      <c r="C56" s="56"/>
      <c r="D56" s="57"/>
      <c r="E56" s="56"/>
      <c r="F56" s="28">
        <v>11456</v>
      </c>
      <c r="G56" s="26"/>
      <c r="H56" s="25"/>
      <c r="I56" s="40">
        <f t="shared" si="0"/>
        <v>11456</v>
      </c>
      <c r="J56" s="46"/>
      <c r="K56" s="37"/>
    </row>
    <row r="57" spans="1:11" ht="56.25">
      <c r="A57" s="15" t="s">
        <v>33</v>
      </c>
      <c r="B57" s="2" t="s">
        <v>276</v>
      </c>
      <c r="C57" s="56">
        <v>3000</v>
      </c>
      <c r="D57" s="57"/>
      <c r="E57" s="56"/>
      <c r="F57" s="28"/>
      <c r="G57" s="26"/>
      <c r="H57" s="25"/>
      <c r="I57" s="40">
        <f t="shared" si="0"/>
        <v>3000</v>
      </c>
      <c r="J57" s="46"/>
      <c r="K57" s="37"/>
    </row>
    <row r="58" spans="1:11" ht="33.75">
      <c r="A58" s="15" t="s">
        <v>33</v>
      </c>
      <c r="B58" s="2" t="s">
        <v>277</v>
      </c>
      <c r="C58" s="56">
        <v>6344</v>
      </c>
      <c r="D58" s="57"/>
      <c r="E58" s="56"/>
      <c r="F58" s="28"/>
      <c r="G58" s="26"/>
      <c r="H58" s="25"/>
      <c r="I58" s="40">
        <f t="shared" si="0"/>
        <v>6344</v>
      </c>
      <c r="J58" s="46"/>
      <c r="K58" s="37"/>
    </row>
    <row r="59" spans="1:11" ht="90">
      <c r="A59" s="14" t="s">
        <v>33</v>
      </c>
      <c r="B59" s="3" t="s">
        <v>278</v>
      </c>
      <c r="C59" s="56"/>
      <c r="D59" s="56">
        <v>0</v>
      </c>
      <c r="E59" s="56">
        <v>0</v>
      </c>
      <c r="F59" s="56">
        <v>1900</v>
      </c>
      <c r="G59" s="28"/>
      <c r="H59" s="25">
        <v>0</v>
      </c>
      <c r="I59" s="40">
        <f t="shared" si="0"/>
        <v>1900</v>
      </c>
      <c r="J59" s="46">
        <f t="shared" si="0"/>
        <v>0</v>
      </c>
      <c r="K59" s="37">
        <f t="shared" si="1"/>
        <v>0</v>
      </c>
    </row>
    <row r="60" spans="1:11" ht="45">
      <c r="A60" s="15" t="s">
        <v>33</v>
      </c>
      <c r="B60" s="3" t="s">
        <v>279</v>
      </c>
      <c r="C60" s="56">
        <v>1500</v>
      </c>
      <c r="D60" s="56">
        <v>0</v>
      </c>
      <c r="E60" s="56">
        <f t="shared" si="5"/>
        <v>0</v>
      </c>
      <c r="F60" s="56">
        <v>1500</v>
      </c>
      <c r="G60" s="28"/>
      <c r="H60" s="25">
        <f>G60/F60*100</f>
        <v>0</v>
      </c>
      <c r="I60" s="40">
        <f>C60+F60-1500</f>
        <v>1500</v>
      </c>
      <c r="J60" s="46">
        <f>D60+G60</f>
        <v>0</v>
      </c>
      <c r="K60" s="37">
        <f t="shared" si="1"/>
        <v>0</v>
      </c>
    </row>
    <row r="61" spans="1:11" ht="12.75">
      <c r="A61" s="14" t="s">
        <v>33</v>
      </c>
      <c r="B61" s="3" t="s">
        <v>280</v>
      </c>
      <c r="C61" s="56"/>
      <c r="D61" s="56">
        <v>0</v>
      </c>
      <c r="E61" s="56">
        <v>0</v>
      </c>
      <c r="F61" s="56">
        <v>23802.4</v>
      </c>
      <c r="G61" s="28">
        <v>570.5</v>
      </c>
      <c r="H61" s="25">
        <f>G61/F61*100</f>
        <v>2.3968171276846033</v>
      </c>
      <c r="I61" s="40">
        <f>C61+F61</f>
        <v>23802.4</v>
      </c>
      <c r="J61" s="46">
        <f>D61+G61</f>
        <v>570.5</v>
      </c>
      <c r="K61" s="37">
        <f t="shared" si="1"/>
        <v>2.3968171276846033</v>
      </c>
    </row>
    <row r="62" spans="1:11" ht="12.75">
      <c r="A62" s="17" t="s">
        <v>34</v>
      </c>
      <c r="B62" s="18" t="s">
        <v>35</v>
      </c>
      <c r="C62" s="27">
        <f aca="true" t="shared" si="6" ref="C62:H62">C63</f>
        <v>0</v>
      </c>
      <c r="D62" s="27">
        <f t="shared" si="6"/>
        <v>0</v>
      </c>
      <c r="E62" s="24">
        <v>0</v>
      </c>
      <c r="F62" s="27">
        <f t="shared" si="6"/>
        <v>0</v>
      </c>
      <c r="G62" s="27">
        <f t="shared" si="6"/>
        <v>0</v>
      </c>
      <c r="H62" s="35">
        <f t="shared" si="6"/>
        <v>0</v>
      </c>
      <c r="I62" s="27">
        <f t="shared" si="0"/>
        <v>0</v>
      </c>
      <c r="J62" s="27">
        <f t="shared" si="0"/>
        <v>0</v>
      </c>
      <c r="K62" s="36">
        <v>0</v>
      </c>
    </row>
    <row r="63" spans="1:11" ht="12.75">
      <c r="A63" s="15" t="s">
        <v>36</v>
      </c>
      <c r="B63" s="19" t="s">
        <v>37</v>
      </c>
      <c r="C63" s="28">
        <v>0</v>
      </c>
      <c r="D63" s="25">
        <v>0</v>
      </c>
      <c r="E63" s="22">
        <v>0</v>
      </c>
      <c r="F63" s="25">
        <v>0</v>
      </c>
      <c r="G63" s="23">
        <v>0</v>
      </c>
      <c r="H63" s="25">
        <v>0</v>
      </c>
      <c r="I63" s="40">
        <f t="shared" si="0"/>
        <v>0</v>
      </c>
      <c r="J63" s="46">
        <f t="shared" si="0"/>
        <v>0</v>
      </c>
      <c r="K63" s="37">
        <v>0</v>
      </c>
    </row>
    <row r="64" spans="1:11" ht="12.75">
      <c r="A64" s="13" t="s">
        <v>38</v>
      </c>
      <c r="B64" s="4" t="s">
        <v>39</v>
      </c>
      <c r="C64" s="24">
        <f>SUM(C65:C70)</f>
        <v>2472224.7</v>
      </c>
      <c r="D64" s="24">
        <f>SUM(D65:D70)</f>
        <v>66511.7</v>
      </c>
      <c r="E64" s="24">
        <f>D64/C64*100</f>
        <v>2.690358202472453</v>
      </c>
      <c r="F64" s="27">
        <f>F65+F66+F67+F69+F70</f>
        <v>0</v>
      </c>
      <c r="G64" s="27">
        <f>SUM(G65:G70)</f>
        <v>0</v>
      </c>
      <c r="H64" s="35" t="e">
        <f>G64/F64*100</f>
        <v>#DIV/0!</v>
      </c>
      <c r="I64" s="24">
        <f>SUM(I65:I70)</f>
        <v>2472224.7</v>
      </c>
      <c r="J64" s="24">
        <f>SUM(J65:J70)</f>
        <v>66511.7</v>
      </c>
      <c r="K64" s="36">
        <f t="shared" si="1"/>
        <v>2.690358202472453</v>
      </c>
    </row>
    <row r="65" spans="1:11" ht="12.75">
      <c r="A65" s="14" t="s">
        <v>40</v>
      </c>
      <c r="B65" s="3" t="s">
        <v>41</v>
      </c>
      <c r="C65" s="22">
        <v>578993</v>
      </c>
      <c r="D65" s="22">
        <v>35167.9</v>
      </c>
      <c r="E65" s="22">
        <f t="shared" si="5"/>
        <v>6.073976714744393</v>
      </c>
      <c r="F65" s="25">
        <v>0</v>
      </c>
      <c r="G65" s="23">
        <v>0</v>
      </c>
      <c r="H65" s="25">
        <v>0</v>
      </c>
      <c r="I65" s="40">
        <f t="shared" si="0"/>
        <v>578993</v>
      </c>
      <c r="J65" s="46">
        <f t="shared" si="0"/>
        <v>35167.9</v>
      </c>
      <c r="K65" s="37">
        <f t="shared" si="1"/>
        <v>6.073976714744393</v>
      </c>
    </row>
    <row r="66" spans="1:11" ht="12.75">
      <c r="A66" s="14" t="s">
        <v>42</v>
      </c>
      <c r="B66" s="3" t="s">
        <v>43</v>
      </c>
      <c r="C66" s="22">
        <f>1835548.1-C67-C68</f>
        <v>1096139.1</v>
      </c>
      <c r="D66" s="22">
        <f>29086.1-D67-D68</f>
        <v>28701.399999999998</v>
      </c>
      <c r="E66" s="22">
        <f t="shared" si="5"/>
        <v>2.6184085578189844</v>
      </c>
      <c r="F66" s="25">
        <v>0</v>
      </c>
      <c r="G66" s="23">
        <v>0</v>
      </c>
      <c r="H66" s="25">
        <v>0</v>
      </c>
      <c r="I66" s="40">
        <f t="shared" si="0"/>
        <v>1096139.1</v>
      </c>
      <c r="J66" s="46">
        <f t="shared" si="0"/>
        <v>28701.399999999998</v>
      </c>
      <c r="K66" s="37">
        <f t="shared" si="1"/>
        <v>2.6184085578189844</v>
      </c>
    </row>
    <row r="67" spans="1:11" ht="12.75">
      <c r="A67" s="14" t="s">
        <v>42</v>
      </c>
      <c r="B67" s="3" t="s">
        <v>76</v>
      </c>
      <c r="C67" s="22">
        <v>43771</v>
      </c>
      <c r="D67" s="22">
        <v>384.7</v>
      </c>
      <c r="E67" s="22">
        <f t="shared" si="5"/>
        <v>0.8788924173539557</v>
      </c>
      <c r="F67" s="25">
        <v>0</v>
      </c>
      <c r="G67" s="23">
        <v>0</v>
      </c>
      <c r="H67" s="25">
        <v>0</v>
      </c>
      <c r="I67" s="40">
        <f t="shared" si="0"/>
        <v>43771</v>
      </c>
      <c r="J67" s="46">
        <f t="shared" si="0"/>
        <v>384.7</v>
      </c>
      <c r="K67" s="37">
        <f t="shared" si="1"/>
        <v>0.8788924173539557</v>
      </c>
    </row>
    <row r="68" spans="1:11" ht="56.25">
      <c r="A68" s="14" t="s">
        <v>42</v>
      </c>
      <c r="B68" s="3" t="s">
        <v>281</v>
      </c>
      <c r="C68" s="22">
        <v>695638</v>
      </c>
      <c r="D68" s="22">
        <v>0</v>
      </c>
      <c r="E68" s="22">
        <f t="shared" si="5"/>
        <v>0</v>
      </c>
      <c r="F68" s="25">
        <v>0</v>
      </c>
      <c r="G68" s="23">
        <v>0</v>
      </c>
      <c r="H68" s="25">
        <v>0</v>
      </c>
      <c r="I68" s="40">
        <f t="shared" si="0"/>
        <v>695638</v>
      </c>
      <c r="J68" s="46">
        <f t="shared" si="0"/>
        <v>0</v>
      </c>
      <c r="K68" s="37">
        <f t="shared" si="1"/>
        <v>0</v>
      </c>
    </row>
    <row r="69" spans="1:11" ht="12.75">
      <c r="A69" s="14" t="s">
        <v>44</v>
      </c>
      <c r="B69" s="3" t="s">
        <v>45</v>
      </c>
      <c r="C69" s="22">
        <v>19310</v>
      </c>
      <c r="D69" s="22">
        <v>66.3</v>
      </c>
      <c r="E69" s="22">
        <f t="shared" si="5"/>
        <v>0.3433454168824443</v>
      </c>
      <c r="F69" s="25">
        <v>0</v>
      </c>
      <c r="G69" s="23">
        <v>0</v>
      </c>
      <c r="H69" s="25" t="e">
        <f>G69/F69*100</f>
        <v>#DIV/0!</v>
      </c>
      <c r="I69" s="40">
        <f t="shared" si="0"/>
        <v>19310</v>
      </c>
      <c r="J69" s="46">
        <f t="shared" si="0"/>
        <v>66.3</v>
      </c>
      <c r="K69" s="37">
        <f t="shared" si="1"/>
        <v>0.3433454168824443</v>
      </c>
    </row>
    <row r="70" spans="1:11" ht="12.75">
      <c r="A70" s="14" t="s">
        <v>46</v>
      </c>
      <c r="B70" s="3" t="s">
        <v>47</v>
      </c>
      <c r="C70" s="22">
        <v>38373.6</v>
      </c>
      <c r="D70" s="22">
        <v>2191.4</v>
      </c>
      <c r="E70" s="22">
        <f t="shared" si="5"/>
        <v>5.7106969374778505</v>
      </c>
      <c r="F70" s="25">
        <v>0</v>
      </c>
      <c r="G70" s="23">
        <v>0</v>
      </c>
      <c r="H70" s="25">
        <v>0</v>
      </c>
      <c r="I70" s="40">
        <f t="shared" si="0"/>
        <v>38373.6</v>
      </c>
      <c r="J70" s="46">
        <f t="shared" si="0"/>
        <v>2191.4</v>
      </c>
      <c r="K70" s="37">
        <f t="shared" si="1"/>
        <v>5.7106969374778505</v>
      </c>
    </row>
    <row r="71" spans="1:11" ht="12.75">
      <c r="A71" s="13" t="s">
        <v>48</v>
      </c>
      <c r="B71" s="4" t="s">
        <v>49</v>
      </c>
      <c r="C71" s="24">
        <f>SUM(C72:C76)</f>
        <v>196976.4</v>
      </c>
      <c r="D71" s="24">
        <f>SUM(D72:D76)</f>
        <v>2950.1000000000004</v>
      </c>
      <c r="E71" s="24">
        <f>D71/C71*100</f>
        <v>1.4976921093085265</v>
      </c>
      <c r="F71" s="27">
        <f>SUM(F72:F76)</f>
        <v>94385.5</v>
      </c>
      <c r="G71" s="27">
        <f>SUM(G72:G76)</f>
        <v>1341</v>
      </c>
      <c r="H71" s="35">
        <f>G71/F71*100</f>
        <v>1.4207690799963977</v>
      </c>
      <c r="I71" s="27">
        <f>SUM(I72:I76)</f>
        <v>289591.7</v>
      </c>
      <c r="J71" s="27">
        <f>SUM(J72:J76)</f>
        <v>4291.1</v>
      </c>
      <c r="K71" s="36">
        <f t="shared" si="1"/>
        <v>1.481775893438935</v>
      </c>
    </row>
    <row r="72" spans="1:11" ht="12.75">
      <c r="A72" s="14" t="s">
        <v>50</v>
      </c>
      <c r="B72" s="3" t="s">
        <v>90</v>
      </c>
      <c r="C72" s="22">
        <f>188770.4-C73-C74</f>
        <v>47340.99999999999</v>
      </c>
      <c r="D72" s="22">
        <v>2673.8</v>
      </c>
      <c r="E72" s="22">
        <f t="shared" si="5"/>
        <v>5.6479584292685</v>
      </c>
      <c r="F72" s="25">
        <f>93167.5-F74</f>
        <v>91847.3</v>
      </c>
      <c r="G72" s="23">
        <v>1341</v>
      </c>
      <c r="H72" s="25">
        <f>G72/F72*100</f>
        <v>1.4600320314260733</v>
      </c>
      <c r="I72" s="40">
        <f>C72+F72</f>
        <v>139188.3</v>
      </c>
      <c r="J72" s="46">
        <f>D72+G72</f>
        <v>4014.8</v>
      </c>
      <c r="K72" s="37">
        <f t="shared" si="1"/>
        <v>2.884437844272831</v>
      </c>
    </row>
    <row r="73" spans="1:11" ht="45">
      <c r="A73" s="48" t="s">
        <v>50</v>
      </c>
      <c r="B73" s="49" t="s">
        <v>282</v>
      </c>
      <c r="C73" s="22">
        <v>139103</v>
      </c>
      <c r="D73" s="22">
        <v>0</v>
      </c>
      <c r="E73" s="22">
        <f t="shared" si="5"/>
        <v>0</v>
      </c>
      <c r="F73" s="25">
        <v>0</v>
      </c>
      <c r="G73" s="23">
        <v>0</v>
      </c>
      <c r="H73" s="25">
        <v>0</v>
      </c>
      <c r="I73" s="40">
        <f aca="true" t="shared" si="7" ref="I73:J88">C73+F73</f>
        <v>139103</v>
      </c>
      <c r="J73" s="46">
        <f t="shared" si="7"/>
        <v>0</v>
      </c>
      <c r="K73" s="37">
        <f>J73/I73*100</f>
        <v>0</v>
      </c>
    </row>
    <row r="74" spans="1:11" ht="12.75">
      <c r="A74" s="48" t="s">
        <v>50</v>
      </c>
      <c r="B74" s="49" t="s">
        <v>283</v>
      </c>
      <c r="C74" s="22">
        <v>2326.4</v>
      </c>
      <c r="D74" s="22">
        <v>0</v>
      </c>
      <c r="E74" s="22">
        <f t="shared" si="5"/>
        <v>0</v>
      </c>
      <c r="F74" s="25">
        <v>1320.2</v>
      </c>
      <c r="G74" s="23">
        <v>0</v>
      </c>
      <c r="H74" s="25"/>
      <c r="I74" s="40">
        <f>C74+F74-1320.2</f>
        <v>2326.4000000000005</v>
      </c>
      <c r="J74" s="46">
        <f t="shared" si="7"/>
        <v>0</v>
      </c>
      <c r="K74" s="37">
        <f>J74/I74*100</f>
        <v>0</v>
      </c>
    </row>
    <row r="75" spans="1:11" ht="12.75">
      <c r="A75" s="14" t="s">
        <v>51</v>
      </c>
      <c r="B75" s="3" t="s">
        <v>52</v>
      </c>
      <c r="C75" s="22">
        <v>650</v>
      </c>
      <c r="D75" s="22">
        <v>60</v>
      </c>
      <c r="E75" s="22">
        <f t="shared" si="5"/>
        <v>9.230769230769232</v>
      </c>
      <c r="F75" s="25">
        <v>768</v>
      </c>
      <c r="G75" s="23">
        <v>0</v>
      </c>
      <c r="H75" s="25">
        <f>G75/F75*100</f>
        <v>0</v>
      </c>
      <c r="I75" s="40">
        <f t="shared" si="7"/>
        <v>1418</v>
      </c>
      <c r="J75" s="46">
        <f t="shared" si="7"/>
        <v>60</v>
      </c>
      <c r="K75" s="37">
        <f aca="true" t="shared" si="8" ref="K75:K103">J75/I75*100</f>
        <v>4.231311706629055</v>
      </c>
    </row>
    <row r="76" spans="1:11" ht="12.75">
      <c r="A76" s="14" t="s">
        <v>53</v>
      </c>
      <c r="B76" s="3" t="s">
        <v>91</v>
      </c>
      <c r="C76" s="22">
        <v>7556</v>
      </c>
      <c r="D76" s="22">
        <v>216.3</v>
      </c>
      <c r="E76" s="22">
        <f t="shared" si="5"/>
        <v>2.8626257278983593</v>
      </c>
      <c r="F76" s="25">
        <v>450</v>
      </c>
      <c r="G76" s="23">
        <v>0</v>
      </c>
      <c r="H76" s="25"/>
      <c r="I76" s="40">
        <f>C76+F76-450</f>
        <v>7556</v>
      </c>
      <c r="J76" s="46">
        <f>D76+G76</f>
        <v>216.3</v>
      </c>
      <c r="K76" s="37">
        <f t="shared" si="8"/>
        <v>2.8626257278983593</v>
      </c>
    </row>
    <row r="77" spans="1:11" ht="12.75">
      <c r="A77" s="13" t="s">
        <v>54</v>
      </c>
      <c r="B77" s="4" t="s">
        <v>92</v>
      </c>
      <c r="C77" s="24">
        <f>SUM(C78:C78)</f>
        <v>112973</v>
      </c>
      <c r="D77" s="24">
        <f>SUM(D78:D78)</f>
        <v>0</v>
      </c>
      <c r="E77" s="24">
        <f>D77/C77*100</f>
        <v>0</v>
      </c>
      <c r="F77" s="27">
        <v>0</v>
      </c>
      <c r="G77" s="27">
        <v>0</v>
      </c>
      <c r="H77" s="35"/>
      <c r="I77" s="27">
        <f>C77+F77</f>
        <v>112973</v>
      </c>
      <c r="J77" s="27">
        <f t="shared" si="7"/>
        <v>0</v>
      </c>
      <c r="K77" s="36">
        <f t="shared" si="8"/>
        <v>0</v>
      </c>
    </row>
    <row r="78" spans="1:11" ht="22.5">
      <c r="A78" s="15" t="s">
        <v>104</v>
      </c>
      <c r="B78" s="49" t="s">
        <v>132</v>
      </c>
      <c r="C78" s="22">
        <v>112973</v>
      </c>
      <c r="D78" s="25">
        <v>0</v>
      </c>
      <c r="E78" s="22">
        <f t="shared" si="5"/>
        <v>0</v>
      </c>
      <c r="F78" s="25">
        <v>0</v>
      </c>
      <c r="G78" s="23">
        <v>0</v>
      </c>
      <c r="H78" s="25">
        <v>0</v>
      </c>
      <c r="I78" s="40">
        <f t="shared" si="7"/>
        <v>112973</v>
      </c>
      <c r="J78" s="46">
        <f t="shared" si="7"/>
        <v>0</v>
      </c>
      <c r="K78" s="37">
        <f t="shared" si="8"/>
        <v>0</v>
      </c>
    </row>
    <row r="79" spans="1:11" ht="12.75">
      <c r="A79" s="13">
        <v>10</v>
      </c>
      <c r="B79" s="4" t="s">
        <v>60</v>
      </c>
      <c r="C79" s="24">
        <f>SUM(C80:C90)</f>
        <v>136100.6</v>
      </c>
      <c r="D79" s="24">
        <f>SUM(D80:D90)</f>
        <v>1855.3000000000002</v>
      </c>
      <c r="E79" s="24">
        <f>D79/C79*100</f>
        <v>1.3631828221183449</v>
      </c>
      <c r="F79" s="24">
        <f>SUM(F80:F88)</f>
        <v>180</v>
      </c>
      <c r="G79" s="24">
        <f>SUM(G80:G88)</f>
        <v>0</v>
      </c>
      <c r="H79" s="35">
        <f>G79/F79*100</f>
        <v>0</v>
      </c>
      <c r="I79" s="24">
        <f>SUM(I80:I90)</f>
        <v>136280.6</v>
      </c>
      <c r="J79" s="24">
        <f>SUM(J80:J90)</f>
        <v>1855.3000000000002</v>
      </c>
      <c r="K79" s="36">
        <f t="shared" si="8"/>
        <v>1.3613823244100776</v>
      </c>
    </row>
    <row r="80" spans="1:11" ht="12.75">
      <c r="A80" s="15">
        <v>1001</v>
      </c>
      <c r="B80" s="3" t="s">
        <v>61</v>
      </c>
      <c r="C80" s="22">
        <v>3425</v>
      </c>
      <c r="D80" s="22">
        <v>285.4</v>
      </c>
      <c r="E80" s="22">
        <f t="shared" si="5"/>
        <v>8.332846715328467</v>
      </c>
      <c r="F80" s="25">
        <v>180</v>
      </c>
      <c r="G80" s="23">
        <v>0</v>
      </c>
      <c r="H80" s="25">
        <f>G80/F80*100</f>
        <v>0</v>
      </c>
      <c r="I80" s="40">
        <f t="shared" si="7"/>
        <v>3605</v>
      </c>
      <c r="J80" s="46">
        <f t="shared" si="7"/>
        <v>285.4</v>
      </c>
      <c r="K80" s="37">
        <f t="shared" si="8"/>
        <v>7.916782246879333</v>
      </c>
    </row>
    <row r="81" spans="1:11" ht="33.75">
      <c r="A81" s="15">
        <v>1003</v>
      </c>
      <c r="B81" s="3" t="s">
        <v>284</v>
      </c>
      <c r="C81" s="22">
        <v>1414.8</v>
      </c>
      <c r="D81" s="22">
        <v>0</v>
      </c>
      <c r="E81" s="22">
        <f t="shared" si="5"/>
        <v>0</v>
      </c>
      <c r="F81" s="25">
        <v>0</v>
      </c>
      <c r="G81" s="23">
        <v>0</v>
      </c>
      <c r="H81" s="25">
        <v>0</v>
      </c>
      <c r="I81" s="40">
        <f t="shared" si="7"/>
        <v>1414.8</v>
      </c>
      <c r="J81" s="46">
        <f t="shared" si="7"/>
        <v>0</v>
      </c>
      <c r="K81" s="37">
        <f t="shared" si="8"/>
        <v>0</v>
      </c>
    </row>
    <row r="82" spans="1:11" ht="67.5">
      <c r="A82" s="15">
        <v>1003</v>
      </c>
      <c r="B82" s="3" t="s">
        <v>285</v>
      </c>
      <c r="C82" s="22">
        <v>528.7</v>
      </c>
      <c r="D82" s="22">
        <v>0</v>
      </c>
      <c r="E82" s="22">
        <f t="shared" si="5"/>
        <v>0</v>
      </c>
      <c r="F82" s="25">
        <v>0</v>
      </c>
      <c r="G82" s="23">
        <v>0</v>
      </c>
      <c r="H82" s="25">
        <v>0</v>
      </c>
      <c r="I82" s="40">
        <f t="shared" si="7"/>
        <v>528.7</v>
      </c>
      <c r="J82" s="46">
        <f t="shared" si="7"/>
        <v>0</v>
      </c>
      <c r="K82" s="37">
        <f t="shared" si="8"/>
        <v>0</v>
      </c>
    </row>
    <row r="83" spans="1:11" ht="33.75">
      <c r="A83" s="15">
        <v>1003</v>
      </c>
      <c r="B83" s="3" t="s">
        <v>286</v>
      </c>
      <c r="C83" s="22">
        <v>1463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t="shared" si="7"/>
        <v>1463</v>
      </c>
      <c r="J83" s="46">
        <f t="shared" si="7"/>
        <v>0</v>
      </c>
      <c r="K83" s="37">
        <f t="shared" si="8"/>
        <v>0</v>
      </c>
    </row>
    <row r="84" spans="1:11" ht="90">
      <c r="A84" s="15" t="s">
        <v>168</v>
      </c>
      <c r="B84" s="3" t="s">
        <v>287</v>
      </c>
      <c r="C84" s="22">
        <v>790</v>
      </c>
      <c r="D84" s="22"/>
      <c r="E84" s="22"/>
      <c r="F84" s="25"/>
      <c r="G84" s="23"/>
      <c r="H84" s="25"/>
      <c r="I84" s="40">
        <f t="shared" si="7"/>
        <v>790</v>
      </c>
      <c r="J84" s="46"/>
      <c r="K84" s="37">
        <f t="shared" si="8"/>
        <v>0</v>
      </c>
    </row>
    <row r="85" spans="1:11" ht="45">
      <c r="A85" s="15">
        <v>1004</v>
      </c>
      <c r="B85" s="3" t="s">
        <v>288</v>
      </c>
      <c r="C85" s="56">
        <v>16641</v>
      </c>
      <c r="D85" s="22">
        <v>1086.5</v>
      </c>
      <c r="E85" s="22">
        <f t="shared" si="5"/>
        <v>6.529054744306231</v>
      </c>
      <c r="F85" s="25">
        <v>0</v>
      </c>
      <c r="G85" s="23">
        <v>0</v>
      </c>
      <c r="H85" s="25">
        <v>0</v>
      </c>
      <c r="I85" s="40">
        <f t="shared" si="7"/>
        <v>16641</v>
      </c>
      <c r="J85" s="46">
        <f t="shared" si="7"/>
        <v>1086.5</v>
      </c>
      <c r="K85" s="37">
        <f t="shared" si="8"/>
        <v>6.529054744306231</v>
      </c>
    </row>
    <row r="86" spans="1:11" ht="33.75">
      <c r="A86" s="15">
        <v>1004</v>
      </c>
      <c r="B86" s="3" t="s">
        <v>289</v>
      </c>
      <c r="C86" s="56">
        <v>656</v>
      </c>
      <c r="D86" s="22">
        <v>0</v>
      </c>
      <c r="E86" s="22">
        <f aca="true" t="shared" si="9" ref="E86:E101">D86/C86*100</f>
        <v>0</v>
      </c>
      <c r="F86" s="25">
        <v>0</v>
      </c>
      <c r="G86" s="25">
        <v>0</v>
      </c>
      <c r="H86" s="25">
        <v>0</v>
      </c>
      <c r="I86" s="40">
        <f t="shared" si="7"/>
        <v>656</v>
      </c>
      <c r="J86" s="40">
        <f t="shared" si="7"/>
        <v>0</v>
      </c>
      <c r="K86" s="37">
        <f t="shared" si="8"/>
        <v>0</v>
      </c>
    </row>
    <row r="87" spans="1:11" ht="90">
      <c r="A87" s="15">
        <v>1004</v>
      </c>
      <c r="B87" s="3" t="s">
        <v>290</v>
      </c>
      <c r="C87" s="56">
        <v>82820</v>
      </c>
      <c r="D87" s="22">
        <v>0</v>
      </c>
      <c r="E87" s="22">
        <f t="shared" si="9"/>
        <v>0</v>
      </c>
      <c r="F87" s="25">
        <v>0</v>
      </c>
      <c r="G87" s="23">
        <v>0</v>
      </c>
      <c r="H87" s="25">
        <v>0</v>
      </c>
      <c r="I87" s="40">
        <f t="shared" si="7"/>
        <v>82820</v>
      </c>
      <c r="J87" s="46">
        <f t="shared" si="7"/>
        <v>0</v>
      </c>
      <c r="K87" s="37">
        <f t="shared" si="8"/>
        <v>0</v>
      </c>
    </row>
    <row r="88" spans="1:11" ht="78.75">
      <c r="A88" s="15">
        <v>1004</v>
      </c>
      <c r="B88" s="3" t="s">
        <v>291</v>
      </c>
      <c r="C88" s="56">
        <v>636.6</v>
      </c>
      <c r="D88" s="22">
        <v>0</v>
      </c>
      <c r="E88" s="22">
        <f t="shared" si="9"/>
        <v>0</v>
      </c>
      <c r="F88" s="25">
        <v>0</v>
      </c>
      <c r="G88" s="23">
        <v>0</v>
      </c>
      <c r="H88" s="25">
        <v>0</v>
      </c>
      <c r="I88" s="40">
        <f t="shared" si="7"/>
        <v>636.6</v>
      </c>
      <c r="J88" s="46">
        <f t="shared" si="7"/>
        <v>0</v>
      </c>
      <c r="K88" s="37">
        <f t="shared" si="8"/>
        <v>0</v>
      </c>
    </row>
    <row r="89" spans="1:11" ht="78.75">
      <c r="A89" s="15" t="s">
        <v>110</v>
      </c>
      <c r="B89" s="3" t="s">
        <v>292</v>
      </c>
      <c r="C89" s="56">
        <v>13041.6</v>
      </c>
      <c r="D89" s="22">
        <v>0</v>
      </c>
      <c r="E89" s="22">
        <f>D89/C89*100</f>
        <v>0</v>
      </c>
      <c r="F89" s="25">
        <v>0</v>
      </c>
      <c r="G89" s="23">
        <v>0</v>
      </c>
      <c r="H89" s="25">
        <v>0</v>
      </c>
      <c r="I89" s="40">
        <f>C89+F89</f>
        <v>13041.6</v>
      </c>
      <c r="J89" s="46">
        <f>D89+G89</f>
        <v>0</v>
      </c>
      <c r="K89" s="37">
        <f>J89/I89*100</f>
        <v>0</v>
      </c>
    </row>
    <row r="90" spans="1:11" ht="12.75">
      <c r="A90" s="15">
        <v>1006</v>
      </c>
      <c r="B90" s="3" t="s">
        <v>63</v>
      </c>
      <c r="C90" s="22">
        <v>14683.9</v>
      </c>
      <c r="D90" s="22">
        <v>483.4</v>
      </c>
      <c r="E90" s="22">
        <f t="shared" si="9"/>
        <v>3.292040942801299</v>
      </c>
      <c r="F90" s="25">
        <v>0</v>
      </c>
      <c r="G90" s="23">
        <v>0</v>
      </c>
      <c r="H90" s="25">
        <v>0</v>
      </c>
      <c r="I90" s="40">
        <f>C90+F90</f>
        <v>14683.9</v>
      </c>
      <c r="J90" s="46">
        <f>D90+G90</f>
        <v>483.4</v>
      </c>
      <c r="K90" s="37">
        <f t="shared" si="8"/>
        <v>3.292040942801299</v>
      </c>
    </row>
    <row r="91" spans="1:11" ht="12.75">
      <c r="A91" s="17">
        <v>1100</v>
      </c>
      <c r="B91" s="4" t="s">
        <v>59</v>
      </c>
      <c r="C91" s="24">
        <f>SUM(C92:C93)</f>
        <v>84839</v>
      </c>
      <c r="D91" s="24">
        <f>SUM(D92:D93)</f>
        <v>938.9</v>
      </c>
      <c r="E91" s="24">
        <f>D91/C91*100</f>
        <v>1.1066844257947406</v>
      </c>
      <c r="F91" s="27">
        <f>F92+F93</f>
        <v>10725</v>
      </c>
      <c r="G91" s="27">
        <f>G92+G93</f>
        <v>147.8</v>
      </c>
      <c r="H91" s="35">
        <f>G91/F91*100</f>
        <v>1.3780885780885783</v>
      </c>
      <c r="I91" s="27">
        <f>SUM(I92:I93)</f>
        <v>95339</v>
      </c>
      <c r="J91" s="27">
        <f>SUM(J92:J93)</f>
        <v>1086.7</v>
      </c>
      <c r="K91" s="36">
        <f t="shared" si="8"/>
        <v>1.1398273529195817</v>
      </c>
    </row>
    <row r="92" spans="1:11" ht="12.75">
      <c r="A92" s="15">
        <v>1101</v>
      </c>
      <c r="B92" s="3" t="s">
        <v>83</v>
      </c>
      <c r="C92" s="22">
        <v>1170</v>
      </c>
      <c r="D92" s="22">
        <v>0</v>
      </c>
      <c r="E92" s="22">
        <f t="shared" si="9"/>
        <v>0</v>
      </c>
      <c r="F92" s="25">
        <v>10525</v>
      </c>
      <c r="G92" s="23">
        <v>147.8</v>
      </c>
      <c r="H92" s="25">
        <f>G92/F92*100</f>
        <v>1.4042755344418054</v>
      </c>
      <c r="I92" s="40">
        <f>C92+F92-225</f>
        <v>11470</v>
      </c>
      <c r="J92" s="40">
        <f>D92+G92</f>
        <v>147.8</v>
      </c>
      <c r="K92" s="37">
        <f t="shared" si="8"/>
        <v>1.2885789014821274</v>
      </c>
    </row>
    <row r="93" spans="1:11" ht="12.75">
      <c r="A93" s="15">
        <v>1102</v>
      </c>
      <c r="B93" s="3" t="s">
        <v>84</v>
      </c>
      <c r="C93" s="22">
        <v>83669</v>
      </c>
      <c r="D93" s="22">
        <v>938.9</v>
      </c>
      <c r="E93" s="22">
        <f t="shared" si="9"/>
        <v>1.122159939762636</v>
      </c>
      <c r="F93" s="25">
        <v>200</v>
      </c>
      <c r="G93" s="23"/>
      <c r="H93" s="25">
        <f>G93/F93*100</f>
        <v>0</v>
      </c>
      <c r="I93" s="40">
        <f>C93+F93</f>
        <v>83869</v>
      </c>
      <c r="J93" s="40">
        <f>D93+G93</f>
        <v>938.9</v>
      </c>
      <c r="K93" s="37">
        <f t="shared" si="8"/>
        <v>1.1194839571236095</v>
      </c>
    </row>
    <row r="94" spans="1:11" ht="12.75">
      <c r="A94" s="17">
        <v>1200</v>
      </c>
      <c r="B94" s="4" t="s">
        <v>85</v>
      </c>
      <c r="C94" s="24">
        <f>C96+C95</f>
        <v>9203</v>
      </c>
      <c r="D94" s="24">
        <f>D96+D95</f>
        <v>1065.6</v>
      </c>
      <c r="E94" s="24">
        <f>E96</f>
        <v>12.983636363636364</v>
      </c>
      <c r="F94" s="24">
        <f>F96+F95</f>
        <v>0</v>
      </c>
      <c r="G94" s="24">
        <f>G96+G95</f>
        <v>0</v>
      </c>
      <c r="H94" s="38">
        <f>H96</f>
        <v>0</v>
      </c>
      <c r="I94" s="24">
        <f aca="true" t="shared" si="10" ref="I94:J98">C94+F94</f>
        <v>9203</v>
      </c>
      <c r="J94" s="24">
        <f t="shared" si="10"/>
        <v>1065.6</v>
      </c>
      <c r="K94" s="39">
        <f t="shared" si="8"/>
        <v>11.578832989242638</v>
      </c>
    </row>
    <row r="95" spans="1:11" ht="12.75">
      <c r="A95" s="15" t="s">
        <v>114</v>
      </c>
      <c r="B95" s="3" t="s">
        <v>115</v>
      </c>
      <c r="C95" s="22">
        <v>3703</v>
      </c>
      <c r="D95" s="22">
        <v>351.5</v>
      </c>
      <c r="E95" s="22">
        <f>D95/C95*100</f>
        <v>9.492303537672157</v>
      </c>
      <c r="F95" s="25">
        <v>0</v>
      </c>
      <c r="G95" s="23">
        <v>0</v>
      </c>
      <c r="H95" s="25">
        <v>0</v>
      </c>
      <c r="I95" s="40">
        <f t="shared" si="10"/>
        <v>3703</v>
      </c>
      <c r="J95" s="40">
        <f t="shared" si="10"/>
        <v>351.5</v>
      </c>
      <c r="K95" s="37">
        <f>J95/I95*100</f>
        <v>9.492303537672157</v>
      </c>
    </row>
    <row r="96" spans="1:11" ht="12.75">
      <c r="A96" s="15">
        <v>1202</v>
      </c>
      <c r="B96" s="3" t="s">
        <v>101</v>
      </c>
      <c r="C96" s="22">
        <v>5500</v>
      </c>
      <c r="D96" s="22">
        <v>714.1</v>
      </c>
      <c r="E96" s="22">
        <f t="shared" si="9"/>
        <v>12.983636363636364</v>
      </c>
      <c r="F96" s="25">
        <v>0</v>
      </c>
      <c r="G96" s="23">
        <v>0</v>
      </c>
      <c r="H96" s="25">
        <v>0</v>
      </c>
      <c r="I96" s="40">
        <f t="shared" si="10"/>
        <v>5500</v>
      </c>
      <c r="J96" s="40">
        <f t="shared" si="10"/>
        <v>714.1</v>
      </c>
      <c r="K96" s="37">
        <f t="shared" si="8"/>
        <v>12.983636363636364</v>
      </c>
    </row>
    <row r="97" spans="1:11" ht="12.75">
      <c r="A97" s="17">
        <v>1300</v>
      </c>
      <c r="B97" s="4" t="s">
        <v>86</v>
      </c>
      <c r="C97" s="24">
        <f aca="true" t="shared" si="11" ref="C97:H97">C98</f>
        <v>370</v>
      </c>
      <c r="D97" s="24">
        <f t="shared" si="11"/>
        <v>0.2</v>
      </c>
      <c r="E97" s="24">
        <f t="shared" si="11"/>
        <v>0.05405405405405406</v>
      </c>
      <c r="F97" s="24">
        <f t="shared" si="11"/>
        <v>0</v>
      </c>
      <c r="G97" s="24">
        <f t="shared" si="11"/>
        <v>0</v>
      </c>
      <c r="H97" s="38">
        <f t="shared" si="11"/>
        <v>0</v>
      </c>
      <c r="I97" s="24">
        <f t="shared" si="10"/>
        <v>370</v>
      </c>
      <c r="J97" s="24">
        <f t="shared" si="10"/>
        <v>0.2</v>
      </c>
      <c r="K97" s="39">
        <f t="shared" si="8"/>
        <v>0.05405405405405406</v>
      </c>
    </row>
    <row r="98" spans="1:11" ht="22.5">
      <c r="A98" s="15">
        <v>1301</v>
      </c>
      <c r="B98" s="3" t="s">
        <v>87</v>
      </c>
      <c r="C98" s="22">
        <v>370</v>
      </c>
      <c r="D98" s="22">
        <v>0.2</v>
      </c>
      <c r="E98" s="22">
        <f t="shared" si="9"/>
        <v>0.05405405405405406</v>
      </c>
      <c r="F98" s="25"/>
      <c r="G98" s="23">
        <v>0</v>
      </c>
      <c r="H98" s="25">
        <v>0</v>
      </c>
      <c r="I98" s="40">
        <f t="shared" si="10"/>
        <v>370</v>
      </c>
      <c r="J98" s="40">
        <f t="shared" si="10"/>
        <v>0.2</v>
      </c>
      <c r="K98" s="37">
        <f t="shared" si="8"/>
        <v>0.05405405405405406</v>
      </c>
    </row>
    <row r="99" spans="1:11" ht="12.75">
      <c r="A99" s="17">
        <v>1400</v>
      </c>
      <c r="B99" s="4" t="s">
        <v>64</v>
      </c>
      <c r="C99" s="24">
        <f>SUM(C100:C102)</f>
        <v>291542.4</v>
      </c>
      <c r="D99" s="24">
        <f>SUM(D100:D102)</f>
        <v>17164.6</v>
      </c>
      <c r="E99" s="24">
        <f>D99/C99*100</f>
        <v>5.8875141317352115</v>
      </c>
      <c r="F99" s="27">
        <f>F100+F101+F102</f>
        <v>31373.6</v>
      </c>
      <c r="G99" s="27">
        <f>SUM(G100:G102)</f>
        <v>0</v>
      </c>
      <c r="H99" s="27">
        <f>G99/F99*100</f>
        <v>0</v>
      </c>
      <c r="I99" s="27">
        <v>0</v>
      </c>
      <c r="J99" s="27">
        <v>0</v>
      </c>
      <c r="K99" s="36">
        <v>0</v>
      </c>
    </row>
    <row r="100" spans="1:11" ht="22.5">
      <c r="A100" s="15">
        <v>1401</v>
      </c>
      <c r="B100" s="3" t="s">
        <v>81</v>
      </c>
      <c r="C100" s="22">
        <v>118984.4</v>
      </c>
      <c r="D100" s="22">
        <v>7932.3</v>
      </c>
      <c r="E100" s="22">
        <f t="shared" si="9"/>
        <v>6.666672269642071</v>
      </c>
      <c r="F100" s="25">
        <v>0</v>
      </c>
      <c r="G100" s="23">
        <v>0</v>
      </c>
      <c r="H100" s="25">
        <v>0</v>
      </c>
      <c r="I100" s="40">
        <v>0</v>
      </c>
      <c r="J100" s="46">
        <v>0</v>
      </c>
      <c r="K100" s="37">
        <v>0</v>
      </c>
    </row>
    <row r="101" spans="1:11" ht="12.75">
      <c r="A101" s="15">
        <v>1402</v>
      </c>
      <c r="B101" s="3" t="s">
        <v>82</v>
      </c>
      <c r="C101" s="22">
        <v>169858</v>
      </c>
      <c r="D101" s="22">
        <v>9232.3</v>
      </c>
      <c r="E101" s="22">
        <f t="shared" si="9"/>
        <v>5.4353047839960436</v>
      </c>
      <c r="F101" s="25">
        <v>0</v>
      </c>
      <c r="G101" s="23">
        <v>0</v>
      </c>
      <c r="H101" s="25">
        <v>0</v>
      </c>
      <c r="I101" s="40">
        <v>0</v>
      </c>
      <c r="J101" s="46">
        <v>0</v>
      </c>
      <c r="K101" s="37">
        <v>0</v>
      </c>
    </row>
    <row r="102" spans="1:11" ht="12.75">
      <c r="A102" s="15">
        <v>1403</v>
      </c>
      <c r="B102" s="3" t="s">
        <v>95</v>
      </c>
      <c r="C102" s="22">
        <v>2700</v>
      </c>
      <c r="D102" s="22"/>
      <c r="E102" s="22">
        <v>0</v>
      </c>
      <c r="F102" s="25">
        <v>31373.6</v>
      </c>
      <c r="G102" s="23">
        <v>0</v>
      </c>
      <c r="H102" s="25">
        <f>G102/F102*100</f>
        <v>0</v>
      </c>
      <c r="I102" s="40">
        <v>0</v>
      </c>
      <c r="J102" s="46">
        <v>0</v>
      </c>
      <c r="K102" s="37">
        <v>0</v>
      </c>
    </row>
    <row r="103" spans="1:11" ht="13.5" customHeight="1" thickBot="1">
      <c r="A103" s="142" t="s">
        <v>65</v>
      </c>
      <c r="B103" s="143"/>
      <c r="C103" s="29">
        <f>C9+C18+C20+C25+C42+C62+C64+C71+C77+C79+C91+C94+C97+C99</f>
        <v>3912285</v>
      </c>
      <c r="D103" s="29">
        <f>D99+D97+D94+D91+D79+D77+D71+D64+D62+D42+D25+D20+D18+D9</f>
        <v>113075.3</v>
      </c>
      <c r="E103" s="29">
        <f>D103/C103*100</f>
        <v>2.890262340294738</v>
      </c>
      <c r="F103" s="29">
        <f>F9+F18+F20+F25+F42+F62+F64+F71+F77+F79+F91+F94+F97+F99</f>
        <v>457430.89999999997</v>
      </c>
      <c r="G103" s="29">
        <f>G99+G97+G94+G79+G77+G71+G64+G42+G25+G21+G18+G9+G20+G91</f>
        <v>9522.199999999999</v>
      </c>
      <c r="H103" s="47">
        <f>G103/F103*100</f>
        <v>2.0816696029935886</v>
      </c>
      <c r="I103" s="29">
        <f>I99+I97+I94+I91+I79+I77+I71+I64+I62+I42+I25+I20+I18+I9</f>
        <v>4016517.3</v>
      </c>
      <c r="J103" s="29">
        <f>J99+J97+J94+J91+J79+J77+J71+J64+J62+J42+J25+J20+J18+J9</f>
        <v>105432.9</v>
      </c>
      <c r="K103" s="30">
        <f t="shared" si="8"/>
        <v>2.624983091694887</v>
      </c>
    </row>
    <row r="104" spans="1:11" ht="12.75">
      <c r="A104" s="9"/>
      <c r="B104" s="5"/>
      <c r="C104" s="53"/>
      <c r="D104" s="31"/>
      <c r="E104" s="41"/>
      <c r="F104" s="21"/>
      <c r="G104" s="33"/>
      <c r="H104" s="33"/>
      <c r="I104" s="45"/>
      <c r="J104" s="45"/>
      <c r="K104" s="45"/>
    </row>
    <row r="105" spans="1:11" ht="12.75">
      <c r="A105" s="10"/>
      <c r="B105" s="6"/>
      <c r="C105" s="54"/>
      <c r="D105" s="32"/>
      <c r="E105" s="41"/>
      <c r="F105" s="21"/>
      <c r="G105" s="33"/>
      <c r="H105" s="33"/>
      <c r="I105" s="44"/>
      <c r="J105" s="44"/>
      <c r="K105" s="45"/>
    </row>
    <row r="106" spans="1:11" ht="13.5" customHeight="1">
      <c r="A106" s="10"/>
      <c r="B106" s="6"/>
      <c r="C106" s="54"/>
      <c r="D106" s="32"/>
      <c r="E106" s="41"/>
      <c r="F106" s="21"/>
      <c r="G106" s="33"/>
      <c r="H106" s="33"/>
      <c r="I106" s="44"/>
      <c r="J106" s="44"/>
      <c r="K106" s="45"/>
    </row>
    <row r="107" spans="1:11" ht="12.75">
      <c r="A107" s="10"/>
      <c r="B107" s="6"/>
      <c r="C107" s="54"/>
      <c r="D107" s="32"/>
      <c r="E107" s="41"/>
      <c r="F107" s="21"/>
      <c r="G107" s="33"/>
      <c r="H107" s="33"/>
      <c r="I107" s="44"/>
      <c r="J107" s="44"/>
      <c r="K107" s="45"/>
    </row>
    <row r="108" spans="1:11" ht="12.75">
      <c r="A108" s="10"/>
      <c r="B108" s="6"/>
      <c r="C108" s="54"/>
      <c r="D108" s="32"/>
      <c r="E108" s="41"/>
      <c r="F108" s="21"/>
      <c r="G108" s="33"/>
      <c r="H108" s="33"/>
      <c r="I108" s="44"/>
      <c r="J108" s="44"/>
      <c r="K108" s="45"/>
    </row>
    <row r="109" spans="1:11" ht="12.75" customHeight="1">
      <c r="A109" s="146" t="s">
        <v>124</v>
      </c>
      <c r="B109" s="146"/>
      <c r="C109" s="146"/>
      <c r="D109" s="21"/>
      <c r="E109" s="33"/>
      <c r="F109" s="33"/>
      <c r="G109" s="33"/>
      <c r="H109" s="33"/>
      <c r="I109" s="45"/>
      <c r="J109" s="45"/>
      <c r="K109" s="45"/>
    </row>
    <row r="110" spans="1:11" ht="12.75" customHeight="1">
      <c r="A110" s="146" t="s">
        <v>125</v>
      </c>
      <c r="B110" s="146"/>
      <c r="C110" s="146"/>
      <c r="D110" s="42"/>
      <c r="E110" s="147" t="s">
        <v>66</v>
      </c>
      <c r="F110" s="147"/>
      <c r="G110" s="33"/>
      <c r="H110" s="33"/>
      <c r="I110" s="44"/>
      <c r="J110" s="45"/>
      <c r="K110" s="45"/>
    </row>
    <row r="111" spans="1:11" ht="12.75">
      <c r="A111" s="11"/>
      <c r="B111" s="5"/>
      <c r="C111" s="53"/>
      <c r="D111" s="31"/>
      <c r="E111" s="43"/>
      <c r="F111" s="55"/>
      <c r="G111" s="33"/>
      <c r="H111" s="33"/>
      <c r="I111" s="44"/>
      <c r="J111" s="45"/>
      <c r="K111" s="45"/>
    </row>
    <row r="112" spans="1:11" ht="12.75" customHeight="1">
      <c r="A112" s="146" t="s">
        <v>151</v>
      </c>
      <c r="B112" s="146"/>
      <c r="C112" s="146"/>
      <c r="D112" s="34"/>
      <c r="E112" s="147" t="s">
        <v>123</v>
      </c>
      <c r="F112" s="147"/>
      <c r="G112" s="33"/>
      <c r="H112" s="33"/>
      <c r="I112" s="44"/>
      <c r="J112" s="45"/>
      <c r="K112" s="45"/>
    </row>
    <row r="113" spans="1:11" ht="12.75">
      <c r="A113" s="11"/>
      <c r="B113" s="6"/>
      <c r="C113" s="54"/>
      <c r="D113" s="32"/>
      <c r="E113" s="43"/>
      <c r="F113" s="55"/>
      <c r="G113" s="33"/>
      <c r="H113" s="33"/>
      <c r="I113" s="44"/>
      <c r="J113" s="45"/>
      <c r="K113" s="45"/>
    </row>
    <row r="114" spans="1:11" ht="12.75" customHeight="1">
      <c r="A114" s="146" t="s">
        <v>154</v>
      </c>
      <c r="B114" s="146"/>
      <c r="C114" s="146"/>
      <c r="D114" s="34"/>
      <c r="E114" s="148" t="s">
        <v>155</v>
      </c>
      <c r="F114" s="148"/>
      <c r="G114" s="33"/>
      <c r="H114" s="33"/>
      <c r="I114" s="44"/>
      <c r="J114" s="45"/>
      <c r="K114" s="45"/>
    </row>
    <row r="115" spans="1:11" ht="12.75">
      <c r="A115" s="12"/>
      <c r="B115" s="7"/>
      <c r="C115" s="51"/>
      <c r="D115" s="21"/>
      <c r="E115" s="21"/>
      <c r="F115" s="33"/>
      <c r="G115" s="33"/>
      <c r="H115" s="33"/>
      <c r="I115" s="45"/>
      <c r="J115" s="45"/>
      <c r="K115" s="45"/>
    </row>
    <row r="116" spans="3:5" ht="12.75">
      <c r="C116" s="58" t="s">
        <v>156</v>
      </c>
      <c r="D116" t="s">
        <v>157</v>
      </c>
      <c r="E116" s="59" t="s">
        <v>158</v>
      </c>
    </row>
    <row r="118" ht="12.75">
      <c r="B118" s="7"/>
    </row>
  </sheetData>
  <sheetProtection/>
  <mergeCells count="35">
    <mergeCell ref="A103:B103"/>
    <mergeCell ref="A109:C109"/>
    <mergeCell ref="K20:K21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  <mergeCell ref="A110:C110"/>
    <mergeCell ref="E110:F110"/>
    <mergeCell ref="A112:C112"/>
    <mergeCell ref="E112:F112"/>
    <mergeCell ref="A114:C114"/>
    <mergeCell ref="E114:F11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2014-04-16T10:31:38Z</dcterms:modified>
  <cp:category/>
  <cp:version/>
  <cp:contentType/>
  <cp:contentStatus/>
</cp:coreProperties>
</file>