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Доходы" sheetId="1" r:id="rId1"/>
    <sheet name="Расход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2" l="1"/>
  <c r="J131" i="2" l="1"/>
  <c r="I131" i="2"/>
  <c r="E131" i="2"/>
  <c r="J130" i="2"/>
  <c r="I130" i="2"/>
  <c r="E130" i="2"/>
  <c r="J129" i="2"/>
  <c r="I129" i="2"/>
  <c r="E129" i="2"/>
  <c r="G128" i="2"/>
  <c r="F128" i="2"/>
  <c r="D128" i="2"/>
  <c r="E128" i="2" s="1"/>
  <c r="C128" i="2"/>
  <c r="K127" i="2"/>
  <c r="J127" i="2"/>
  <c r="I127" i="2"/>
  <c r="E127" i="2"/>
  <c r="E126" i="2" s="1"/>
  <c r="H126" i="2"/>
  <c r="G126" i="2"/>
  <c r="F126" i="2"/>
  <c r="D126" i="2"/>
  <c r="C126" i="2"/>
  <c r="I126" i="2" s="1"/>
  <c r="J125" i="2"/>
  <c r="K125" i="2" s="1"/>
  <c r="I125" i="2"/>
  <c r="E125" i="2"/>
  <c r="J124" i="2"/>
  <c r="K124" i="2" s="1"/>
  <c r="I124" i="2"/>
  <c r="E124" i="2"/>
  <c r="D124" i="2"/>
  <c r="C124" i="2"/>
  <c r="J123" i="2"/>
  <c r="K123" i="2" s="1"/>
  <c r="I123" i="2"/>
  <c r="E123" i="2"/>
  <c r="J122" i="2"/>
  <c r="K122" i="2" s="1"/>
  <c r="I122" i="2"/>
  <c r="E122" i="2"/>
  <c r="J121" i="2"/>
  <c r="J120" i="2" s="1"/>
  <c r="I121" i="2"/>
  <c r="H121" i="2"/>
  <c r="E121" i="2"/>
  <c r="K120" i="2"/>
  <c r="I120" i="2"/>
  <c r="H120" i="2"/>
  <c r="G120" i="2"/>
  <c r="F120" i="2"/>
  <c r="D120" i="2"/>
  <c r="C120" i="2"/>
  <c r="J119" i="2"/>
  <c r="I119" i="2"/>
  <c r="H119" i="2"/>
  <c r="E119" i="2"/>
  <c r="J118" i="2"/>
  <c r="I118" i="2"/>
  <c r="E118" i="2"/>
  <c r="J117" i="2"/>
  <c r="K117" i="2" s="1"/>
  <c r="I117" i="2"/>
  <c r="E117" i="2"/>
  <c r="J116" i="2"/>
  <c r="I116" i="2"/>
  <c r="E116" i="2"/>
  <c r="J115" i="2"/>
  <c r="I115" i="2"/>
  <c r="E115" i="2"/>
  <c r="J114" i="2"/>
  <c r="I114" i="2"/>
  <c r="E114" i="2"/>
  <c r="J113" i="2"/>
  <c r="K113" i="2" s="1"/>
  <c r="I113" i="2"/>
  <c r="E113" i="2"/>
  <c r="J112" i="2"/>
  <c r="I112" i="2"/>
  <c r="H112" i="2"/>
  <c r="E112" i="2"/>
  <c r="J111" i="2"/>
  <c r="G111" i="2"/>
  <c r="F111" i="2"/>
  <c r="D111" i="2"/>
  <c r="C111" i="2"/>
  <c r="K110" i="2"/>
  <c r="J110" i="2"/>
  <c r="I110" i="2"/>
  <c r="E110" i="2"/>
  <c r="E108" i="2" s="1"/>
  <c r="K109" i="2"/>
  <c r="J109" i="2"/>
  <c r="I109" i="2"/>
  <c r="E109" i="2"/>
  <c r="I108" i="2"/>
  <c r="D108" i="2"/>
  <c r="J108" i="2" s="1"/>
  <c r="K108" i="2" s="1"/>
  <c r="C108" i="2"/>
  <c r="J107" i="2"/>
  <c r="I107" i="2"/>
  <c r="H107" i="2"/>
  <c r="E107" i="2"/>
  <c r="J106" i="2"/>
  <c r="K106" i="2" s="1"/>
  <c r="I106" i="2"/>
  <c r="H106" i="2"/>
  <c r="E106" i="2"/>
  <c r="K105" i="2"/>
  <c r="J105" i="2"/>
  <c r="I105" i="2"/>
  <c r="H105" i="2"/>
  <c r="E105" i="2"/>
  <c r="C105" i="2"/>
  <c r="J104" i="2"/>
  <c r="I104" i="2"/>
  <c r="H104" i="2"/>
  <c r="E104" i="2"/>
  <c r="G103" i="2"/>
  <c r="F103" i="2"/>
  <c r="D103" i="2"/>
  <c r="C103" i="2"/>
  <c r="K102" i="2"/>
  <c r="J102" i="2"/>
  <c r="I102" i="2"/>
  <c r="E102" i="2"/>
  <c r="K101" i="2"/>
  <c r="J101" i="2"/>
  <c r="I101" i="2"/>
  <c r="E101" i="2"/>
  <c r="K100" i="2"/>
  <c r="J100" i="2"/>
  <c r="I100" i="2"/>
  <c r="E100" i="2"/>
  <c r="K99" i="2"/>
  <c r="J99" i="2"/>
  <c r="I99" i="2"/>
  <c r="E99" i="2"/>
  <c r="K98" i="2"/>
  <c r="J98" i="2"/>
  <c r="I98" i="2"/>
  <c r="E98" i="2"/>
  <c r="K97" i="2"/>
  <c r="J97" i="2"/>
  <c r="I97" i="2"/>
  <c r="E97" i="2"/>
  <c r="K96" i="2"/>
  <c r="J96" i="2"/>
  <c r="I96" i="2"/>
  <c r="E96" i="2"/>
  <c r="K95" i="2"/>
  <c r="J95" i="2"/>
  <c r="I95" i="2"/>
  <c r="E95" i="2"/>
  <c r="K94" i="2"/>
  <c r="J94" i="2"/>
  <c r="I94" i="2"/>
  <c r="E94" i="2"/>
  <c r="K93" i="2"/>
  <c r="J93" i="2"/>
  <c r="I93" i="2"/>
  <c r="E93" i="2"/>
  <c r="K92" i="2"/>
  <c r="J92" i="2"/>
  <c r="I92" i="2"/>
  <c r="G92" i="2"/>
  <c r="F92" i="2"/>
  <c r="D92" i="2"/>
  <c r="C92" i="2"/>
  <c r="K91" i="2"/>
  <c r="J91" i="2"/>
  <c r="I91" i="2"/>
  <c r="H91" i="2"/>
  <c r="E91" i="2"/>
  <c r="J90" i="2"/>
  <c r="I90" i="2"/>
  <c r="H90" i="2"/>
  <c r="G90" i="2"/>
  <c r="F90" i="2"/>
  <c r="E90" i="2"/>
  <c r="D90" i="2"/>
  <c r="C90" i="2"/>
  <c r="J89" i="2"/>
  <c r="I89" i="2"/>
  <c r="E89" i="2"/>
  <c r="J88" i="2"/>
  <c r="I88" i="2"/>
  <c r="H88" i="2"/>
  <c r="J87" i="2"/>
  <c r="I87" i="2"/>
  <c r="H87" i="2"/>
  <c r="E87" i="2"/>
  <c r="J86" i="2"/>
  <c r="I86" i="2"/>
  <c r="H86" i="2"/>
  <c r="E86" i="2"/>
  <c r="J85" i="2"/>
  <c r="K85" i="2" s="1"/>
  <c r="I85" i="2"/>
  <c r="H85" i="2"/>
  <c r="E85" i="2"/>
  <c r="J84" i="2"/>
  <c r="I84" i="2"/>
  <c r="H84" i="2"/>
  <c r="E84" i="2"/>
  <c r="J83" i="2"/>
  <c r="I83" i="2"/>
  <c r="H83" i="2"/>
  <c r="E83" i="2"/>
  <c r="J82" i="2"/>
  <c r="K82" i="2" s="1"/>
  <c r="I82" i="2"/>
  <c r="E82" i="2"/>
  <c r="J81" i="2"/>
  <c r="I81" i="2"/>
  <c r="H81" i="2"/>
  <c r="E81" i="2"/>
  <c r="K80" i="2"/>
  <c r="I80" i="2"/>
  <c r="H80" i="2"/>
  <c r="J79" i="2"/>
  <c r="K79" i="2" s="1"/>
  <c r="I79" i="2"/>
  <c r="H79" i="2"/>
  <c r="E79" i="2"/>
  <c r="J78" i="2"/>
  <c r="K78" i="2" s="1"/>
  <c r="I78" i="2"/>
  <c r="H78" i="2"/>
  <c r="E78" i="2"/>
  <c r="J77" i="2"/>
  <c r="I77" i="2"/>
  <c r="H77" i="2"/>
  <c r="E77" i="2"/>
  <c r="J76" i="2"/>
  <c r="I76" i="2"/>
  <c r="H76" i="2"/>
  <c r="E76" i="2"/>
  <c r="J75" i="2"/>
  <c r="I75" i="2"/>
  <c r="H75" i="2"/>
  <c r="E75" i="2"/>
  <c r="K74" i="2"/>
  <c r="J74" i="2"/>
  <c r="I74" i="2"/>
  <c r="H74" i="2"/>
  <c r="E74" i="2"/>
  <c r="J73" i="2"/>
  <c r="I73" i="2"/>
  <c r="E73" i="2"/>
  <c r="J72" i="2"/>
  <c r="I72" i="2"/>
  <c r="H72" i="2"/>
  <c r="E72" i="2"/>
  <c r="J71" i="2"/>
  <c r="I71" i="2"/>
  <c r="H71" i="2"/>
  <c r="E71" i="2"/>
  <c r="J70" i="2"/>
  <c r="I70" i="2"/>
  <c r="E70" i="2"/>
  <c r="J69" i="2"/>
  <c r="K69" i="2" s="1"/>
  <c r="I69" i="2"/>
  <c r="H69" i="2"/>
  <c r="E69" i="2"/>
  <c r="K68" i="2"/>
  <c r="J68" i="2"/>
  <c r="I68" i="2"/>
  <c r="H68" i="2"/>
  <c r="E68" i="2"/>
  <c r="J67" i="2"/>
  <c r="K67" i="2" s="1"/>
  <c r="I67" i="2"/>
  <c r="H67" i="2"/>
  <c r="E67" i="2"/>
  <c r="J66" i="2"/>
  <c r="K66" i="2" s="1"/>
  <c r="I66" i="2"/>
  <c r="F66" i="2"/>
  <c r="H66" i="2" s="1"/>
  <c r="E66" i="2"/>
  <c r="K65" i="2"/>
  <c r="J65" i="2"/>
  <c r="I65" i="2"/>
  <c r="E65" i="2"/>
  <c r="K64" i="2"/>
  <c r="J64" i="2"/>
  <c r="I64" i="2"/>
  <c r="E64" i="2"/>
  <c r="K63" i="2"/>
  <c r="J63" i="2"/>
  <c r="I63" i="2"/>
  <c r="E63" i="2"/>
  <c r="K62" i="2"/>
  <c r="J62" i="2"/>
  <c r="I62" i="2"/>
  <c r="E62" i="2"/>
  <c r="K61" i="2"/>
  <c r="J61" i="2"/>
  <c r="I61" i="2"/>
  <c r="E61" i="2"/>
  <c r="K60" i="2"/>
  <c r="J60" i="2"/>
  <c r="I60" i="2"/>
  <c r="H60" i="2"/>
  <c r="E60" i="2"/>
  <c r="J59" i="2"/>
  <c r="I59" i="2"/>
  <c r="K58" i="2"/>
  <c r="J58" i="2"/>
  <c r="I58" i="2"/>
  <c r="E58" i="2"/>
  <c r="K57" i="2"/>
  <c r="J57" i="2"/>
  <c r="I57" i="2"/>
  <c r="E57" i="2"/>
  <c r="K56" i="2"/>
  <c r="J56" i="2"/>
  <c r="I56" i="2"/>
  <c r="E56" i="2"/>
  <c r="K55" i="2"/>
  <c r="J55" i="2"/>
  <c r="I55" i="2"/>
  <c r="E55" i="2"/>
  <c r="K54" i="2"/>
  <c r="J54" i="2"/>
  <c r="I54" i="2"/>
  <c r="E54" i="2"/>
  <c r="K53" i="2"/>
  <c r="J53" i="2"/>
  <c r="I53" i="2"/>
  <c r="E53" i="2"/>
  <c r="K52" i="2"/>
  <c r="J52" i="2"/>
  <c r="I52" i="2"/>
  <c r="E52" i="2"/>
  <c r="J51" i="2"/>
  <c r="I51" i="2"/>
  <c r="E51" i="2"/>
  <c r="G50" i="2"/>
  <c r="D50" i="2"/>
  <c r="C50" i="2"/>
  <c r="J49" i="2"/>
  <c r="K49" i="2" s="1"/>
  <c r="I49" i="2"/>
  <c r="E49" i="2"/>
  <c r="J48" i="2"/>
  <c r="I48" i="2"/>
  <c r="E48" i="2"/>
  <c r="J47" i="2"/>
  <c r="I47" i="2"/>
  <c r="E47" i="2"/>
  <c r="J46" i="2"/>
  <c r="I46" i="2"/>
  <c r="E46" i="2"/>
  <c r="J45" i="2"/>
  <c r="K45" i="2" s="1"/>
  <c r="I45" i="2"/>
  <c r="E45" i="2"/>
  <c r="J44" i="2"/>
  <c r="I44" i="2"/>
  <c r="E44" i="2"/>
  <c r="C44" i="2"/>
  <c r="J43" i="2"/>
  <c r="I43" i="2"/>
  <c r="E43" i="2"/>
  <c r="J42" i="2"/>
  <c r="I42" i="2"/>
  <c r="E42" i="2"/>
  <c r="J41" i="2"/>
  <c r="I41" i="2"/>
  <c r="H41" i="2"/>
  <c r="E41" i="2"/>
  <c r="J40" i="2"/>
  <c r="K40" i="2" s="1"/>
  <c r="I40" i="2"/>
  <c r="H40" i="2"/>
  <c r="E40" i="2"/>
  <c r="K39" i="2"/>
  <c r="J39" i="2"/>
  <c r="I39" i="2"/>
  <c r="H39" i="2"/>
  <c r="K38" i="2"/>
  <c r="J38" i="2"/>
  <c r="I38" i="2"/>
  <c r="H38" i="2"/>
  <c r="E38" i="2"/>
  <c r="J37" i="2"/>
  <c r="I37" i="2"/>
  <c r="H37" i="2"/>
  <c r="E37" i="2"/>
  <c r="J36" i="2"/>
  <c r="I36" i="2"/>
  <c r="H36" i="2"/>
  <c r="E36" i="2"/>
  <c r="J35" i="2"/>
  <c r="K35" i="2" s="1"/>
  <c r="I35" i="2"/>
  <c r="H35" i="2"/>
  <c r="E35" i="2"/>
  <c r="K34" i="2"/>
  <c r="J34" i="2"/>
  <c r="I34" i="2"/>
  <c r="H34" i="2"/>
  <c r="E34" i="2"/>
  <c r="J33" i="2"/>
  <c r="I33" i="2"/>
  <c r="H33" i="2"/>
  <c r="E33" i="2"/>
  <c r="J32" i="2"/>
  <c r="I32" i="2"/>
  <c r="H32" i="2"/>
  <c r="E32" i="2"/>
  <c r="J31" i="2"/>
  <c r="I31" i="2"/>
  <c r="H31" i="2"/>
  <c r="E31" i="2"/>
  <c r="K30" i="2"/>
  <c r="J30" i="2"/>
  <c r="I30" i="2"/>
  <c r="E30" i="2"/>
  <c r="K29" i="2"/>
  <c r="J29" i="2"/>
  <c r="I29" i="2"/>
  <c r="H29" i="2"/>
  <c r="E29" i="2"/>
  <c r="J28" i="2"/>
  <c r="I28" i="2"/>
  <c r="E28" i="2"/>
  <c r="J27" i="2"/>
  <c r="I27" i="2"/>
  <c r="E27" i="2"/>
  <c r="J26" i="2"/>
  <c r="I26" i="2"/>
  <c r="H26" i="2"/>
  <c r="E26" i="2"/>
  <c r="G25" i="2"/>
  <c r="F25" i="2"/>
  <c r="D25" i="2"/>
  <c r="C25" i="2"/>
  <c r="K24" i="2"/>
  <c r="J24" i="2"/>
  <c r="I24" i="2"/>
  <c r="H24" i="2"/>
  <c r="E24" i="2"/>
  <c r="K23" i="2"/>
  <c r="J23" i="2"/>
  <c r="I23" i="2"/>
  <c r="H23" i="2"/>
  <c r="E23" i="2"/>
  <c r="J22" i="2"/>
  <c r="I22" i="2"/>
  <c r="H22" i="2"/>
  <c r="E22" i="2"/>
  <c r="J20" i="2"/>
  <c r="I20" i="2"/>
  <c r="G20" i="2"/>
  <c r="H20" i="2" s="1"/>
  <c r="F20" i="2"/>
  <c r="E20" i="2"/>
  <c r="D20" i="2"/>
  <c r="C20" i="2"/>
  <c r="J19" i="2"/>
  <c r="J18" i="2" s="1"/>
  <c r="I19" i="2"/>
  <c r="H19" i="2"/>
  <c r="E19" i="2"/>
  <c r="E18" i="2" s="1"/>
  <c r="K18" i="2"/>
  <c r="I18" i="2"/>
  <c r="H18" i="2"/>
  <c r="G18" i="2"/>
  <c r="F18" i="2"/>
  <c r="D18" i="2"/>
  <c r="C18" i="2"/>
  <c r="J17" i="2"/>
  <c r="I17" i="2"/>
  <c r="H17" i="2"/>
  <c r="E17" i="2"/>
  <c r="J16" i="2"/>
  <c r="I16" i="2"/>
  <c r="H16" i="2"/>
  <c r="E16" i="2"/>
  <c r="J15" i="2"/>
  <c r="K15" i="2" s="1"/>
  <c r="I15" i="2"/>
  <c r="H15" i="2"/>
  <c r="J14" i="2"/>
  <c r="K14" i="2" s="1"/>
  <c r="I14" i="2"/>
  <c r="E14" i="2"/>
  <c r="J13" i="2"/>
  <c r="K13" i="2" s="1"/>
  <c r="I13" i="2"/>
  <c r="E13" i="2"/>
  <c r="J12" i="2"/>
  <c r="J9" i="2" s="1"/>
  <c r="I12" i="2"/>
  <c r="H12" i="2"/>
  <c r="E12" i="2"/>
  <c r="K11" i="2"/>
  <c r="J11" i="2"/>
  <c r="I11" i="2"/>
  <c r="E11" i="2"/>
  <c r="K10" i="2"/>
  <c r="J10" i="2"/>
  <c r="I10" i="2"/>
  <c r="H10" i="2"/>
  <c r="E10" i="2"/>
  <c r="I9" i="2"/>
  <c r="H9" i="2"/>
  <c r="G9" i="2"/>
  <c r="F9" i="2"/>
  <c r="D9" i="2"/>
  <c r="E9" i="2" s="1"/>
  <c r="C9" i="2"/>
  <c r="K111" i="2" l="1"/>
  <c r="I111" i="2"/>
  <c r="E92" i="2"/>
  <c r="K86" i="2"/>
  <c r="K81" i="2"/>
  <c r="K75" i="2"/>
  <c r="K70" i="2"/>
  <c r="E25" i="2"/>
  <c r="K31" i="2"/>
  <c r="I25" i="2"/>
  <c r="H25" i="2"/>
  <c r="K28" i="2"/>
  <c r="K36" i="2"/>
  <c r="K37" i="2"/>
  <c r="K43" i="2"/>
  <c r="K44" i="2"/>
  <c r="K48" i="2"/>
  <c r="K73" i="2"/>
  <c r="K83" i="2"/>
  <c r="K84" i="2"/>
  <c r="K89" i="2"/>
  <c r="K90" i="2"/>
  <c r="H103" i="2"/>
  <c r="E111" i="2"/>
  <c r="K112" i="2"/>
  <c r="K116" i="2"/>
  <c r="E120" i="2"/>
  <c r="D132" i="2"/>
  <c r="K9" i="2"/>
  <c r="K20" i="2"/>
  <c r="K22" i="2"/>
  <c r="K27" i="2"/>
  <c r="K42" i="2"/>
  <c r="K47" i="2"/>
  <c r="E50" i="2"/>
  <c r="I50" i="2"/>
  <c r="K71" i="2"/>
  <c r="K72" i="2"/>
  <c r="K88" i="2"/>
  <c r="J103" i="2"/>
  <c r="I103" i="2"/>
  <c r="K107" i="2"/>
  <c r="K115" i="2"/>
  <c r="C132" i="2"/>
  <c r="K12" i="2"/>
  <c r="K16" i="2"/>
  <c r="K17" i="2"/>
  <c r="K19" i="2"/>
  <c r="J25" i="2"/>
  <c r="K26" i="2"/>
  <c r="K32" i="2"/>
  <c r="K33" i="2"/>
  <c r="K41" i="2"/>
  <c r="K46" i="2"/>
  <c r="K59" i="2"/>
  <c r="K76" i="2"/>
  <c r="K77" i="2"/>
  <c r="K87" i="2"/>
  <c r="E103" i="2"/>
  <c r="K104" i="2"/>
  <c r="H111" i="2"/>
  <c r="K114" i="2"/>
  <c r="K118" i="2"/>
  <c r="K119" i="2"/>
  <c r="K121" i="2"/>
  <c r="J126" i="2"/>
  <c r="G132" i="2"/>
  <c r="F50" i="2"/>
  <c r="H50" i="2" s="1"/>
  <c r="J50" i="2"/>
  <c r="I132" i="2" l="1"/>
  <c r="K103" i="2"/>
  <c r="F132" i="2"/>
  <c r="J132" i="2"/>
  <c r="K126" i="2"/>
  <c r="E132" i="2"/>
  <c r="K50" i="2"/>
  <c r="K25" i="2"/>
  <c r="K132" i="2" l="1"/>
  <c r="H132" i="2"/>
  <c r="F8" i="1" l="1"/>
  <c r="G8" i="1"/>
  <c r="H8" i="1"/>
  <c r="I8" i="1"/>
  <c r="F22" i="1"/>
  <c r="F27" i="1" s="1"/>
  <c r="G22" i="1"/>
  <c r="H22" i="1"/>
  <c r="I23" i="1"/>
  <c r="I232" i="1" s="1"/>
  <c r="I231" i="1" s="1"/>
  <c r="I235" i="1" s="1"/>
  <c r="G27" i="1"/>
  <c r="H27" i="1"/>
  <c r="F30" i="1"/>
  <c r="G30" i="1"/>
  <c r="H30" i="1"/>
  <c r="I30" i="1"/>
  <c r="G40" i="1"/>
  <c r="H40" i="1"/>
  <c r="I40" i="1"/>
  <c r="I43" i="1" s="1"/>
  <c r="F41" i="1"/>
  <c r="F40" i="1" s="1"/>
  <c r="F43" i="1" s="1"/>
  <c r="G43" i="1"/>
  <c r="H43" i="1"/>
  <c r="F46" i="1"/>
  <c r="G46" i="1"/>
  <c r="H46" i="1"/>
  <c r="I46" i="1"/>
  <c r="F57" i="1"/>
  <c r="G57" i="1"/>
  <c r="H57" i="1"/>
  <c r="I57" i="1"/>
  <c r="F61" i="1"/>
  <c r="G61" i="1"/>
  <c r="H61" i="1"/>
  <c r="I61" i="1"/>
  <c r="F64" i="1"/>
  <c r="G64" i="1"/>
  <c r="H64" i="1"/>
  <c r="I64" i="1"/>
  <c r="G75" i="1"/>
  <c r="H75" i="1"/>
  <c r="H78" i="1" s="1"/>
  <c r="I75" i="1"/>
  <c r="F76" i="1"/>
  <c r="F75" i="1" s="1"/>
  <c r="F78" i="1" s="1"/>
  <c r="G78" i="1"/>
  <c r="I78" i="1"/>
  <c r="F81" i="1"/>
  <c r="G81" i="1"/>
  <c r="G96" i="1" s="1"/>
  <c r="H81" i="1"/>
  <c r="I81" i="1"/>
  <c r="H92" i="1"/>
  <c r="F93" i="1"/>
  <c r="G93" i="1"/>
  <c r="H93" i="1"/>
  <c r="I93" i="1"/>
  <c r="F96" i="1"/>
  <c r="H96" i="1"/>
  <c r="I96" i="1"/>
  <c r="F99" i="1"/>
  <c r="G99" i="1"/>
  <c r="H99" i="1"/>
  <c r="I99" i="1"/>
  <c r="G109" i="1"/>
  <c r="H109" i="1"/>
  <c r="I109" i="1"/>
  <c r="F110" i="1"/>
  <c r="F109" i="1" s="1"/>
  <c r="F112" i="1" s="1"/>
  <c r="G112" i="1"/>
  <c r="H112" i="1"/>
  <c r="I112" i="1"/>
  <c r="F115" i="1"/>
  <c r="G115" i="1"/>
  <c r="H115" i="1"/>
  <c r="I115" i="1"/>
  <c r="H127" i="1"/>
  <c r="H129" i="1" s="1"/>
  <c r="I127" i="1"/>
  <c r="I129" i="1" s="1"/>
  <c r="F128" i="1"/>
  <c r="F127" i="1" s="1"/>
  <c r="F129" i="1" s="1"/>
  <c r="G128" i="1"/>
  <c r="G127" i="1" s="1"/>
  <c r="G129" i="1" s="1"/>
  <c r="F132" i="1"/>
  <c r="G132" i="1"/>
  <c r="H132" i="1"/>
  <c r="I132" i="1"/>
  <c r="F142" i="1"/>
  <c r="G142" i="1"/>
  <c r="H142" i="1"/>
  <c r="I142" i="1"/>
  <c r="F147" i="1"/>
  <c r="G147" i="1"/>
  <c r="H147" i="1"/>
  <c r="I147" i="1"/>
  <c r="F150" i="1"/>
  <c r="G150" i="1"/>
  <c r="H150" i="1"/>
  <c r="I150" i="1"/>
  <c r="F161" i="1"/>
  <c r="G161" i="1"/>
  <c r="H161" i="1"/>
  <c r="I161" i="1"/>
  <c r="F164" i="1"/>
  <c r="G164" i="1"/>
  <c r="H164" i="1"/>
  <c r="I164" i="1"/>
  <c r="F167" i="1"/>
  <c r="G167" i="1"/>
  <c r="H167" i="1"/>
  <c r="I167" i="1"/>
  <c r="F178" i="1"/>
  <c r="G178" i="1"/>
  <c r="H178" i="1"/>
  <c r="I178" i="1"/>
  <c r="F181" i="1"/>
  <c r="G181" i="1"/>
  <c r="H181" i="1"/>
  <c r="I181" i="1"/>
  <c r="F184" i="1"/>
  <c r="G184" i="1"/>
  <c r="H184" i="1"/>
  <c r="I184" i="1"/>
  <c r="G195" i="1"/>
  <c r="G198" i="1" s="1"/>
  <c r="H195" i="1"/>
  <c r="I195" i="1"/>
  <c r="F196" i="1"/>
  <c r="F195" i="1" s="1"/>
  <c r="F198" i="1" s="1"/>
  <c r="H198" i="1"/>
  <c r="I198" i="1"/>
  <c r="F201" i="1"/>
  <c r="G201" i="1"/>
  <c r="H201" i="1"/>
  <c r="I201" i="1"/>
  <c r="F211" i="1"/>
  <c r="G211" i="1"/>
  <c r="H211" i="1"/>
  <c r="I211" i="1"/>
  <c r="F214" i="1"/>
  <c r="G214" i="1"/>
  <c r="H214" i="1"/>
  <c r="I214" i="1"/>
  <c r="F218" i="1"/>
  <c r="F217" i="1" s="1"/>
  <c r="G218" i="1"/>
  <c r="G217" i="1" s="1"/>
  <c r="H218" i="1"/>
  <c r="H217" i="1" s="1"/>
  <c r="I218" i="1"/>
  <c r="I217" i="1" s="1"/>
  <c r="F219" i="1"/>
  <c r="G219" i="1"/>
  <c r="H219" i="1"/>
  <c r="I219" i="1"/>
  <c r="F220" i="1"/>
  <c r="G220" i="1"/>
  <c r="H220" i="1"/>
  <c r="I220" i="1"/>
  <c r="F221" i="1"/>
  <c r="G221" i="1"/>
  <c r="H221" i="1"/>
  <c r="I221" i="1"/>
  <c r="F222" i="1"/>
  <c r="G222" i="1"/>
  <c r="H222" i="1"/>
  <c r="I222" i="1"/>
  <c r="F223" i="1"/>
  <c r="G223" i="1"/>
  <c r="H223" i="1"/>
  <c r="I223" i="1"/>
  <c r="F224" i="1"/>
  <c r="G224" i="1"/>
  <c r="H224" i="1"/>
  <c r="I224" i="1"/>
  <c r="F225" i="1"/>
  <c r="G225" i="1"/>
  <c r="H225" i="1"/>
  <c r="I225" i="1"/>
  <c r="F226" i="1"/>
  <c r="G226" i="1"/>
  <c r="H226" i="1"/>
  <c r="I226" i="1"/>
  <c r="F227" i="1"/>
  <c r="G227" i="1"/>
  <c r="H227" i="1"/>
  <c r="I227" i="1"/>
  <c r="F228" i="1"/>
  <c r="G228" i="1"/>
  <c r="H228" i="1"/>
  <c r="I228" i="1"/>
  <c r="F229" i="1"/>
  <c r="G229" i="1"/>
  <c r="H229" i="1"/>
  <c r="I229" i="1"/>
  <c r="G230" i="1"/>
  <c r="H230" i="1"/>
  <c r="I230" i="1"/>
  <c r="F232" i="1"/>
  <c r="F231" i="1" s="1"/>
  <c r="G232" i="1"/>
  <c r="G231" i="1" s="1"/>
  <c r="H232" i="1"/>
  <c r="H231" i="1" s="1"/>
  <c r="H235" i="1" s="1"/>
  <c r="F233" i="1"/>
  <c r="G233" i="1"/>
  <c r="H233" i="1"/>
  <c r="I233" i="1"/>
  <c r="F234" i="1"/>
  <c r="G234" i="1"/>
  <c r="H234" i="1"/>
  <c r="I234" i="1"/>
  <c r="G235" i="1" l="1"/>
  <c r="F235" i="1"/>
  <c r="I22" i="1"/>
  <c r="I27" i="1" s="1"/>
  <c r="E221" i="1"/>
  <c r="E223" i="1"/>
  <c r="E227" i="1"/>
  <c r="E232" i="1"/>
  <c r="E233" i="1"/>
  <c r="E234" i="1"/>
  <c r="J234" i="1"/>
  <c r="C234" i="1"/>
  <c r="J233" i="1"/>
  <c r="C233" i="1"/>
  <c r="J232" i="1"/>
  <c r="C232" i="1"/>
  <c r="J230" i="1"/>
  <c r="E230" i="1"/>
  <c r="C230" i="1"/>
  <c r="J229" i="1"/>
  <c r="C229" i="1"/>
  <c r="J228" i="1"/>
  <c r="C228" i="1"/>
  <c r="J227" i="1"/>
  <c r="C227" i="1"/>
  <c r="J226" i="1"/>
  <c r="C226" i="1"/>
  <c r="J225" i="1"/>
  <c r="C225" i="1"/>
  <c r="J224" i="1"/>
  <c r="E224" i="1"/>
  <c r="C224" i="1"/>
  <c r="J223" i="1"/>
  <c r="C223" i="1"/>
  <c r="J222" i="1"/>
  <c r="C222" i="1"/>
  <c r="J221" i="1"/>
  <c r="C221" i="1"/>
  <c r="J220" i="1"/>
  <c r="C220" i="1"/>
  <c r="J219" i="1"/>
  <c r="E219" i="1"/>
  <c r="C219" i="1"/>
  <c r="J218" i="1"/>
  <c r="C218" i="1"/>
  <c r="E213" i="1"/>
  <c r="M212" i="1"/>
  <c r="E212" i="1"/>
  <c r="K212" i="1" s="1"/>
  <c r="D212" i="1"/>
  <c r="J211" i="1"/>
  <c r="C211" i="1"/>
  <c r="E210" i="1"/>
  <c r="D210" i="1"/>
  <c r="M209" i="1"/>
  <c r="E209" i="1"/>
  <c r="D209" i="1"/>
  <c r="M208" i="1"/>
  <c r="E208" i="1"/>
  <c r="D208" i="1"/>
  <c r="M207" i="1"/>
  <c r="E207" i="1"/>
  <c r="D207" i="1"/>
  <c r="L207" i="1" s="1"/>
  <c r="M206" i="1"/>
  <c r="E206" i="1"/>
  <c r="K206" i="1" s="1"/>
  <c r="D206" i="1"/>
  <c r="L206" i="1" s="1"/>
  <c r="M205" i="1"/>
  <c r="E205" i="1"/>
  <c r="K205" i="1" s="1"/>
  <c r="D205" i="1"/>
  <c r="L205" i="1" s="1"/>
  <c r="M204" i="1"/>
  <c r="E204" i="1"/>
  <c r="D204" i="1"/>
  <c r="L204" i="1" s="1"/>
  <c r="M203" i="1"/>
  <c r="E203" i="1"/>
  <c r="K203" i="1" s="1"/>
  <c r="D203" i="1"/>
  <c r="L203" i="1" s="1"/>
  <c r="M202" i="1"/>
  <c r="E202" i="1"/>
  <c r="K202" i="1" s="1"/>
  <c r="D202" i="1"/>
  <c r="L202" i="1" s="1"/>
  <c r="J201" i="1"/>
  <c r="C201" i="1"/>
  <c r="E197" i="1"/>
  <c r="K197" i="1" s="1"/>
  <c r="D197" i="1"/>
  <c r="L197" i="1" s="1"/>
  <c r="M196" i="1"/>
  <c r="J195" i="1"/>
  <c r="C195" i="1"/>
  <c r="E194" i="1"/>
  <c r="D194" i="1"/>
  <c r="E193" i="1"/>
  <c r="D193" i="1"/>
  <c r="E192" i="1"/>
  <c r="D192" i="1"/>
  <c r="E191" i="1"/>
  <c r="D191" i="1"/>
  <c r="M190" i="1"/>
  <c r="E190" i="1"/>
  <c r="K190" i="1" s="1"/>
  <c r="D190" i="1"/>
  <c r="L190" i="1" s="1"/>
  <c r="M189" i="1"/>
  <c r="E189" i="1"/>
  <c r="K189" i="1" s="1"/>
  <c r="D189" i="1"/>
  <c r="L189" i="1" s="1"/>
  <c r="M188" i="1"/>
  <c r="E188" i="1"/>
  <c r="K188" i="1" s="1"/>
  <c r="D188" i="1"/>
  <c r="L188" i="1" s="1"/>
  <c r="M187" i="1"/>
  <c r="E187" i="1"/>
  <c r="D187" i="1"/>
  <c r="L187" i="1" s="1"/>
  <c r="M186" i="1"/>
  <c r="E186" i="1"/>
  <c r="K186" i="1" s="1"/>
  <c r="D186" i="1"/>
  <c r="L186" i="1" s="1"/>
  <c r="M185" i="1"/>
  <c r="E185" i="1"/>
  <c r="D185" i="1"/>
  <c r="J184" i="1"/>
  <c r="C184" i="1"/>
  <c r="E180" i="1"/>
  <c r="D180" i="1"/>
  <c r="M179" i="1"/>
  <c r="E179" i="1"/>
  <c r="D179" i="1"/>
  <c r="J178" i="1"/>
  <c r="C178" i="1"/>
  <c r="E177" i="1"/>
  <c r="D177" i="1"/>
  <c r="E176" i="1"/>
  <c r="D176" i="1"/>
  <c r="E175" i="1"/>
  <c r="D175" i="1"/>
  <c r="E174" i="1"/>
  <c r="D174" i="1"/>
  <c r="M173" i="1"/>
  <c r="E173" i="1"/>
  <c r="K173" i="1" s="1"/>
  <c r="D173" i="1"/>
  <c r="L173" i="1" s="1"/>
  <c r="M172" i="1"/>
  <c r="E172" i="1"/>
  <c r="D172" i="1"/>
  <c r="L172" i="1" s="1"/>
  <c r="M171" i="1"/>
  <c r="E171" i="1"/>
  <c r="K171" i="1" s="1"/>
  <c r="D171" i="1"/>
  <c r="L171" i="1" s="1"/>
  <c r="E170" i="1"/>
  <c r="D170" i="1"/>
  <c r="M169" i="1"/>
  <c r="E169" i="1"/>
  <c r="K169" i="1" s="1"/>
  <c r="D169" i="1"/>
  <c r="L169" i="1" s="1"/>
  <c r="M168" i="1"/>
  <c r="E168" i="1"/>
  <c r="K168" i="1" s="1"/>
  <c r="D168" i="1"/>
  <c r="J167" i="1"/>
  <c r="C167" i="1"/>
  <c r="E163" i="1"/>
  <c r="D163" i="1"/>
  <c r="M162" i="1"/>
  <c r="E162" i="1"/>
  <c r="D162" i="1"/>
  <c r="L162" i="1" s="1"/>
  <c r="J161" i="1"/>
  <c r="C161" i="1"/>
  <c r="E160" i="1"/>
  <c r="D160" i="1"/>
  <c r="E159" i="1"/>
  <c r="D159" i="1"/>
  <c r="E158" i="1"/>
  <c r="D158" i="1"/>
  <c r="E157" i="1"/>
  <c r="D157" i="1"/>
  <c r="M156" i="1"/>
  <c r="E156" i="1"/>
  <c r="K156" i="1" s="1"/>
  <c r="D156" i="1"/>
  <c r="L156" i="1" s="1"/>
  <c r="M155" i="1"/>
  <c r="E155" i="1"/>
  <c r="K155" i="1" s="1"/>
  <c r="D155" i="1"/>
  <c r="L155" i="1" s="1"/>
  <c r="M154" i="1"/>
  <c r="E154" i="1"/>
  <c r="K154" i="1" s="1"/>
  <c r="D154" i="1"/>
  <c r="L154" i="1" s="1"/>
  <c r="M153" i="1"/>
  <c r="E153" i="1"/>
  <c r="K153" i="1" s="1"/>
  <c r="D153" i="1"/>
  <c r="L153" i="1" s="1"/>
  <c r="M152" i="1"/>
  <c r="E152" i="1"/>
  <c r="K152" i="1" s="1"/>
  <c r="D152" i="1"/>
  <c r="L152" i="1" s="1"/>
  <c r="M151" i="1"/>
  <c r="E151" i="1"/>
  <c r="D151" i="1"/>
  <c r="L151" i="1" s="1"/>
  <c r="J150" i="1"/>
  <c r="C150" i="1"/>
  <c r="E146" i="1"/>
  <c r="K146" i="1" s="1"/>
  <c r="D146" i="1"/>
  <c r="L146" i="1" s="1"/>
  <c r="M145" i="1"/>
  <c r="E145" i="1"/>
  <c r="K145" i="1" s="1"/>
  <c r="D145" i="1"/>
  <c r="L145" i="1" s="1"/>
  <c r="M144" i="1"/>
  <c r="E144" i="1"/>
  <c r="K144" i="1" s="1"/>
  <c r="D144" i="1"/>
  <c r="L144" i="1" s="1"/>
  <c r="M143" i="1"/>
  <c r="E143" i="1"/>
  <c r="K143" i="1" s="1"/>
  <c r="D143" i="1"/>
  <c r="L143" i="1" s="1"/>
  <c r="J142" i="1"/>
  <c r="C142" i="1"/>
  <c r="E141" i="1"/>
  <c r="D141" i="1"/>
  <c r="E140" i="1"/>
  <c r="D140" i="1"/>
  <c r="E139" i="1"/>
  <c r="K139" i="1" s="1"/>
  <c r="D139" i="1"/>
  <c r="L139" i="1" s="1"/>
  <c r="E138" i="1"/>
  <c r="D138" i="1"/>
  <c r="M137" i="1"/>
  <c r="E137" i="1"/>
  <c r="K137" i="1" s="1"/>
  <c r="D137" i="1"/>
  <c r="L137" i="1" s="1"/>
  <c r="M136" i="1"/>
  <c r="E136" i="1"/>
  <c r="K136" i="1" s="1"/>
  <c r="D136" i="1"/>
  <c r="L136" i="1" s="1"/>
  <c r="M135" i="1"/>
  <c r="E135" i="1"/>
  <c r="K135" i="1" s="1"/>
  <c r="D135" i="1"/>
  <c r="L135" i="1" s="1"/>
  <c r="M134" i="1"/>
  <c r="E134" i="1"/>
  <c r="K134" i="1" s="1"/>
  <c r="D134" i="1"/>
  <c r="L134" i="1" s="1"/>
  <c r="M133" i="1"/>
  <c r="E133" i="1"/>
  <c r="D133" i="1"/>
  <c r="L133" i="1" s="1"/>
  <c r="J132" i="1"/>
  <c r="C132" i="1"/>
  <c r="M128" i="1"/>
  <c r="E128" i="1"/>
  <c r="J127" i="1"/>
  <c r="C127" i="1"/>
  <c r="E126" i="1"/>
  <c r="D126" i="1"/>
  <c r="M125" i="1"/>
  <c r="E125" i="1"/>
  <c r="K125" i="1" s="1"/>
  <c r="D125" i="1"/>
  <c r="L125" i="1" s="1"/>
  <c r="E124" i="1"/>
  <c r="D124" i="1"/>
  <c r="E123" i="1"/>
  <c r="D123" i="1"/>
  <c r="M122" i="1"/>
  <c r="E122" i="1"/>
  <c r="K122" i="1" s="1"/>
  <c r="D122" i="1"/>
  <c r="L122" i="1" s="1"/>
  <c r="M121" i="1"/>
  <c r="E121" i="1"/>
  <c r="K121" i="1" s="1"/>
  <c r="D121" i="1"/>
  <c r="L121" i="1" s="1"/>
  <c r="M120" i="1"/>
  <c r="E120" i="1"/>
  <c r="K120" i="1" s="1"/>
  <c r="D120" i="1"/>
  <c r="L120" i="1" s="1"/>
  <c r="M119" i="1"/>
  <c r="E119" i="1"/>
  <c r="K119" i="1" s="1"/>
  <c r="D119" i="1"/>
  <c r="L119" i="1" s="1"/>
  <c r="M118" i="1"/>
  <c r="E118" i="1"/>
  <c r="K118" i="1" s="1"/>
  <c r="D118" i="1"/>
  <c r="L118" i="1" s="1"/>
  <c r="M117" i="1"/>
  <c r="E117" i="1"/>
  <c r="K117" i="1" s="1"/>
  <c r="D117" i="1"/>
  <c r="L117" i="1" s="1"/>
  <c r="M116" i="1"/>
  <c r="E116" i="1"/>
  <c r="D116" i="1"/>
  <c r="J115" i="1"/>
  <c r="C115" i="1"/>
  <c r="M111" i="1"/>
  <c r="E111" i="1"/>
  <c r="D111" i="1"/>
  <c r="M110" i="1"/>
  <c r="J109" i="1"/>
  <c r="C109" i="1"/>
  <c r="E108" i="1"/>
  <c r="D108" i="1"/>
  <c r="E107" i="1"/>
  <c r="D107" i="1"/>
  <c r="E106" i="1"/>
  <c r="D106" i="1"/>
  <c r="M105" i="1"/>
  <c r="E105" i="1"/>
  <c r="K105" i="1" s="1"/>
  <c r="D105" i="1"/>
  <c r="L105" i="1" s="1"/>
  <c r="M104" i="1"/>
  <c r="E104" i="1"/>
  <c r="K104" i="1" s="1"/>
  <c r="D104" i="1"/>
  <c r="L104" i="1" s="1"/>
  <c r="M103" i="1"/>
  <c r="E103" i="1"/>
  <c r="K103" i="1" s="1"/>
  <c r="D103" i="1"/>
  <c r="M102" i="1"/>
  <c r="E102" i="1"/>
  <c r="K102" i="1" s="1"/>
  <c r="D102" i="1"/>
  <c r="L102" i="1" s="1"/>
  <c r="M101" i="1"/>
  <c r="E101" i="1"/>
  <c r="K101" i="1" s="1"/>
  <c r="D101" i="1"/>
  <c r="L101" i="1" s="1"/>
  <c r="M100" i="1"/>
  <c r="E100" i="1"/>
  <c r="D100" i="1"/>
  <c r="L100" i="1" s="1"/>
  <c r="J99" i="1"/>
  <c r="C99" i="1"/>
  <c r="E95" i="1"/>
  <c r="K95" i="1" s="1"/>
  <c r="D95" i="1"/>
  <c r="L95" i="1" s="1"/>
  <c r="M94" i="1"/>
  <c r="E94" i="1"/>
  <c r="D94" i="1"/>
  <c r="J93" i="1"/>
  <c r="C93" i="1"/>
  <c r="M92" i="1"/>
  <c r="L92" i="1"/>
  <c r="E92" i="1"/>
  <c r="K92" i="1" s="1"/>
  <c r="E91" i="1"/>
  <c r="D91" i="1"/>
  <c r="E90" i="1"/>
  <c r="D90" i="1"/>
  <c r="M89" i="1"/>
  <c r="E89" i="1"/>
  <c r="K89" i="1" s="1"/>
  <c r="D89" i="1"/>
  <c r="L89" i="1" s="1"/>
  <c r="E88" i="1"/>
  <c r="D88" i="1"/>
  <c r="M87" i="1"/>
  <c r="E87" i="1"/>
  <c r="K87" i="1" s="1"/>
  <c r="D87" i="1"/>
  <c r="L87" i="1" s="1"/>
  <c r="M86" i="1"/>
  <c r="E86" i="1"/>
  <c r="K86" i="1" s="1"/>
  <c r="D86" i="1"/>
  <c r="L86" i="1" s="1"/>
  <c r="M85" i="1"/>
  <c r="E85" i="1"/>
  <c r="K85" i="1" s="1"/>
  <c r="D85" i="1"/>
  <c r="L85" i="1" s="1"/>
  <c r="M84" i="1"/>
  <c r="E84" i="1"/>
  <c r="K84" i="1" s="1"/>
  <c r="D84" i="1"/>
  <c r="L84" i="1" s="1"/>
  <c r="M83" i="1"/>
  <c r="E83" i="1"/>
  <c r="K83" i="1" s="1"/>
  <c r="D83" i="1"/>
  <c r="L83" i="1" s="1"/>
  <c r="M82" i="1"/>
  <c r="E82" i="1"/>
  <c r="D82" i="1"/>
  <c r="L82" i="1" s="1"/>
  <c r="J81" i="1"/>
  <c r="C81" i="1"/>
  <c r="E77" i="1"/>
  <c r="D77" i="1"/>
  <c r="M76" i="1"/>
  <c r="D76" i="1"/>
  <c r="L76" i="1" s="1"/>
  <c r="J75" i="1"/>
  <c r="C75" i="1"/>
  <c r="E74" i="1"/>
  <c r="D74" i="1"/>
  <c r="E73" i="1"/>
  <c r="D73" i="1"/>
  <c r="M72" i="1"/>
  <c r="E72" i="1"/>
  <c r="K72" i="1" s="1"/>
  <c r="D72" i="1"/>
  <c r="L72" i="1" s="1"/>
  <c r="E71" i="1"/>
  <c r="D71" i="1"/>
  <c r="M70" i="1"/>
  <c r="E70" i="1"/>
  <c r="K70" i="1" s="1"/>
  <c r="D70" i="1"/>
  <c r="L70" i="1" s="1"/>
  <c r="M69" i="1"/>
  <c r="E69" i="1"/>
  <c r="K69" i="1" s="1"/>
  <c r="D69" i="1"/>
  <c r="L69" i="1" s="1"/>
  <c r="M68" i="1"/>
  <c r="E68" i="1"/>
  <c r="K68" i="1" s="1"/>
  <c r="D68" i="1"/>
  <c r="L68" i="1" s="1"/>
  <c r="M67" i="1"/>
  <c r="E67" i="1"/>
  <c r="K67" i="1" s="1"/>
  <c r="D67" i="1"/>
  <c r="L67" i="1" s="1"/>
  <c r="M66" i="1"/>
  <c r="E66" i="1"/>
  <c r="K66" i="1" s="1"/>
  <c r="D66" i="1"/>
  <c r="L66" i="1" s="1"/>
  <c r="M65" i="1"/>
  <c r="E65" i="1"/>
  <c r="D65" i="1"/>
  <c r="L65" i="1" s="1"/>
  <c r="J64" i="1"/>
  <c r="C64" i="1"/>
  <c r="M60" i="1"/>
  <c r="E60" i="1"/>
  <c r="D60" i="1"/>
  <c r="E59" i="1"/>
  <c r="K59" i="1" s="1"/>
  <c r="D59" i="1"/>
  <c r="L59" i="1" s="1"/>
  <c r="M58" i="1"/>
  <c r="E58" i="1"/>
  <c r="D58" i="1"/>
  <c r="J57" i="1"/>
  <c r="C57" i="1"/>
  <c r="E56" i="1"/>
  <c r="D56" i="1"/>
  <c r="E55" i="1"/>
  <c r="D55" i="1"/>
  <c r="M54" i="1"/>
  <c r="E54" i="1"/>
  <c r="K54" i="1" s="1"/>
  <c r="D54" i="1"/>
  <c r="L54" i="1" s="1"/>
  <c r="E53" i="1"/>
  <c r="M52" i="1"/>
  <c r="E52" i="1"/>
  <c r="K52" i="1" s="1"/>
  <c r="D52" i="1"/>
  <c r="L52" i="1" s="1"/>
  <c r="M51" i="1"/>
  <c r="E51" i="1"/>
  <c r="K51" i="1" s="1"/>
  <c r="D51" i="1"/>
  <c r="L51" i="1" s="1"/>
  <c r="M50" i="1"/>
  <c r="E50" i="1"/>
  <c r="K50" i="1" s="1"/>
  <c r="D50" i="1"/>
  <c r="L50" i="1" s="1"/>
  <c r="M49" i="1"/>
  <c r="E49" i="1"/>
  <c r="D49" i="1"/>
  <c r="L49" i="1" s="1"/>
  <c r="M48" i="1"/>
  <c r="E48" i="1"/>
  <c r="K48" i="1" s="1"/>
  <c r="D48" i="1"/>
  <c r="L48" i="1" s="1"/>
  <c r="M47" i="1"/>
  <c r="E47" i="1"/>
  <c r="D47" i="1"/>
  <c r="L47" i="1" s="1"/>
  <c r="J46" i="1"/>
  <c r="C46" i="1"/>
  <c r="E42" i="1"/>
  <c r="K42" i="1" s="1"/>
  <c r="D42" i="1"/>
  <c r="L42" i="1" s="1"/>
  <c r="M41" i="1"/>
  <c r="E41" i="1"/>
  <c r="K41" i="1" s="1"/>
  <c r="J40" i="1"/>
  <c r="C40" i="1"/>
  <c r="E39" i="1"/>
  <c r="E38" i="1"/>
  <c r="M37" i="1"/>
  <c r="E37" i="1"/>
  <c r="K37" i="1" s="1"/>
  <c r="D37" i="1"/>
  <c r="L37" i="1" s="1"/>
  <c r="E36" i="1"/>
  <c r="D36" i="1"/>
  <c r="M35" i="1"/>
  <c r="E35" i="1"/>
  <c r="K35" i="1" s="1"/>
  <c r="D35" i="1"/>
  <c r="L35" i="1" s="1"/>
  <c r="M34" i="1"/>
  <c r="E34" i="1"/>
  <c r="K34" i="1" s="1"/>
  <c r="D34" i="1"/>
  <c r="L34" i="1" s="1"/>
  <c r="M33" i="1"/>
  <c r="E33" i="1"/>
  <c r="K33" i="1" s="1"/>
  <c r="D33" i="1"/>
  <c r="L33" i="1" s="1"/>
  <c r="M32" i="1"/>
  <c r="E32" i="1"/>
  <c r="K32" i="1" s="1"/>
  <c r="D32" i="1"/>
  <c r="L32" i="1" s="1"/>
  <c r="M31" i="1"/>
  <c r="E31" i="1"/>
  <c r="D31" i="1"/>
  <c r="L31" i="1" s="1"/>
  <c r="J30" i="1"/>
  <c r="C30" i="1"/>
  <c r="E26" i="1"/>
  <c r="K26" i="1" s="1"/>
  <c r="D26" i="1"/>
  <c r="L26" i="1" s="1"/>
  <c r="E25" i="1"/>
  <c r="K25" i="1" s="1"/>
  <c r="D25" i="1"/>
  <c r="L25" i="1" s="1"/>
  <c r="E24" i="1"/>
  <c r="D24" i="1"/>
  <c r="L24" i="1" s="1"/>
  <c r="M23" i="1"/>
  <c r="E23" i="1"/>
  <c r="K23" i="1" s="1"/>
  <c r="D23" i="1"/>
  <c r="L23" i="1" s="1"/>
  <c r="J22" i="1"/>
  <c r="C22" i="1"/>
  <c r="E21" i="1"/>
  <c r="D21" i="1"/>
  <c r="E20" i="1"/>
  <c r="K20" i="1" s="1"/>
  <c r="D20" i="1"/>
  <c r="L20" i="1" s="1"/>
  <c r="M19" i="1"/>
  <c r="E19" i="1"/>
  <c r="K19" i="1" s="1"/>
  <c r="D19" i="1"/>
  <c r="L19" i="1" s="1"/>
  <c r="M18" i="1"/>
  <c r="E18" i="1"/>
  <c r="K18" i="1" s="1"/>
  <c r="D18" i="1"/>
  <c r="L18" i="1" s="1"/>
  <c r="M17" i="1"/>
  <c r="E17" i="1"/>
  <c r="K17" i="1" s="1"/>
  <c r="D17" i="1"/>
  <c r="L17" i="1" s="1"/>
  <c r="M16" i="1"/>
  <c r="E16" i="1"/>
  <c r="K16" i="1" s="1"/>
  <c r="D16" i="1"/>
  <c r="L16" i="1" s="1"/>
  <c r="M15" i="1"/>
  <c r="E15" i="1"/>
  <c r="K15" i="1" s="1"/>
  <c r="D15" i="1"/>
  <c r="L15" i="1" s="1"/>
  <c r="M14" i="1"/>
  <c r="E14" i="1"/>
  <c r="D14" i="1"/>
  <c r="M13" i="1"/>
  <c r="E13" i="1"/>
  <c r="K13" i="1" s="1"/>
  <c r="D13" i="1"/>
  <c r="L13" i="1" s="1"/>
  <c r="M12" i="1"/>
  <c r="E12" i="1"/>
  <c r="D12" i="1"/>
  <c r="L12" i="1" s="1"/>
  <c r="M11" i="1"/>
  <c r="E11" i="1"/>
  <c r="K11" i="1" s="1"/>
  <c r="D11" i="1"/>
  <c r="L11" i="1" s="1"/>
  <c r="M10" i="1"/>
  <c r="E10" i="1"/>
  <c r="K10" i="1" s="1"/>
  <c r="D10" i="1"/>
  <c r="L10" i="1" s="1"/>
  <c r="M9" i="1"/>
  <c r="E9" i="1"/>
  <c r="K9" i="1" s="1"/>
  <c r="D9" i="1"/>
  <c r="J8" i="1"/>
  <c r="C8" i="1"/>
  <c r="M221" i="1" l="1"/>
  <c r="M227" i="1"/>
  <c r="D161" i="1"/>
  <c r="D41" i="1"/>
  <c r="L41" i="1" s="1"/>
  <c r="M64" i="1"/>
  <c r="D128" i="1"/>
  <c r="L128" i="1" s="1"/>
  <c r="E142" i="1"/>
  <c r="M161" i="1"/>
  <c r="C129" i="1"/>
  <c r="M22" i="1"/>
  <c r="C61" i="1"/>
  <c r="J129" i="1"/>
  <c r="M150" i="1"/>
  <c r="E218" i="1"/>
  <c r="D233" i="1"/>
  <c r="L233" i="1" s="1"/>
  <c r="D230" i="1"/>
  <c r="D227" i="1"/>
  <c r="L227" i="1" s="1"/>
  <c r="D225" i="1"/>
  <c r="D224" i="1"/>
  <c r="L224" i="1" s="1"/>
  <c r="D22" i="1"/>
  <c r="E30" i="1"/>
  <c r="K30" i="1" s="1"/>
  <c r="M225" i="1"/>
  <c r="C231" i="1"/>
  <c r="M167" i="1"/>
  <c r="D218" i="1"/>
  <c r="K232" i="1"/>
  <c r="D234" i="1"/>
  <c r="L234" i="1" s="1"/>
  <c r="D150" i="1"/>
  <c r="D164" i="1" s="1"/>
  <c r="C27" i="1"/>
  <c r="M27" i="1" s="1"/>
  <c r="M57" i="1"/>
  <c r="C198" i="1"/>
  <c r="M219" i="1"/>
  <c r="K12" i="1"/>
  <c r="E8" i="1"/>
  <c r="K8" i="1" s="1"/>
  <c r="C43" i="1"/>
  <c r="M30" i="1"/>
  <c r="L58" i="1"/>
  <c r="D57" i="1"/>
  <c r="L57" i="1" s="1"/>
  <c r="D93" i="1"/>
  <c r="L93" i="1" s="1"/>
  <c r="L94" i="1"/>
  <c r="D30" i="1"/>
  <c r="L30" i="1" s="1"/>
  <c r="C78" i="1"/>
  <c r="M75" i="1"/>
  <c r="K207" i="1"/>
  <c r="E201" i="1"/>
  <c r="K201" i="1" s="1"/>
  <c r="K24" i="1"/>
  <c r="E22" i="1"/>
  <c r="K22" i="1" s="1"/>
  <c r="M218" i="1"/>
  <c r="C217" i="1"/>
  <c r="C235" i="1" s="1"/>
  <c r="M224" i="1"/>
  <c r="J27" i="1"/>
  <c r="D64" i="1"/>
  <c r="L64" i="1" s="1"/>
  <c r="E81" i="1"/>
  <c r="K81" i="1" s="1"/>
  <c r="M142" i="1"/>
  <c r="C147" i="1"/>
  <c r="L212" i="1"/>
  <c r="D211" i="1"/>
  <c r="L211" i="1" s="1"/>
  <c r="E93" i="1"/>
  <c r="D46" i="1"/>
  <c r="L46" i="1" s="1"/>
  <c r="E132" i="1"/>
  <c r="K132" i="1" s="1"/>
  <c r="E167" i="1"/>
  <c r="K167" i="1" s="1"/>
  <c r="C181" i="1"/>
  <c r="E211" i="1"/>
  <c r="K227" i="1"/>
  <c r="E150" i="1"/>
  <c r="K150" i="1" s="1"/>
  <c r="C164" i="1"/>
  <c r="M201" i="1"/>
  <c r="L22" i="1"/>
  <c r="K82" i="1"/>
  <c r="D110" i="1"/>
  <c r="E110" i="1"/>
  <c r="D127" i="1"/>
  <c r="L127" i="1" s="1"/>
  <c r="K172" i="1"/>
  <c r="D196" i="1"/>
  <c r="E196" i="1"/>
  <c r="M223" i="1"/>
  <c r="E228" i="1"/>
  <c r="K228" i="1" s="1"/>
  <c r="D228" i="1"/>
  <c r="L228" i="1" s="1"/>
  <c r="J43" i="1"/>
  <c r="M184" i="1"/>
  <c r="C214" i="1"/>
  <c r="M211" i="1"/>
  <c r="E226" i="1"/>
  <c r="K226" i="1" s="1"/>
  <c r="D226" i="1"/>
  <c r="L226" i="1" s="1"/>
  <c r="M226" i="1"/>
  <c r="M228" i="1"/>
  <c r="M40" i="1"/>
  <c r="C96" i="1"/>
  <c r="K94" i="1"/>
  <c r="L103" i="1"/>
  <c r="D99" i="1"/>
  <c r="L99" i="1" s="1"/>
  <c r="D115" i="1"/>
  <c r="L115" i="1" s="1"/>
  <c r="L116" i="1"/>
  <c r="K151" i="1"/>
  <c r="L185" i="1"/>
  <c r="D184" i="1"/>
  <c r="L184" i="1" s="1"/>
  <c r="L218" i="1"/>
  <c r="D8" i="1"/>
  <c r="L9" i="1"/>
  <c r="E115" i="1"/>
  <c r="K115" i="1" s="1"/>
  <c r="K128" i="1"/>
  <c r="E127" i="1"/>
  <c r="D132" i="1"/>
  <c r="L132" i="1" s="1"/>
  <c r="K133" i="1"/>
  <c r="D142" i="1"/>
  <c r="E220" i="1"/>
  <c r="K220" i="1" s="1"/>
  <c r="D222" i="1"/>
  <c r="L222" i="1" s="1"/>
  <c r="E222" i="1"/>
  <c r="K222" i="1" s="1"/>
  <c r="M222" i="1"/>
  <c r="E229" i="1"/>
  <c r="D229" i="1"/>
  <c r="E46" i="1"/>
  <c r="K46" i="1" s="1"/>
  <c r="K47" i="1"/>
  <c r="J61" i="1"/>
  <c r="K100" i="1"/>
  <c r="E99" i="1"/>
  <c r="K99" i="1" s="1"/>
  <c r="K116" i="1"/>
  <c r="J147" i="1"/>
  <c r="E184" i="1"/>
  <c r="K184" i="1" s="1"/>
  <c r="K185" i="1"/>
  <c r="K221" i="1"/>
  <c r="K234" i="1"/>
  <c r="K31" i="1"/>
  <c r="E57" i="1"/>
  <c r="K58" i="1"/>
  <c r="E64" i="1"/>
  <c r="K64" i="1" s="1"/>
  <c r="K65" i="1"/>
  <c r="D75" i="1"/>
  <c r="E76" i="1"/>
  <c r="J78" i="1"/>
  <c r="M81" i="1"/>
  <c r="M93" i="1"/>
  <c r="J96" i="1"/>
  <c r="M109" i="1"/>
  <c r="M127" i="1"/>
  <c r="M132" i="1"/>
  <c r="K142" i="1"/>
  <c r="L161" i="1"/>
  <c r="J164" i="1"/>
  <c r="J181" i="1"/>
  <c r="M178" i="1"/>
  <c r="D178" i="1"/>
  <c r="L179" i="1"/>
  <c r="D221" i="1"/>
  <c r="L221" i="1" s="1"/>
  <c r="E231" i="1"/>
  <c r="K233" i="1"/>
  <c r="M8" i="1"/>
  <c r="E40" i="1"/>
  <c r="M46" i="1"/>
  <c r="D81" i="1"/>
  <c r="L81" i="1" s="1"/>
  <c r="M99" i="1"/>
  <c r="C112" i="1"/>
  <c r="J112" i="1"/>
  <c r="M115" i="1"/>
  <c r="E161" i="1"/>
  <c r="K162" i="1"/>
  <c r="D167" i="1"/>
  <c r="L167" i="1" s="1"/>
  <c r="L168" i="1"/>
  <c r="E178" i="1"/>
  <c r="K179" i="1"/>
  <c r="J198" i="1"/>
  <c r="M195" i="1"/>
  <c r="D201" i="1"/>
  <c r="L201" i="1" s="1"/>
  <c r="K211" i="1"/>
  <c r="J214" i="1"/>
  <c r="D220" i="1"/>
  <c r="L220" i="1" s="1"/>
  <c r="M220" i="1"/>
  <c r="J217" i="1"/>
  <c r="D223" i="1"/>
  <c r="K224" i="1"/>
  <c r="M232" i="1"/>
  <c r="J231" i="1"/>
  <c r="K218" i="1"/>
  <c r="D219" i="1"/>
  <c r="L219" i="1" s="1"/>
  <c r="K219" i="1"/>
  <c r="E225" i="1"/>
  <c r="K225" i="1" s="1"/>
  <c r="L225" i="1"/>
  <c r="L150" i="1" l="1"/>
  <c r="E147" i="1"/>
  <c r="M129" i="1"/>
  <c r="E27" i="1"/>
  <c r="K27" i="1" s="1"/>
  <c r="D96" i="1"/>
  <c r="L96" i="1" s="1"/>
  <c r="E61" i="1"/>
  <c r="K61" i="1" s="1"/>
  <c r="D40" i="1"/>
  <c r="L40" i="1" s="1"/>
  <c r="E217" i="1"/>
  <c r="K217" i="1" s="1"/>
  <c r="D27" i="1"/>
  <c r="L27" i="1" s="1"/>
  <c r="E164" i="1"/>
  <c r="K164" i="1" s="1"/>
  <c r="E43" i="1"/>
  <c r="K43" i="1" s="1"/>
  <c r="K40" i="1"/>
  <c r="E214" i="1"/>
  <c r="K214" i="1" s="1"/>
  <c r="E96" i="1"/>
  <c r="K96" i="1" s="1"/>
  <c r="D61" i="1"/>
  <c r="L61" i="1" s="1"/>
  <c r="K93" i="1"/>
  <c r="E181" i="1"/>
  <c r="K181" i="1" s="1"/>
  <c r="L8" i="1"/>
  <c r="M198" i="1"/>
  <c r="L164" i="1"/>
  <c r="M164" i="1"/>
  <c r="E75" i="1"/>
  <c r="K76" i="1"/>
  <c r="E129" i="1"/>
  <c r="K129" i="1" s="1"/>
  <c r="K127" i="1"/>
  <c r="D195" i="1"/>
  <c r="L196" i="1"/>
  <c r="D129" i="1"/>
  <c r="L129" i="1" s="1"/>
  <c r="M217" i="1"/>
  <c r="D181" i="1"/>
  <c r="L181" i="1" s="1"/>
  <c r="L178" i="1"/>
  <c r="M181" i="1"/>
  <c r="L75" i="1"/>
  <c r="D78" i="1"/>
  <c r="L78" i="1" s="1"/>
  <c r="D214" i="1"/>
  <c r="L142" i="1"/>
  <c r="D147" i="1"/>
  <c r="L147" i="1" s="1"/>
  <c r="M214" i="1"/>
  <c r="L214" i="1"/>
  <c r="K57" i="1"/>
  <c r="K178" i="1"/>
  <c r="M78" i="1"/>
  <c r="D217" i="1"/>
  <c r="L217" i="1" s="1"/>
  <c r="E109" i="1"/>
  <c r="K110" i="1"/>
  <c r="K231" i="1"/>
  <c r="M231" i="1"/>
  <c r="J235" i="1"/>
  <c r="D232" i="1"/>
  <c r="M112" i="1"/>
  <c r="K161" i="1"/>
  <c r="M96" i="1"/>
  <c r="M147" i="1"/>
  <c r="K147" i="1"/>
  <c r="M61" i="1"/>
  <c r="M43" i="1"/>
  <c r="E195" i="1"/>
  <c r="K196" i="1"/>
  <c r="L110" i="1"/>
  <c r="D109" i="1"/>
  <c r="E235" i="1" l="1"/>
  <c r="K235" i="1" s="1"/>
  <c r="D43" i="1"/>
  <c r="L43" i="1" s="1"/>
  <c r="D112" i="1"/>
  <c r="L112" i="1" s="1"/>
  <c r="L109" i="1"/>
  <c r="M235" i="1"/>
  <c r="D198" i="1"/>
  <c r="L198" i="1" s="1"/>
  <c r="L195" i="1"/>
  <c r="E78" i="1"/>
  <c r="K78" i="1" s="1"/>
  <c r="K75" i="1"/>
  <c r="L232" i="1"/>
  <c r="D231" i="1"/>
  <c r="E198" i="1"/>
  <c r="K198" i="1" s="1"/>
  <c r="K195" i="1"/>
  <c r="E112" i="1"/>
  <c r="K112" i="1" s="1"/>
  <c r="K109" i="1"/>
  <c r="D235" i="1" l="1"/>
  <c r="L235" i="1" s="1"/>
  <c r="L231" i="1"/>
</calcChain>
</file>

<file path=xl/sharedStrings.xml><?xml version="1.0" encoding="utf-8"?>
<sst xmlns="http://schemas.openxmlformats.org/spreadsheetml/2006/main" count="679" uniqueCount="260">
  <si>
    <t>Отчет об исполнении консолидированного бюджета Октябрьского района по состоянию на 01.06.2020</t>
  </si>
  <si>
    <t>(тыс.руб.)</t>
  </si>
  <si>
    <t xml:space="preserve"> </t>
  </si>
  <si>
    <t>Первонач. план на 2020 год</t>
  </si>
  <si>
    <t>Уточн. план на 2020 год</t>
  </si>
  <si>
    <t>План                 на 1 полугодие 2020 года</t>
  </si>
  <si>
    <t>1 квартал</t>
  </si>
  <si>
    <t>2 квартал</t>
  </si>
  <si>
    <t>3 квартал</t>
  </si>
  <si>
    <t>4 квартал</t>
  </si>
  <si>
    <t>Исполнение на 01.06.2020</t>
  </si>
  <si>
    <t xml:space="preserve">% исп-ия к плану за 1 полугодие 2020 года </t>
  </si>
  <si>
    <t xml:space="preserve">% исп-ия к уточн. плану на 2020 год </t>
  </si>
  <si>
    <t xml:space="preserve">% исп-ия к первонач. плану на 2020 год </t>
  </si>
  <si>
    <t>КБК</t>
  </si>
  <si>
    <t>Наименование дохода</t>
  </si>
  <si>
    <t>Октябрьский район</t>
  </si>
  <si>
    <t>00010000000000000000</t>
  </si>
  <si>
    <t>НАЛОГОВЫЕ И НЕНАЛОГОВЫЕ ДОХОДЫ</t>
  </si>
  <si>
    <t>00010100000000000000</t>
  </si>
  <si>
    <t xml:space="preserve">Налоги на прибыль, доходы </t>
  </si>
  <si>
    <t>00010302000010000110</t>
  </si>
  <si>
    <t>Акцизы по подакцизным товарам (продукции), производимым на территории Российской Федерации</t>
  </si>
  <si>
    <t>00010500000000000000</t>
  </si>
  <si>
    <t>Налоги на совокупный доход</t>
  </si>
  <si>
    <t>00010600000000000000</t>
  </si>
  <si>
    <t>Налоги  на 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</si>
  <si>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</si>
  <si>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</si>
  <si>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</si>
  <si>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</si>
  <si>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</si>
  <si>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 , находящегося  в государственной и муниципальной собственности</t>
  </si>
  <si>
    <t>00011200000000000000</t>
  </si>
  <si>
    <t>Платежи при пользовании  природными 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</si>
  <si>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</si>
  <si>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</si>
  <si>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</si>
  <si>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</si>
  <si>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00011500000000000000</t>
  </si>
  <si>
    <t>Административные платежи и сборы</t>
  </si>
  <si>
    <t>00011600000000000000</t>
  </si>
  <si>
    <t>Штрафы, санкции, возмещение  ущерба</t>
  </si>
  <si>
    <t>00011700000000000000</t>
  </si>
  <si>
    <t>Прочие неналоговые доходы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</si>
  <si>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</si>
  <si>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</si>
  <si>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</si>
  <si>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</si>
  <si>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00020700000000000000</t>
  </si>
  <si>
    <t>Прочие безвозмездные поступления</t>
  </si>
  <si>
    <t>00021800000000000000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</si>
  <si>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</si>
  <si>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</si>
  <si>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</si>
  <si>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</si>
  <si>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</si>
  <si>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</si>
  <si>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</si>
  <si>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</si>
  <si>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00011900000000000000</t>
  </si>
  <si>
    <t>Возврат остатков субсидий и субвенций прошлых лет</t>
  </si>
  <si>
    <t>сельское поселение Каменное</t>
  </si>
  <si>
    <t>00020700000000000180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</si>
  <si>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</si>
  <si>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</si>
  <si>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</si>
  <si>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</si>
  <si>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</si>
  <si>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</si>
  <si>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</si>
  <si>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Отчет  об  исполнении  консолидированного  бюджета  района  по  расходам на 1 июня 2020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</si>
  <si>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</si>
  <si>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</si>
  <si>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</si>
  <si>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</si>
  <si>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</si>
  <si>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</si>
  <si>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01.06.2020</t>
  </si>
  <si>
    <t>% исполнения</t>
  </si>
  <si>
    <t>исполнения на 01.06.2020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</si>
  <si>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</si>
  <si>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</si>
  <si>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</si>
  <si>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</si>
  <si>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</si>
  <si>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</si>
  <si>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</si>
  <si>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</si>
  <si>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</si>
  <si>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</si>
  <si>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</si>
  <si>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</si>
  <si>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</si>
  <si>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</si>
  <si>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</si>
  <si>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</si>
  <si>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</si>
  <si>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</si>
  <si>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</si>
  <si>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</si>
  <si>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</si>
  <si>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</si>
  <si>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</si>
  <si>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</si>
  <si>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</si>
  <si>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</si>
  <si>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</si>
  <si>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</si>
  <si>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</si>
  <si>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</si>
  <si>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</si>
  <si>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</si>
  <si>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</si>
  <si>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</si>
  <si>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</si>
  <si>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</si>
  <si>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</si>
  <si>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</si>
  <si>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</si>
  <si>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</si>
  <si>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</si>
  <si>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</si>
  <si>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</si>
  <si>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</si>
  <si>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(1110199990, 1150182730, 11501S2730)  (дорожный фонд)</t>
  </si>
  <si>
    <t>Основное мероприятие "Внедрение автоматизированных и роботизированных технологий организации дорожного движения и контроля за собдюдением правил дорожного движения". (1150199999)</t>
  </si>
  <si>
    <t>Основное мероприятие "Реализация мероприятий в рамках дорожной деятельности" (011019999)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</si>
  <si>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(150029990)</t>
  </si>
  <si>
    <t>Основное мероприятие "Реализация мероприятий в рамках дорожной деятельности" (2200299990)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</si>
  <si>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</si>
  <si>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</si>
  <si>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</si>
  <si>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</si>
  <si>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</si>
  <si>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района" земля (1800299990)</t>
  </si>
  <si>
    <t>Расходы на стимулирование развития жилищного строительства (0910282671, 09102S2671)</t>
  </si>
  <si>
    <t>Реализация мероприятий муниципальной программы "Поддержка малого и среднего предпринимательства в Октябрьском районе" (0800299990, 0810199990, 080I8S2380) местный бюджет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</si>
  <si>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районе" (082I482380, 081I882380, 082I4S2380) окружной бюджет</t>
  </si>
  <si>
    <t>Осуществление полномочий по государственному управлению охраной труда (1910184120) тс. 01.30.39</t>
  </si>
  <si>
    <t xml:space="preserve">Реализация мероприятий муниципальной программы "Финансовая поддержка субъектов малого и среднего предпринимательства в Октябрьском районе" (0820199990) </t>
  </si>
  <si>
    <t xml:space="preserve">Реализация мероприятий муниципальной программы "Расходы на поддержку  малого и среднего предпринимательства в Октябрьском районе" (081I8S2380, 0820182380) </t>
  </si>
  <si>
    <t>Осуществление полномочий по государственному управлению охраной труда (1910199990) местный бюджет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</si>
  <si>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</si>
  <si>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</si>
  <si>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</si>
  <si>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</si>
  <si>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0910342110, 09101S2661, 091F382661, 091F3S2661, 0910199990 ) 01.40.04, 01.02.00, 01.00.00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</si>
  <si>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</si>
  <si>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</si>
  <si>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</si>
  <si>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"Реализация мероприятий обеспечения качественными коммунальными услугами" (1010199990)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</si>
  <si>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</si>
  <si>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</si>
  <si>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</si>
  <si>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"Повышение эффективности, качества и надежности поставки коммунальных ресурсов (024019990)</t>
  </si>
  <si>
    <t>Капитальный ремонт жилого фонда 1030142120 (40600S2420,  40600S2430, 4060099990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</si>
  <si>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</si>
  <si>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на теплоснабжение, водоснабжение, водоотведение, услуги бани) (1020161100 т.с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</si>
  <si>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01.04)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</si>
  <si>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</si>
  <si>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</si>
  <si>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 "Жилищно-коммунальный комплекс и городская среда в муниципальном образовании Октябрьский район" 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</si>
  <si>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"Жилищно-коммунальный комплекс и городская среда в муниципальном образовании Октябрьский район" ОЗП (1010182591, 10101S2591,10101S2190, 1010182190, 1010199990)</t>
  </si>
  <si>
    <t>Основное мероприятие "Реализация мероприятий обеспечения качественными коммунальными услугами". Расходы на реализацию полномочий в сфере ЖКХ (1010182591, 10101S2591)</t>
  </si>
  <si>
    <t>Повышение эффективности, качества и надежности поставки коммунальных ресурсов (2110199990)</t>
  </si>
  <si>
    <t>Основное мероприятие "Реализация мероприятий обеспечения качественными коммунальными услугами". Реализация мероприятий (0210199990)</t>
  </si>
  <si>
    <t>Основное мероприятие "Реализация мероприятий обеспечения качественными коммунальными услугами".Подпрограмма "Формирование комфортной городской среды" (1050199990)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</si>
  <si>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</si>
  <si>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</si>
  <si>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Строительство и реконструкция  объектов  муниципальной  собственности (1010142110)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</si>
  <si>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(4110089020)</t>
  </si>
  <si>
    <t>0503</t>
  </si>
  <si>
    <t>Реализация  мероприятий  муниципальной  программы "Снижение рисков и смягчение последствий чрезвычайных ситуаций природного и техногенного характера на территории Октябрьского  района" (140019990)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</si>
  <si>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(150019990)</t>
  </si>
  <si>
    <t>Иные межбюджетные трансферты на финансирование наказов избирателей депутатам Думы ХМАО-Югры  (4120085160)</t>
  </si>
  <si>
    <t>"Улучшение экологической ситуации на территории Октябрьского района" строительство и реконструкция объектов муниципальной собственности (0600242110)</t>
  </si>
  <si>
    <t>"Улучшение экологической ситуации на территории Октябрьского района"  утилизация  отходов на территории муниципального образования Октябрьский район (0600299990)</t>
  </si>
  <si>
    <t xml:space="preserve">Реализация мероприятий муниципальной программы "Развитие гражданских инициатив" (02200289010) 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</si>
  <si>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</si>
  <si>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</si>
  <si>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</si>
  <si>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</si>
  <si>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</si>
  <si>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благоустройство территорий муниципальных образований (105F2S2600)</t>
  </si>
  <si>
    <t>Увеличение количества благоустроенных дворовых территорий и мест общего пользования (1050199990)</t>
  </si>
  <si>
    <t>Внешнее благоустройство 1060199990 (4060099990)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</si>
  <si>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</si>
  <si>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</si>
  <si>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</si>
  <si>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</si>
  <si>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</si>
  <si>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</si>
  <si>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</si>
  <si>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</si>
  <si>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</si>
  <si>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</si>
  <si>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(0140482030, 01404S2030) 01.40.18 и местн.</t>
  </si>
  <si>
    <t>0702</t>
  </si>
  <si>
    <t>Общее образование</t>
  </si>
  <si>
    <t>Бесплатное питание (0140284030)</t>
  </si>
  <si>
    <t>Расходы на строительство и реконструкцию дошкольных образовательных и общеобразовательных организаций, осуществляющих образовательную деятельность по образовательным программам дошкольного образования (014Р282700, 014Р2S2700)</t>
  </si>
  <si>
    <t>Муниципальная программа  "Развитие образоания в муниципальном образовании Октябрьский район" Расходы на создание в общеобразовательных организациях, расположенных в сельской местности, условий для занятий физ культурой и спортом. (014E250970)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</si>
  <si>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</si>
  <si>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</si>
  <si>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</si>
  <si>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</si>
  <si>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</si>
  <si>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</si>
  <si>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</si>
  <si>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</si>
  <si>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</si>
  <si>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</si>
  <si>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</si>
  <si>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</si>
  <si>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</si>
  <si>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</si>
  <si>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</si>
  <si>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</si>
  <si>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</si>
  <si>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</si>
  <si>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</si>
  <si>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</si>
  <si>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</si>
  <si>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</si>
  <si>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</si>
  <si>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</si>
  <si>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</si>
  <si>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</si>
  <si>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</si>
  <si>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</si>
  <si>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</si>
  <si>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</si>
  <si>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01.02.00, 01.41.04,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</si>
  <si>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</si>
  <si>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</si>
  <si>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</si>
  <si>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</si>
  <si>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</si>
  <si>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Спорт высших достижений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</si>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</sst>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₽&quot;_-;\-* #,##0.00\ &quot;₽&quot;_-;_-* &quot;-&quot;??\ &quot;₽&quot;_-;_-@_-"/>
    <numFmt numFmtId="164" formatCode="#,##0.0"/>
    <numFmt numFmtId="165" formatCode="0.0"/>
    <numFmt numFmtId="166" formatCode="_-* #,##0.0_р_._-;\-* #,##0.0_р_._-;_-* &quot;-&quot;?_р_._-;_-@_-"/>
    <numFmt numFmtId="167" formatCode="#,##0.00_ ;\-#,##0.0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charset val="204"/>
    </font>
    <font>
      <b/>
      <sz val="9"/>
      <name val="Arial"/>
      <family val="2"/>
    </font>
    <font>
      <sz val="9"/>
      <name val="Arial Cyr"/>
      <charset val="204"/>
    </font>
    <font>
      <sz val="9"/>
      <name val="Arial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b/>
      <sz val="12"/>
      <color indexed="3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indexed="3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3" fillId="0" borderId="0"/>
    <xf numFmtId="0" fontId="25" fillId="0" borderId="0"/>
  </cellStyleXfs>
  <cellXfs count="188">
    <xf numFmtId="0" fontId="0" fillId="0" borderId="0" xfId="0"/>
    <xf numFmtId="0" fontId="0" fillId="0" borderId="0" xfId="0" applyFill="1"/>
    <xf numFmtId="0" fontId="3" fillId="0" borderId="0" xfId="0" applyFont="1" applyFill="1" applyAlignment="1"/>
    <xf numFmtId="0" fontId="4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/>
    </xf>
    <xf numFmtId="164" fontId="6" fillId="0" borderId="8" xfId="0" applyNumberFormat="1" applyFont="1" applyFill="1" applyBorder="1" applyAlignment="1">
      <alignment horizontal="right" vertical="top"/>
    </xf>
    <xf numFmtId="164" fontId="6" fillId="0" borderId="8" xfId="0" applyNumberFormat="1" applyFont="1" applyFill="1" applyBorder="1" applyAlignment="1">
      <alignment vertical="top"/>
    </xf>
    <xf numFmtId="49" fontId="9" fillId="0" borderId="5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164" fontId="10" fillId="0" borderId="5" xfId="0" applyNumberFormat="1" applyFont="1" applyFill="1" applyBorder="1" applyAlignment="1">
      <alignment vertical="top" wrapText="1"/>
    </xf>
    <xf numFmtId="164" fontId="8" fillId="0" borderId="5" xfId="0" applyNumberFormat="1" applyFont="1" applyFill="1" applyBorder="1" applyAlignment="1">
      <alignment horizontal="right" vertical="top"/>
    </xf>
    <xf numFmtId="164" fontId="8" fillId="0" borderId="5" xfId="0" applyNumberFormat="1" applyFont="1" applyFill="1" applyBorder="1" applyAlignment="1">
      <alignment vertical="top"/>
    </xf>
    <xf numFmtId="164" fontId="8" fillId="0" borderId="8" xfId="0" applyNumberFormat="1" applyFont="1" applyFill="1" applyBorder="1" applyAlignment="1">
      <alignment vertical="top"/>
    </xf>
    <xf numFmtId="0" fontId="10" fillId="0" borderId="8" xfId="0" applyFont="1" applyFill="1" applyBorder="1" applyAlignment="1">
      <alignment vertical="top" wrapText="1"/>
    </xf>
    <xf numFmtId="164" fontId="10" fillId="0" borderId="8" xfId="0" applyNumberFormat="1" applyFont="1" applyFill="1" applyBorder="1" applyAlignment="1">
      <alignment vertical="top" wrapText="1"/>
    </xf>
    <xf numFmtId="164" fontId="8" fillId="0" borderId="8" xfId="0" applyNumberFormat="1" applyFont="1" applyFill="1" applyBorder="1" applyAlignment="1">
      <alignment horizontal="right" vertical="top"/>
    </xf>
    <xf numFmtId="49" fontId="9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9" fillId="0" borderId="8" xfId="0" applyNumberFormat="1" applyFont="1" applyFill="1" applyBorder="1" applyAlignment="1">
      <alignment horizontal="center" vertical="top" wrapText="1"/>
    </xf>
    <xf numFmtId="49" fontId="10" fillId="0" borderId="5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vertical="top"/>
    </xf>
    <xf numFmtId="164" fontId="7" fillId="0" borderId="8" xfId="0" applyNumberFormat="1" applyFont="1" applyFill="1" applyBorder="1" applyAlignment="1">
      <alignment horizontal="right" vertical="top" wrapText="1"/>
    </xf>
    <xf numFmtId="164" fontId="6" fillId="0" borderId="5" xfId="0" applyNumberFormat="1" applyFont="1" applyFill="1" applyBorder="1" applyAlignment="1">
      <alignment horizontal="right" vertical="top"/>
    </xf>
    <xf numFmtId="49" fontId="10" fillId="0" borderId="5" xfId="0" applyNumberFormat="1" applyFont="1" applyFill="1" applyBorder="1" applyAlignment="1">
      <alignment vertical="top" wrapText="1"/>
    </xf>
    <xf numFmtId="0" fontId="10" fillId="0" borderId="8" xfId="0" applyFont="1" applyFill="1" applyBorder="1" applyAlignment="1">
      <alignment horizontal="justify" vertical="top" wrapText="1"/>
    </xf>
    <xf numFmtId="164" fontId="10" fillId="0" borderId="8" xfId="0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vertical="top"/>
    </xf>
    <xf numFmtId="164" fontId="10" fillId="0" borderId="8" xfId="0" applyNumberFormat="1" applyFont="1" applyFill="1" applyBorder="1" applyAlignment="1">
      <alignment vertical="top"/>
    </xf>
    <xf numFmtId="0" fontId="10" fillId="0" borderId="9" xfId="0" applyFont="1" applyFill="1" applyBorder="1" applyAlignment="1">
      <alignment vertical="top" wrapText="1" shrinkToFit="1"/>
    </xf>
    <xf numFmtId="164" fontId="10" fillId="0" borderId="8" xfId="0" applyNumberFormat="1" applyFont="1" applyFill="1" applyBorder="1" applyAlignment="1">
      <alignment vertical="top" wrapText="1" shrinkToFit="1"/>
    </xf>
    <xf numFmtId="0" fontId="7" fillId="0" borderId="9" xfId="0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left" vertical="top"/>
    </xf>
    <xf numFmtId="164" fontId="10" fillId="0" borderId="9" xfId="0" applyNumberFormat="1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vertical="top"/>
    </xf>
    <xf numFmtId="49" fontId="10" fillId="0" borderId="8" xfId="0" applyNumberFormat="1" applyFont="1" applyFill="1" applyBorder="1" applyAlignment="1">
      <alignment horizontal="center" vertical="top" wrapText="1"/>
    </xf>
    <xf numFmtId="164" fontId="10" fillId="0" borderId="8" xfId="0" applyNumberFormat="1" applyFont="1" applyFill="1" applyBorder="1" applyAlignment="1">
      <alignment horizontal="right" vertical="top" wrapText="1" shrinkToFit="1"/>
    </xf>
    <xf numFmtId="0" fontId="7" fillId="0" borderId="0" xfId="0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vertical="top"/>
    </xf>
    <xf numFmtId="164" fontId="10" fillId="0" borderId="5" xfId="0" applyNumberFormat="1" applyFont="1" applyFill="1" applyBorder="1" applyAlignment="1">
      <alignment horizontal="right" vertical="top" wrapText="1"/>
    </xf>
    <xf numFmtId="164" fontId="7" fillId="0" borderId="6" xfId="0" applyNumberFormat="1" applyFont="1" applyFill="1" applyBorder="1" applyAlignment="1">
      <alignment horizontal="right" vertical="top" wrapText="1"/>
    </xf>
    <xf numFmtId="164" fontId="10" fillId="0" borderId="8" xfId="0" applyNumberFormat="1" applyFont="1" applyFill="1" applyBorder="1" applyAlignment="1">
      <alignment horizontal="right" vertical="top"/>
    </xf>
    <xf numFmtId="0" fontId="10" fillId="0" borderId="6" xfId="0" applyFont="1" applyFill="1" applyBorder="1" applyAlignment="1">
      <alignment vertical="top" wrapText="1"/>
    </xf>
    <xf numFmtId="164" fontId="7" fillId="0" borderId="8" xfId="0" applyNumberFormat="1" applyFont="1" applyFill="1" applyBorder="1" applyAlignment="1">
      <alignment vertical="top" wrapText="1"/>
    </xf>
    <xf numFmtId="49" fontId="10" fillId="0" borderId="8" xfId="0" applyNumberFormat="1" applyFont="1" applyFill="1" applyBorder="1" applyAlignment="1">
      <alignment vertical="top" wrapText="1"/>
    </xf>
    <xf numFmtId="165" fontId="8" fillId="0" borderId="8" xfId="0" applyNumberFormat="1" applyFont="1" applyFill="1" applyBorder="1" applyAlignment="1">
      <alignment vertical="top"/>
    </xf>
    <xf numFmtId="164" fontId="9" fillId="0" borderId="8" xfId="0" applyNumberFormat="1" applyFont="1" applyFill="1" applyBorder="1" applyAlignment="1">
      <alignment horizontal="right" vertical="top" wrapText="1"/>
    </xf>
    <xf numFmtId="49" fontId="15" fillId="0" borderId="0" xfId="2" applyNumberFormat="1" applyFont="1" applyAlignment="1">
      <alignment horizontal="center" vertical="center" wrapText="1"/>
    </xf>
    <xf numFmtId="0" fontId="15" fillId="0" borderId="0" xfId="2" applyNumberFormat="1" applyFont="1" applyAlignment="1">
      <alignment horizontal="left" vertical="center" wrapText="1"/>
    </xf>
    <xf numFmtId="166" fontId="16" fillId="2" borderId="0" xfId="2" applyNumberFormat="1" applyFont="1" applyFill="1" applyAlignment="1">
      <alignment horizontal="center" vertical="center" wrapText="1"/>
    </xf>
    <xf numFmtId="166" fontId="17" fillId="2" borderId="0" xfId="2" applyNumberFormat="1" applyFont="1" applyFill="1" applyBorder="1" applyAlignment="1">
      <alignment horizontal="center" vertical="center" wrapText="1"/>
    </xf>
    <xf numFmtId="166" fontId="17" fillId="0" borderId="0" xfId="2" applyNumberFormat="1" applyFont="1" applyFill="1" applyAlignment="1">
      <alignment horizontal="center" vertical="center" wrapText="1"/>
    </xf>
    <xf numFmtId="166" fontId="17" fillId="2" borderId="0" xfId="0" applyNumberFormat="1" applyFont="1" applyFill="1" applyAlignment="1">
      <alignment horizontal="center" vertical="center" wrapText="1"/>
    </xf>
    <xf numFmtId="166" fontId="17" fillId="0" borderId="0" xfId="0" applyNumberFormat="1" applyFont="1" applyAlignment="1">
      <alignment horizontal="center" vertical="center" wrapText="1"/>
    </xf>
    <xf numFmtId="166" fontId="18" fillId="0" borderId="0" xfId="0" applyNumberFormat="1" applyFont="1" applyFill="1" applyAlignment="1">
      <alignment horizontal="center" vertical="center" wrapText="1"/>
    </xf>
    <xf numFmtId="166" fontId="18" fillId="2" borderId="0" xfId="0" applyNumberFormat="1" applyFont="1" applyFill="1" applyAlignment="1">
      <alignment horizontal="center" vertical="center" wrapText="1"/>
    </xf>
    <xf numFmtId="166" fontId="18" fillId="0" borderId="0" xfId="0" applyNumberFormat="1" applyFont="1" applyAlignment="1">
      <alignment horizontal="center" vertical="center" wrapText="1"/>
    </xf>
    <xf numFmtId="49" fontId="23" fillId="3" borderId="15" xfId="2" quotePrefix="1" applyNumberFormat="1" applyFont="1" applyFill="1" applyBorder="1" applyAlignment="1">
      <alignment horizontal="center" vertical="center" wrapText="1"/>
    </xf>
    <xf numFmtId="0" fontId="23" fillId="3" borderId="8" xfId="2" applyNumberFormat="1" applyFont="1" applyFill="1" applyBorder="1" applyAlignment="1">
      <alignment horizontal="left" vertical="center" wrapText="1"/>
    </xf>
    <xf numFmtId="166" fontId="21" fillId="4" borderId="8" xfId="2" applyNumberFormat="1" applyFont="1" applyFill="1" applyBorder="1" applyAlignment="1">
      <alignment horizontal="center" vertical="center" wrapText="1"/>
    </xf>
    <xf numFmtId="166" fontId="20" fillId="4" borderId="8" xfId="0" applyNumberFormat="1" applyFont="1" applyFill="1" applyBorder="1" applyAlignment="1">
      <alignment horizontal="center" vertical="center" wrapText="1"/>
    </xf>
    <xf numFmtId="166" fontId="21" fillId="3" borderId="16" xfId="0" applyNumberFormat="1" applyFont="1" applyFill="1" applyBorder="1" applyAlignment="1">
      <alignment horizontal="center" vertical="center" wrapText="1"/>
    </xf>
    <xf numFmtId="49" fontId="19" fillId="0" borderId="15" xfId="2" quotePrefix="1" applyNumberFormat="1" applyFont="1" applyFill="1" applyBorder="1" applyAlignment="1">
      <alignment horizontal="center" vertical="center" wrapText="1"/>
    </xf>
    <xf numFmtId="0" fontId="19" fillId="0" borderId="8" xfId="2" applyNumberFormat="1" applyFont="1" applyFill="1" applyBorder="1" applyAlignment="1">
      <alignment horizontal="left" vertical="center" wrapText="1"/>
    </xf>
    <xf numFmtId="166" fontId="20" fillId="2" borderId="8" xfId="2" applyNumberFormat="1" applyFont="1" applyFill="1" applyBorder="1" applyAlignment="1">
      <alignment horizontal="center" vertical="center" wrapText="1"/>
    </xf>
    <xf numFmtId="166" fontId="20" fillId="0" borderId="8" xfId="2" applyNumberFormat="1" applyFont="1" applyFill="1" applyBorder="1" applyAlignment="1">
      <alignment horizontal="center" vertical="center" wrapText="1"/>
    </xf>
    <xf numFmtId="166" fontId="20" fillId="2" borderId="8" xfId="0" applyNumberFormat="1" applyFont="1" applyFill="1" applyBorder="1" applyAlignment="1">
      <alignment horizontal="center" vertical="center" wrapText="1"/>
    </xf>
    <xf numFmtId="166" fontId="20" fillId="0" borderId="8" xfId="0" applyNumberFormat="1" applyFont="1" applyFill="1" applyBorder="1" applyAlignment="1">
      <alignment horizontal="center" vertical="center" wrapText="1"/>
    </xf>
    <xf numFmtId="166" fontId="21" fillId="0" borderId="8" xfId="0" applyNumberFormat="1" applyFont="1" applyFill="1" applyBorder="1" applyAlignment="1">
      <alignment horizontal="center" vertical="center" wrapText="1"/>
    </xf>
    <xf numFmtId="166" fontId="21" fillId="2" borderId="8" xfId="0" applyNumberFormat="1" applyFont="1" applyFill="1" applyBorder="1" applyAlignment="1">
      <alignment horizontal="center" vertical="center" wrapText="1"/>
    </xf>
    <xf numFmtId="166" fontId="21" fillId="0" borderId="16" xfId="0" applyNumberFormat="1" applyFont="1" applyFill="1" applyBorder="1" applyAlignment="1">
      <alignment horizontal="center" vertical="center" wrapText="1"/>
    </xf>
    <xf numFmtId="166" fontId="21" fillId="5" borderId="8" xfId="0" applyNumberFormat="1" applyFont="1" applyFill="1" applyBorder="1" applyAlignment="1">
      <alignment horizontal="center" vertical="center" wrapText="1"/>
    </xf>
    <xf numFmtId="166" fontId="24" fillId="2" borderId="8" xfId="0" applyNumberFormat="1" applyFont="1" applyFill="1" applyBorder="1" applyAlignment="1">
      <alignment horizontal="center" vertical="center" wrapText="1"/>
    </xf>
    <xf numFmtId="49" fontId="19" fillId="0" borderId="15" xfId="2" applyNumberFormat="1" applyFont="1" applyFill="1" applyBorder="1" applyAlignment="1">
      <alignment horizontal="center" vertical="center" wrapText="1"/>
    </xf>
    <xf numFmtId="166" fontId="24" fillId="5" borderId="8" xfId="0" applyNumberFormat="1" applyFont="1" applyFill="1" applyBorder="1" applyAlignment="1">
      <alignment horizontal="center" vertical="center" wrapText="1"/>
    </xf>
    <xf numFmtId="166" fontId="20" fillId="4" borderId="8" xfId="2" applyNumberFormat="1" applyFont="1" applyFill="1" applyBorder="1" applyAlignment="1">
      <alignment horizontal="center" vertical="center" wrapText="1"/>
    </xf>
    <xf numFmtId="166" fontId="21" fillId="4" borderId="16" xfId="2" applyNumberFormat="1" applyFont="1" applyFill="1" applyBorder="1" applyAlignment="1">
      <alignment horizontal="center" vertical="center" wrapText="1"/>
    </xf>
    <xf numFmtId="166" fontId="21" fillId="4" borderId="16" xfId="0" applyNumberFormat="1" applyFont="1" applyFill="1" applyBorder="1" applyAlignment="1">
      <alignment horizontal="center" vertical="center" wrapText="1"/>
    </xf>
    <xf numFmtId="0" fontId="19" fillId="6" borderId="8" xfId="2" applyNumberFormat="1" applyFont="1" applyFill="1" applyBorder="1" applyAlignment="1">
      <alignment horizontal="left" vertical="center" wrapText="1"/>
    </xf>
    <xf numFmtId="166" fontId="21" fillId="7" borderId="8" xfId="0" applyNumberFormat="1" applyFont="1" applyFill="1" applyBorder="1" applyAlignment="1">
      <alignment horizontal="center" vertical="center" wrapText="1"/>
    </xf>
    <xf numFmtId="0" fontId="20" fillId="0" borderId="8" xfId="3" applyNumberFormat="1" applyFont="1" applyFill="1" applyBorder="1" applyAlignment="1" applyProtection="1">
      <alignment horizontal="left" vertical="center" wrapText="1"/>
      <protection hidden="1"/>
    </xf>
    <xf numFmtId="166" fontId="21" fillId="4" borderId="8" xfId="0" applyNumberFormat="1" applyFont="1" applyFill="1" applyBorder="1" applyAlignment="1">
      <alignment horizontal="center" vertical="center" wrapText="1"/>
    </xf>
    <xf numFmtId="49" fontId="19" fillId="2" borderId="15" xfId="2" quotePrefix="1" applyNumberFormat="1" applyFont="1" applyFill="1" applyBorder="1" applyAlignment="1">
      <alignment horizontal="center" vertical="center" wrapText="1"/>
    </xf>
    <xf numFmtId="0" fontId="26" fillId="0" borderId="8" xfId="2" applyNumberFormat="1" applyFont="1" applyFill="1" applyBorder="1" applyAlignment="1">
      <alignment horizontal="left" vertical="center" wrapText="1"/>
    </xf>
    <xf numFmtId="2" fontId="21" fillId="0" borderId="16" xfId="0" applyNumberFormat="1" applyFont="1" applyFill="1" applyBorder="1" applyAlignment="1">
      <alignment horizontal="center" vertical="center" wrapText="1"/>
    </xf>
    <xf numFmtId="166" fontId="27" fillId="5" borderId="8" xfId="0" applyNumberFormat="1" applyFont="1" applyFill="1" applyBorder="1" applyAlignment="1">
      <alignment horizontal="center" vertical="center" wrapText="1"/>
    </xf>
    <xf numFmtId="166" fontId="21" fillId="8" borderId="8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165" fontId="21" fillId="0" borderId="16" xfId="0" applyNumberFormat="1" applyFont="1" applyFill="1" applyBorder="1" applyAlignment="1">
      <alignment horizontal="center" vertical="center" wrapText="1"/>
    </xf>
    <xf numFmtId="49" fontId="23" fillId="3" borderId="15" xfId="2" applyNumberFormat="1" applyFont="1" applyFill="1" applyBorder="1" applyAlignment="1">
      <alignment horizontal="center" vertical="center" wrapText="1"/>
    </xf>
    <xf numFmtId="0" fontId="23" fillId="3" borderId="8" xfId="0" applyNumberFormat="1" applyFont="1" applyFill="1" applyBorder="1" applyAlignment="1">
      <alignment horizontal="left" vertical="center" wrapText="1"/>
    </xf>
    <xf numFmtId="165" fontId="21" fillId="4" borderId="16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left" vertical="center" wrapText="1"/>
    </xf>
    <xf numFmtId="166" fontId="20" fillId="9" borderId="8" xfId="2" applyNumberFormat="1" applyFont="1" applyFill="1" applyBorder="1" applyAlignment="1">
      <alignment horizontal="center" vertical="center" wrapText="1"/>
    </xf>
    <xf numFmtId="166" fontId="20" fillId="9" borderId="8" xfId="0" applyNumberFormat="1" applyFont="1" applyFill="1" applyBorder="1" applyAlignment="1">
      <alignment horizontal="center" vertical="center" wrapText="1"/>
    </xf>
    <xf numFmtId="49" fontId="20" fillId="0" borderId="15" xfId="2" applyNumberFormat="1" applyFont="1" applyFill="1" applyBorder="1" applyAlignment="1">
      <alignment horizontal="center" vertical="center" wrapText="1"/>
    </xf>
    <xf numFmtId="0" fontId="20" fillId="0" borderId="8" xfId="2" applyNumberFormat="1" applyFont="1" applyFill="1" applyBorder="1" applyAlignment="1">
      <alignment horizontal="left" vertical="center" wrapText="1"/>
    </xf>
    <xf numFmtId="166" fontId="21" fillId="3" borderId="16" xfId="2" applyNumberFormat="1" applyFont="1" applyFill="1" applyBorder="1" applyAlignment="1">
      <alignment horizontal="center" vertical="center" wrapText="1"/>
    </xf>
    <xf numFmtId="166" fontId="21" fillId="11" borderId="18" xfId="2" applyNumberFormat="1" applyFont="1" applyFill="1" applyBorder="1" applyAlignment="1">
      <alignment horizontal="center" vertical="center" wrapText="1"/>
    </xf>
    <xf numFmtId="166" fontId="21" fillId="11" borderId="18" xfId="0" applyNumberFormat="1" applyFont="1" applyFill="1" applyBorder="1" applyAlignment="1">
      <alignment horizontal="center" vertical="center" wrapText="1"/>
    </xf>
    <xf numFmtId="166" fontId="21" fillId="11" borderId="19" xfId="0" applyNumberFormat="1" applyFont="1" applyFill="1" applyBorder="1" applyAlignment="1">
      <alignment horizontal="center" vertical="center" wrapText="1"/>
    </xf>
    <xf numFmtId="49" fontId="15" fillId="0" borderId="0" xfId="2" applyNumberFormat="1" applyFont="1" applyFill="1" applyBorder="1" applyAlignment="1">
      <alignment horizontal="center" vertical="center" wrapText="1"/>
    </xf>
    <xf numFmtId="0" fontId="15" fillId="0" borderId="0" xfId="2" applyNumberFormat="1" applyFont="1" applyFill="1" applyBorder="1" applyAlignment="1">
      <alignment horizontal="left" vertical="center" wrapText="1"/>
    </xf>
    <xf numFmtId="167" fontId="16" fillId="2" borderId="0" xfId="2" applyNumberFormat="1" applyFont="1" applyFill="1" applyBorder="1" applyAlignment="1">
      <alignment horizontal="center" vertical="center" wrapText="1"/>
    </xf>
    <xf numFmtId="166" fontId="18" fillId="0" borderId="0" xfId="2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166" fontId="16" fillId="2" borderId="0" xfId="0" applyNumberFormat="1" applyFont="1" applyFill="1" applyBorder="1" applyAlignment="1">
      <alignment horizontal="center" vertical="center" wrapText="1"/>
    </xf>
    <xf numFmtId="166" fontId="16" fillId="0" borderId="0" xfId="0" applyNumberFormat="1" applyFont="1" applyFill="1" applyBorder="1" applyAlignment="1">
      <alignment horizontal="center" vertical="center" wrapText="1"/>
    </xf>
    <xf numFmtId="166" fontId="17" fillId="2" borderId="0" xfId="0" applyNumberFormat="1" applyFont="1" applyFill="1" applyBorder="1" applyAlignment="1">
      <alignment horizontal="center" vertical="center" wrapText="1"/>
    </xf>
    <xf numFmtId="166" fontId="29" fillId="2" borderId="0" xfId="0" applyNumberFormat="1" applyFont="1" applyFill="1" applyAlignment="1">
      <alignment horizontal="center" vertical="center" wrapText="1"/>
    </xf>
    <xf numFmtId="166" fontId="29" fillId="0" borderId="0" xfId="0" applyNumberFormat="1" applyFont="1" applyAlignment="1">
      <alignment horizontal="center" vertical="center" wrapText="1"/>
    </xf>
    <xf numFmtId="166" fontId="29" fillId="2" borderId="9" xfId="2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right" vertical="center" wrapText="1"/>
    </xf>
    <xf numFmtId="0" fontId="26" fillId="0" borderId="0" xfId="2" applyNumberFormat="1" applyFont="1" applyFill="1" applyBorder="1" applyAlignment="1">
      <alignment horizontal="left" vertical="center" wrapText="1"/>
    </xf>
    <xf numFmtId="166" fontId="30" fillId="2" borderId="0" xfId="2" applyNumberFormat="1" applyFont="1" applyFill="1" applyBorder="1" applyAlignment="1">
      <alignment horizontal="center" vertical="center" wrapText="1"/>
    </xf>
    <xf numFmtId="166" fontId="29" fillId="2" borderId="0" xfId="2" applyNumberFormat="1" applyFont="1" applyFill="1" applyBorder="1" applyAlignment="1">
      <alignment horizontal="center" vertical="center" wrapText="1"/>
    </xf>
    <xf numFmtId="166" fontId="29" fillId="0" borderId="0" xfId="0" applyNumberFormat="1" applyFont="1" applyFill="1" applyBorder="1" applyAlignment="1">
      <alignment horizontal="left" vertical="center" wrapText="1"/>
    </xf>
    <xf numFmtId="166" fontId="29" fillId="2" borderId="0" xfId="0" applyNumberFormat="1" applyFont="1" applyFill="1" applyAlignment="1">
      <alignment horizontal="left" vertical="center" wrapText="1"/>
    </xf>
    <xf numFmtId="166" fontId="29" fillId="2" borderId="9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166" fontId="30" fillId="2" borderId="0" xfId="0" applyNumberFormat="1" applyFont="1" applyFill="1" applyBorder="1" applyAlignment="1">
      <alignment horizontal="center" vertical="center" wrapText="1"/>
    </xf>
    <xf numFmtId="166" fontId="29" fillId="2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166" fontId="30" fillId="2" borderId="0" xfId="0" applyNumberFormat="1" applyFont="1" applyFill="1" applyAlignment="1">
      <alignment horizontal="center" vertical="center" wrapText="1"/>
    </xf>
    <xf numFmtId="166" fontId="29" fillId="0" borderId="0" xfId="0" applyNumberFormat="1" applyFont="1" applyFill="1" applyAlignment="1">
      <alignment horizontal="center" vertical="center" wrapText="1"/>
    </xf>
    <xf numFmtId="0" fontId="12" fillId="0" borderId="0" xfId="0" applyFont="1"/>
    <xf numFmtId="0" fontId="29" fillId="2" borderId="0" xfId="0" applyFont="1" applyFill="1" applyAlignment="1">
      <alignment horizontal="right"/>
    </xf>
    <xf numFmtId="0" fontId="12" fillId="2" borderId="9" xfId="0" applyFont="1" applyFill="1" applyBorder="1"/>
    <xf numFmtId="0" fontId="29" fillId="0" borderId="0" xfId="0" applyFont="1"/>
    <xf numFmtId="0" fontId="12" fillId="2" borderId="0" xfId="0" applyFont="1" applyFill="1"/>
    <xf numFmtId="0" fontId="0" fillId="2" borderId="0" xfId="0" applyFill="1"/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4" fontId="9" fillId="0" borderId="1" xfId="1" applyFont="1" applyFill="1" applyBorder="1" applyAlignment="1">
      <alignment horizontal="center" vertical="top" wrapText="1"/>
    </xf>
    <xf numFmtId="44" fontId="9" fillId="0" borderId="10" xfId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26" fillId="0" borderId="0" xfId="2" applyNumberFormat="1" applyFont="1" applyFill="1" applyBorder="1" applyAlignment="1">
      <alignment horizontal="right" vertical="center" wrapText="1"/>
    </xf>
    <xf numFmtId="166" fontId="29" fillId="0" borderId="0" xfId="2" applyNumberFormat="1" applyFont="1" applyFill="1" applyBorder="1" applyAlignment="1">
      <alignment horizontal="left" vertical="center" wrapText="1"/>
    </xf>
    <xf numFmtId="166" fontId="21" fillId="4" borderId="8" xfId="2" applyNumberFormat="1" applyFont="1" applyFill="1" applyBorder="1" applyAlignment="1">
      <alignment horizontal="center" vertical="center" wrapText="1"/>
    </xf>
    <xf numFmtId="0" fontId="28" fillId="10" borderId="17" xfId="2" applyNumberFormat="1" applyFont="1" applyFill="1" applyBorder="1" applyAlignment="1">
      <alignment horizontal="center" vertical="center" wrapText="1"/>
    </xf>
    <xf numFmtId="0" fontId="28" fillId="10" borderId="18" xfId="2" applyNumberFormat="1" applyFont="1" applyFill="1" applyBorder="1" applyAlignment="1">
      <alignment horizontal="center" vertical="center" wrapText="1"/>
    </xf>
    <xf numFmtId="49" fontId="23" fillId="3" borderId="15" xfId="2" quotePrefix="1" applyNumberFormat="1" applyFont="1" applyFill="1" applyBorder="1" applyAlignment="1">
      <alignment horizontal="center" vertical="center" wrapText="1"/>
    </xf>
    <xf numFmtId="0" fontId="23" fillId="3" borderId="8" xfId="2" applyNumberFormat="1" applyFont="1" applyFill="1" applyBorder="1" applyAlignment="1">
      <alignment horizontal="left" vertical="center" wrapText="1"/>
    </xf>
    <xf numFmtId="166" fontId="20" fillId="2" borderId="8" xfId="2" applyNumberFormat="1" applyFont="1" applyFill="1" applyBorder="1" applyAlignment="1">
      <alignment horizontal="center" vertical="center" wrapText="1"/>
    </xf>
    <xf numFmtId="166" fontId="20" fillId="0" borderId="8" xfId="2" applyNumberFormat="1" applyFont="1" applyBorder="1" applyAlignment="1">
      <alignment horizontal="center" vertical="center" wrapText="1"/>
    </xf>
    <xf numFmtId="166" fontId="20" fillId="0" borderId="8" xfId="0" applyNumberFormat="1" applyFont="1" applyBorder="1" applyAlignment="1">
      <alignment horizontal="center" vertical="center" wrapText="1"/>
    </xf>
    <xf numFmtId="166" fontId="21" fillId="0" borderId="8" xfId="2" applyNumberFormat="1" applyFont="1" applyFill="1" applyBorder="1" applyAlignment="1">
      <alignment horizontal="center" vertical="center" wrapText="1"/>
    </xf>
    <xf numFmtId="166" fontId="21" fillId="0" borderId="8" xfId="0" applyNumberFormat="1" applyFont="1" applyBorder="1" applyAlignment="1">
      <alignment horizontal="center" vertical="center" wrapText="1"/>
    </xf>
    <xf numFmtId="166" fontId="21" fillId="2" borderId="8" xfId="2" applyNumberFormat="1" applyFont="1" applyFill="1" applyBorder="1" applyAlignment="1">
      <alignment horizontal="center" vertical="center" wrapText="1"/>
    </xf>
    <xf numFmtId="166" fontId="21" fillId="0" borderId="16" xfId="2" applyNumberFormat="1" applyFont="1" applyBorder="1" applyAlignment="1">
      <alignment horizontal="center" vertical="center" wrapText="1"/>
    </xf>
    <xf numFmtId="166" fontId="21" fillId="0" borderId="16" xfId="0" applyNumberFormat="1" applyFont="1" applyBorder="1" applyAlignment="1">
      <alignment horizontal="center" vertical="center" wrapText="1"/>
    </xf>
    <xf numFmtId="0" fontId="23" fillId="0" borderId="8" xfId="2" applyNumberFormat="1" applyFont="1" applyFill="1" applyBorder="1" applyAlignment="1">
      <alignment horizontal="center" vertical="center" wrapText="1"/>
    </xf>
    <xf numFmtId="0" fontId="23" fillId="0" borderId="16" xfId="2" applyNumberFormat="1" applyFont="1" applyFill="1" applyBorder="1" applyAlignment="1">
      <alignment horizontal="center" vertical="center" wrapText="1"/>
    </xf>
    <xf numFmtId="0" fontId="14" fillId="0" borderId="0" xfId="2" applyNumberFormat="1" applyFont="1" applyAlignment="1">
      <alignment horizontal="center" vertical="center" wrapText="1"/>
    </xf>
    <xf numFmtId="49" fontId="19" fillId="0" borderId="12" xfId="2" applyNumberFormat="1" applyFont="1" applyBorder="1" applyAlignment="1">
      <alignment horizontal="center" vertical="center" wrapText="1"/>
    </xf>
    <xf numFmtId="49" fontId="19" fillId="0" borderId="15" xfId="2" applyNumberFormat="1" applyFont="1" applyBorder="1" applyAlignment="1">
      <alignment horizontal="center" vertical="center" wrapText="1"/>
    </xf>
    <xf numFmtId="0" fontId="19" fillId="0" borderId="13" xfId="2" applyNumberFormat="1" applyFont="1" applyBorder="1" applyAlignment="1">
      <alignment horizontal="center" vertical="center" wrapText="1"/>
    </xf>
    <xf numFmtId="0" fontId="19" fillId="0" borderId="8" xfId="2" applyNumberFormat="1" applyFont="1" applyBorder="1" applyAlignment="1">
      <alignment horizontal="center" vertical="center" wrapText="1"/>
    </xf>
    <xf numFmtId="166" fontId="20" fillId="0" borderId="13" xfId="2" applyNumberFormat="1" applyFont="1" applyFill="1" applyBorder="1" applyAlignment="1">
      <alignment horizontal="center" vertical="center" wrapText="1"/>
    </xf>
    <xf numFmtId="166" fontId="20" fillId="0" borderId="13" xfId="0" applyNumberFormat="1" applyFont="1" applyBorder="1" applyAlignment="1">
      <alignment horizontal="center" vertical="center" wrapText="1"/>
    </xf>
    <xf numFmtId="166" fontId="21" fillId="0" borderId="13" xfId="0" applyNumberFormat="1" applyFont="1" applyFill="1" applyBorder="1" applyAlignment="1">
      <alignment horizontal="center" vertical="center" wrapText="1"/>
    </xf>
    <xf numFmtId="166" fontId="21" fillId="0" borderId="14" xfId="0" applyNumberFormat="1" applyFont="1" applyFill="1" applyBorder="1" applyAlignment="1">
      <alignment horizontal="center" vertical="center" wrapText="1"/>
    </xf>
    <xf numFmtId="166" fontId="20" fillId="2" borderId="8" xfId="0" applyNumberFormat="1" applyFont="1" applyFill="1" applyBorder="1" applyAlignment="1">
      <alignment horizontal="center" vertical="center" wrapText="1"/>
    </xf>
    <xf numFmtId="166" fontId="20" fillId="0" borderId="8" xfId="2" applyNumberFormat="1" applyFont="1" applyFill="1" applyBorder="1" applyAlignment="1">
      <alignment horizontal="center" vertical="center" wrapText="1"/>
    </xf>
    <xf numFmtId="166" fontId="22" fillId="0" borderId="8" xfId="0" applyNumberFormat="1" applyFont="1" applyBorder="1" applyAlignment="1">
      <alignment horizontal="center" vertical="center"/>
    </xf>
  </cellXfs>
  <cellStyles count="4">
    <cellStyle name="Денежный" xfId="1" builtinId="4"/>
    <cellStyle name="Обычный" xfId="0" builtinId="0"/>
    <cellStyle name="Обычный_Tmp7" xfId="3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5"/>
  <sheetViews>
    <sheetView workbookViewId="0">
      <selection activeCell="E241" sqref="E241:J241"/>
    </sheetView>
  </sheetViews>
  <sheetFormatPr defaultRowHeight="15" x14ac:dyDescent="0.25"/>
  <cols>
    <col min="1" max="1" width="25" customWidth="1"/>
    <col min="2" max="2" width="38.85546875" customWidth="1"/>
    <col min="3" max="3" width="13.28515625" customWidth="1"/>
    <col min="4" max="4" width="11.28515625" customWidth="1"/>
    <col min="5" max="5" width="12.28515625" customWidth="1"/>
    <col min="6" max="9" width="0" hidden="1" customWidth="1"/>
    <col min="10" max="10" width="11.5703125" customWidth="1"/>
    <col min="11" max="11" width="12.140625" customWidth="1"/>
    <col min="12" max="12" width="13.28515625" customWidth="1"/>
    <col min="13" max="13" width="15.28515625" customWidth="1"/>
  </cols>
  <sheetData>
    <row r="1" spans="1:13" x14ac:dyDescent="0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x14ac:dyDescent="0.2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"/>
      <c r="L2" s="1"/>
      <c r="M2" s="1"/>
    </row>
    <row r="3" spans="1:13" x14ac:dyDescent="0.25">
      <c r="A3" s="2"/>
      <c r="B3" s="3"/>
      <c r="C3" s="3"/>
      <c r="D3" s="3"/>
      <c r="E3" s="3"/>
      <c r="F3" s="3"/>
      <c r="G3" s="3"/>
      <c r="H3" s="4"/>
      <c r="I3" s="4"/>
      <c r="K3" s="1"/>
      <c r="L3" s="1"/>
      <c r="M3" s="5" t="s">
        <v>1</v>
      </c>
    </row>
    <row r="4" spans="1:13" ht="15" customHeight="1" x14ac:dyDescent="0.25">
      <c r="A4" s="6" t="s">
        <v>2</v>
      </c>
      <c r="B4" s="7"/>
      <c r="C4" s="150" t="s">
        <v>3</v>
      </c>
      <c r="D4" s="150" t="s">
        <v>4</v>
      </c>
      <c r="E4" s="150" t="s">
        <v>5</v>
      </c>
      <c r="F4" s="156" t="s">
        <v>6</v>
      </c>
      <c r="G4" s="156" t="s">
        <v>7</v>
      </c>
      <c r="H4" s="156" t="s">
        <v>8</v>
      </c>
      <c r="I4" s="156" t="s">
        <v>9</v>
      </c>
      <c r="J4" s="150" t="s">
        <v>10</v>
      </c>
      <c r="K4" s="150" t="s">
        <v>11</v>
      </c>
      <c r="L4" s="150" t="s">
        <v>12</v>
      </c>
      <c r="M4" s="150" t="s">
        <v>13</v>
      </c>
    </row>
    <row r="5" spans="1:13" x14ac:dyDescent="0.25">
      <c r="A5" s="8" t="s">
        <v>14</v>
      </c>
      <c r="B5" s="9" t="s">
        <v>15</v>
      </c>
      <c r="C5" s="151"/>
      <c r="D5" s="151"/>
      <c r="E5" s="151"/>
      <c r="F5" s="157"/>
      <c r="G5" s="157"/>
      <c r="H5" s="157"/>
      <c r="I5" s="157"/>
      <c r="J5" s="151"/>
      <c r="K5" s="151"/>
      <c r="L5" s="151"/>
      <c r="M5" s="151"/>
    </row>
    <row r="6" spans="1:13" ht="20.25" customHeight="1" x14ac:dyDescent="0.25">
      <c r="A6" s="8"/>
      <c r="B6" s="9"/>
      <c r="C6" s="152"/>
      <c r="D6" s="152"/>
      <c r="E6" s="152"/>
      <c r="F6" s="158"/>
      <c r="G6" s="158"/>
      <c r="H6" s="158"/>
      <c r="I6" s="158"/>
      <c r="J6" s="152"/>
      <c r="K6" s="152"/>
      <c r="L6" s="152"/>
      <c r="M6" s="152"/>
    </row>
    <row r="7" spans="1:13" x14ac:dyDescent="0.25">
      <c r="A7" s="143" t="s">
        <v>16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</row>
    <row r="8" spans="1:13" ht="16.5" customHeight="1" x14ac:dyDescent="0.25">
      <c r="A8" s="10" t="s">
        <v>17</v>
      </c>
      <c r="B8" s="11" t="s">
        <v>18</v>
      </c>
      <c r="C8" s="12">
        <f t="shared" ref="C8:I8" si="0">C9+C11+C12+C13+C15+C16+C18+C20+C14+C21+C17+C19+C10</f>
        <v>872879.4</v>
      </c>
      <c r="D8" s="12">
        <f t="shared" si="0"/>
        <v>889749.6</v>
      </c>
      <c r="E8" s="12">
        <f t="shared" si="0"/>
        <v>462929.99999999988</v>
      </c>
      <c r="F8" s="12">
        <f t="shared" si="0"/>
        <v>228587.50000000003</v>
      </c>
      <c r="G8" s="12">
        <f t="shared" si="0"/>
        <v>234342.49999999997</v>
      </c>
      <c r="H8" s="12">
        <f t="shared" si="0"/>
        <v>187904.30000000002</v>
      </c>
      <c r="I8" s="12">
        <f t="shared" si="0"/>
        <v>238915.29999999996</v>
      </c>
      <c r="J8" s="12">
        <f>J9+J11+J12+J13+J15+J16+J18+J20+J14+J21+J17+J19+J10</f>
        <v>369960.3</v>
      </c>
      <c r="K8" s="12">
        <f t="shared" ref="K8:K13" si="1">J8*100/E8</f>
        <v>79.917114898580806</v>
      </c>
      <c r="L8" s="13">
        <f t="shared" ref="L8:L13" si="2">J8*100/D8</f>
        <v>41.58027157303583</v>
      </c>
      <c r="M8" s="13">
        <f t="shared" ref="M8:M19" si="3">J8*100/C8</f>
        <v>42.383896332070613</v>
      </c>
    </row>
    <row r="9" spans="1:13" ht="17.25" customHeight="1" x14ac:dyDescent="0.25">
      <c r="A9" s="14" t="s">
        <v>19</v>
      </c>
      <c r="B9" s="15" t="s">
        <v>20</v>
      </c>
      <c r="C9" s="16">
        <v>668277.30000000005</v>
      </c>
      <c r="D9" s="16">
        <f t="shared" ref="D9:D21" si="4">F9+G9+H9+I9</f>
        <v>668277.30000000005</v>
      </c>
      <c r="E9" s="16">
        <f t="shared" ref="E9:E21" si="5">F9+G9</f>
        <v>339373.1</v>
      </c>
      <c r="F9" s="16">
        <v>163538.5</v>
      </c>
      <c r="G9" s="16">
        <v>175834.6</v>
      </c>
      <c r="H9" s="17">
        <v>144790.5</v>
      </c>
      <c r="I9" s="18">
        <v>184113.7</v>
      </c>
      <c r="J9" s="18">
        <v>262352</v>
      </c>
      <c r="K9" s="17">
        <f t="shared" si="1"/>
        <v>77.304889515403559</v>
      </c>
      <c r="L9" s="18">
        <f t="shared" si="2"/>
        <v>39.257954744235661</v>
      </c>
      <c r="M9" s="19">
        <f t="shared" si="3"/>
        <v>39.257954744235661</v>
      </c>
    </row>
    <row r="10" spans="1:13" ht="39.75" customHeight="1" x14ac:dyDescent="0.25">
      <c r="A10" s="14" t="s">
        <v>21</v>
      </c>
      <c r="B10" s="20" t="s">
        <v>22</v>
      </c>
      <c r="C10" s="21">
        <v>5507.1</v>
      </c>
      <c r="D10" s="21">
        <f t="shared" si="4"/>
        <v>5507.0999999999995</v>
      </c>
      <c r="E10" s="16">
        <f t="shared" si="5"/>
        <v>2696.2</v>
      </c>
      <c r="F10" s="21">
        <v>1319.2</v>
      </c>
      <c r="G10" s="21">
        <v>1377</v>
      </c>
      <c r="H10" s="22">
        <v>1376.1</v>
      </c>
      <c r="I10" s="19">
        <v>1434.8</v>
      </c>
      <c r="J10" s="19">
        <v>2101</v>
      </c>
      <c r="K10" s="17">
        <f t="shared" si="1"/>
        <v>77.924486314071657</v>
      </c>
      <c r="L10" s="19">
        <f t="shared" si="2"/>
        <v>38.150750848904146</v>
      </c>
      <c r="M10" s="19">
        <f t="shared" si="3"/>
        <v>38.150750848904138</v>
      </c>
    </row>
    <row r="11" spans="1:13" ht="17.25" customHeight="1" x14ac:dyDescent="0.25">
      <c r="A11" s="14" t="s">
        <v>23</v>
      </c>
      <c r="B11" s="20" t="s">
        <v>24</v>
      </c>
      <c r="C11" s="21">
        <v>44548</v>
      </c>
      <c r="D11" s="21">
        <f t="shared" si="4"/>
        <v>44548</v>
      </c>
      <c r="E11" s="16">
        <f t="shared" si="5"/>
        <v>26466.1</v>
      </c>
      <c r="F11" s="21">
        <v>13387.3</v>
      </c>
      <c r="G11" s="21">
        <v>13078.8</v>
      </c>
      <c r="H11" s="22">
        <v>8493.6</v>
      </c>
      <c r="I11" s="19">
        <v>9588.2999999999993</v>
      </c>
      <c r="J11" s="19">
        <v>23783</v>
      </c>
      <c r="K11" s="17">
        <f t="shared" si="1"/>
        <v>89.862125511503393</v>
      </c>
      <c r="L11" s="19">
        <f t="shared" si="2"/>
        <v>53.387357457124899</v>
      </c>
      <c r="M11" s="19">
        <f t="shared" si="3"/>
        <v>53.387357457124899</v>
      </c>
    </row>
    <row r="12" spans="1:13" ht="15" customHeight="1" x14ac:dyDescent="0.25">
      <c r="A12" s="14" t="s">
        <v>25</v>
      </c>
      <c r="B12" s="20" t="s">
        <v>26</v>
      </c>
      <c r="C12" s="21">
        <v>8214</v>
      </c>
      <c r="D12" s="21">
        <f t="shared" si="4"/>
        <v>8214</v>
      </c>
      <c r="E12" s="16">
        <f t="shared" si="5"/>
        <v>3015.5</v>
      </c>
      <c r="F12" s="21">
        <v>1747.9</v>
      </c>
      <c r="G12" s="21">
        <v>1267.5999999999999</v>
      </c>
      <c r="H12" s="22">
        <v>1453.4</v>
      </c>
      <c r="I12" s="19">
        <v>3745.1</v>
      </c>
      <c r="J12" s="19">
        <v>2942</v>
      </c>
      <c r="K12" s="17">
        <f t="shared" si="1"/>
        <v>97.562593268114739</v>
      </c>
      <c r="L12" s="19">
        <f t="shared" si="2"/>
        <v>35.816897979060144</v>
      </c>
      <c r="M12" s="19">
        <f t="shared" si="3"/>
        <v>35.816897979060144</v>
      </c>
    </row>
    <row r="13" spans="1:13" ht="14.25" customHeight="1" x14ac:dyDescent="0.25">
      <c r="A13" s="14" t="s">
        <v>27</v>
      </c>
      <c r="B13" s="20" t="s">
        <v>28</v>
      </c>
      <c r="C13" s="21">
        <v>3355</v>
      </c>
      <c r="D13" s="21">
        <f t="shared" si="4"/>
        <v>3350</v>
      </c>
      <c r="E13" s="16">
        <f t="shared" si="5"/>
        <v>1764.8</v>
      </c>
      <c r="F13" s="21">
        <v>1108.5</v>
      </c>
      <c r="G13" s="21">
        <v>656.3</v>
      </c>
      <c r="H13" s="22">
        <v>745.2</v>
      </c>
      <c r="I13" s="19">
        <v>840</v>
      </c>
      <c r="J13" s="19">
        <v>1602.9</v>
      </c>
      <c r="K13" s="17">
        <f t="shared" si="1"/>
        <v>90.826155938349956</v>
      </c>
      <c r="L13" s="19">
        <f t="shared" si="2"/>
        <v>47.84776119402985</v>
      </c>
      <c r="M13" s="19">
        <f t="shared" si="3"/>
        <v>47.77645305514158</v>
      </c>
    </row>
    <row r="14" spans="1:13" ht="42" customHeight="1" x14ac:dyDescent="0.25">
      <c r="A14" s="14" t="s">
        <v>29</v>
      </c>
      <c r="B14" s="20" t="s">
        <v>30</v>
      </c>
      <c r="C14" s="21"/>
      <c r="D14" s="21">
        <f t="shared" si="4"/>
        <v>0</v>
      </c>
      <c r="E14" s="16">
        <f t="shared" si="5"/>
        <v>0</v>
      </c>
      <c r="F14" s="21"/>
      <c r="G14" s="21"/>
      <c r="H14" s="22"/>
      <c r="I14" s="19"/>
      <c r="J14" s="19"/>
      <c r="K14" s="17"/>
      <c r="L14" s="19"/>
      <c r="M14" s="19" t="e">
        <f t="shared" si="3"/>
        <v>#DIV/0!</v>
      </c>
    </row>
    <row r="15" spans="1:13" ht="41.25" customHeight="1" x14ac:dyDescent="0.25">
      <c r="A15" s="23" t="s">
        <v>31</v>
      </c>
      <c r="B15" s="20" t="s">
        <v>32</v>
      </c>
      <c r="C15" s="21">
        <v>104873.1</v>
      </c>
      <c r="D15" s="21">
        <f t="shared" si="4"/>
        <v>104622.2</v>
      </c>
      <c r="E15" s="16">
        <f t="shared" si="5"/>
        <v>49514.3</v>
      </c>
      <c r="F15" s="21">
        <v>23512.3</v>
      </c>
      <c r="G15" s="21">
        <v>26002</v>
      </c>
      <c r="H15" s="22">
        <v>26446.6</v>
      </c>
      <c r="I15" s="19">
        <v>28661.3</v>
      </c>
      <c r="J15" s="19">
        <v>29367.9</v>
      </c>
      <c r="K15" s="17">
        <f t="shared" ref="K15:K20" si="6">J15*100/E15</f>
        <v>59.311956343924884</v>
      </c>
      <c r="L15" s="19">
        <f t="shared" ref="L15:L20" si="7">J15*100/D15</f>
        <v>28.070428647074905</v>
      </c>
      <c r="M15" s="19">
        <f t="shared" si="3"/>
        <v>28.00327252651061</v>
      </c>
    </row>
    <row r="16" spans="1:13" ht="28.5" customHeight="1" x14ac:dyDescent="0.25">
      <c r="A16" s="24" t="s">
        <v>33</v>
      </c>
      <c r="B16" s="20" t="s">
        <v>34</v>
      </c>
      <c r="C16" s="21">
        <v>9593.1</v>
      </c>
      <c r="D16" s="21">
        <f t="shared" si="4"/>
        <v>17317.599999999999</v>
      </c>
      <c r="E16" s="16">
        <f t="shared" si="5"/>
        <v>17317.599999999999</v>
      </c>
      <c r="F16" s="21">
        <v>10874.1</v>
      </c>
      <c r="G16" s="21">
        <v>6443.5</v>
      </c>
      <c r="H16" s="22"/>
      <c r="I16" s="19"/>
      <c r="J16" s="19">
        <v>17408.3</v>
      </c>
      <c r="K16" s="17">
        <f t="shared" si="6"/>
        <v>100.52374462974085</v>
      </c>
      <c r="L16" s="19">
        <f t="shared" si="7"/>
        <v>100.52374462974085</v>
      </c>
      <c r="M16" s="19">
        <f t="shared" si="3"/>
        <v>181.46688765883812</v>
      </c>
    </row>
    <row r="17" spans="1:13" ht="27.75" customHeight="1" x14ac:dyDescent="0.25">
      <c r="A17" s="25" t="s">
        <v>35</v>
      </c>
      <c r="B17" s="20" t="s">
        <v>36</v>
      </c>
      <c r="C17" s="21">
        <v>15967.8</v>
      </c>
      <c r="D17" s="21">
        <f t="shared" si="4"/>
        <v>15967.8</v>
      </c>
      <c r="E17" s="16">
        <f t="shared" si="5"/>
        <v>7527.6</v>
      </c>
      <c r="F17" s="21">
        <v>5313.2</v>
      </c>
      <c r="G17" s="21">
        <v>2214.4</v>
      </c>
      <c r="H17" s="22">
        <v>1913.9</v>
      </c>
      <c r="I17" s="19">
        <v>6526.3</v>
      </c>
      <c r="J17" s="19">
        <v>7325.1</v>
      </c>
      <c r="K17" s="17">
        <f t="shared" si="6"/>
        <v>97.309899569583933</v>
      </c>
      <c r="L17" s="19">
        <f t="shared" si="7"/>
        <v>45.874196821102473</v>
      </c>
      <c r="M17" s="19">
        <f t="shared" si="3"/>
        <v>45.874196821102473</v>
      </c>
    </row>
    <row r="18" spans="1:13" ht="27.75" customHeight="1" x14ac:dyDescent="0.25">
      <c r="A18" s="25" t="s">
        <v>37</v>
      </c>
      <c r="B18" s="20" t="s">
        <v>38</v>
      </c>
      <c r="C18" s="21">
        <v>12538</v>
      </c>
      <c r="D18" s="21">
        <f t="shared" si="4"/>
        <v>15433</v>
      </c>
      <c r="E18" s="16">
        <f t="shared" si="5"/>
        <v>9211.2000000000007</v>
      </c>
      <c r="F18" s="21">
        <v>4516.7</v>
      </c>
      <c r="G18" s="21">
        <v>4694.5</v>
      </c>
      <c r="H18" s="22">
        <v>2674.4</v>
      </c>
      <c r="I18" s="19">
        <v>3547.4</v>
      </c>
      <c r="J18" s="19">
        <v>6298.6</v>
      </c>
      <c r="K18" s="17">
        <f t="shared" si="6"/>
        <v>68.379798506166395</v>
      </c>
      <c r="L18" s="19">
        <f t="shared" si="7"/>
        <v>40.812544547398431</v>
      </c>
      <c r="M18" s="19">
        <f t="shared" si="3"/>
        <v>50.236082309778276</v>
      </c>
    </row>
    <row r="19" spans="1:13" ht="18.75" customHeight="1" x14ac:dyDescent="0.25">
      <c r="A19" s="25" t="s">
        <v>39</v>
      </c>
      <c r="B19" s="20" t="s">
        <v>40</v>
      </c>
      <c r="C19" s="21">
        <v>6</v>
      </c>
      <c r="D19" s="21">
        <f t="shared" si="4"/>
        <v>4.5999999999999996</v>
      </c>
      <c r="E19" s="16">
        <f t="shared" si="5"/>
        <v>2.6</v>
      </c>
      <c r="F19" s="21">
        <v>2.6</v>
      </c>
      <c r="G19" s="21"/>
      <c r="H19" s="22">
        <v>2</v>
      </c>
      <c r="I19" s="19"/>
      <c r="J19" s="19">
        <v>11.6</v>
      </c>
      <c r="K19" s="17">
        <f t="shared" si="6"/>
        <v>446.15384615384613</v>
      </c>
      <c r="L19" s="19">
        <f t="shared" si="7"/>
        <v>252.17391304347828</v>
      </c>
      <c r="M19" s="19">
        <f t="shared" si="3"/>
        <v>193.33333333333334</v>
      </c>
    </row>
    <row r="20" spans="1:13" ht="18.75" customHeight="1" x14ac:dyDescent="0.25">
      <c r="A20" s="26" t="s">
        <v>41</v>
      </c>
      <c r="B20" s="20" t="s">
        <v>42</v>
      </c>
      <c r="C20" s="21">
        <v>0</v>
      </c>
      <c r="D20" s="21">
        <f t="shared" si="4"/>
        <v>6508</v>
      </c>
      <c r="E20" s="16">
        <f t="shared" si="5"/>
        <v>6041</v>
      </c>
      <c r="F20" s="21">
        <v>3267.2</v>
      </c>
      <c r="G20" s="21">
        <v>2773.8</v>
      </c>
      <c r="H20" s="22">
        <v>8.6</v>
      </c>
      <c r="I20" s="19">
        <v>458.4</v>
      </c>
      <c r="J20" s="19">
        <v>16766.400000000001</v>
      </c>
      <c r="K20" s="17">
        <f t="shared" si="6"/>
        <v>277.54345307068371</v>
      </c>
      <c r="L20" s="19">
        <f t="shared" si="7"/>
        <v>257.62753534111869</v>
      </c>
      <c r="M20" s="19"/>
    </row>
    <row r="21" spans="1:13" ht="17.25" customHeight="1" x14ac:dyDescent="0.25">
      <c r="A21" s="27" t="s">
        <v>43</v>
      </c>
      <c r="B21" s="28" t="s">
        <v>44</v>
      </c>
      <c r="C21" s="21">
        <v>0</v>
      </c>
      <c r="D21" s="21">
        <f t="shared" si="4"/>
        <v>0</v>
      </c>
      <c r="E21" s="16">
        <f t="shared" si="5"/>
        <v>0</v>
      </c>
      <c r="F21" s="21"/>
      <c r="G21" s="21"/>
      <c r="H21" s="22"/>
      <c r="I21" s="19"/>
      <c r="J21" s="19">
        <v>1.5</v>
      </c>
      <c r="K21" s="17"/>
      <c r="L21" s="19"/>
      <c r="M21" s="19"/>
    </row>
    <row r="22" spans="1:13" ht="16.5" customHeight="1" x14ac:dyDescent="0.25">
      <c r="A22" s="29" t="s">
        <v>45</v>
      </c>
      <c r="B22" s="30" t="s">
        <v>46</v>
      </c>
      <c r="C22" s="31">
        <f t="shared" ref="C22:I22" si="8">C23+C24+C26+C25</f>
        <v>3321098.9</v>
      </c>
      <c r="D22" s="31">
        <f>D23+D24+D26+D25</f>
        <v>3557961.8</v>
      </c>
      <c r="E22" s="31">
        <f t="shared" si="8"/>
        <v>1962681.5999999999</v>
      </c>
      <c r="F22" s="31">
        <f t="shared" si="8"/>
        <v>1064843.0999999999</v>
      </c>
      <c r="G22" s="31">
        <f t="shared" si="8"/>
        <v>897838.5</v>
      </c>
      <c r="H22" s="31">
        <f t="shared" si="8"/>
        <v>807258.1</v>
      </c>
      <c r="I22" s="31">
        <f t="shared" si="8"/>
        <v>788022.1</v>
      </c>
      <c r="J22" s="31">
        <f>J23+J24+J26+J25</f>
        <v>1339469.5999999999</v>
      </c>
      <c r="K22" s="32">
        <f t="shared" ref="K22:K27" si="9">J22*100/E22</f>
        <v>68.246912795228724</v>
      </c>
      <c r="L22" s="13">
        <f t="shared" ref="L22:L27" si="10">J22*100/D22</f>
        <v>37.647104586676562</v>
      </c>
      <c r="M22" s="13">
        <f>J22*100/C22</f>
        <v>40.332120190699527</v>
      </c>
    </row>
    <row r="23" spans="1:13" ht="37.5" customHeight="1" x14ac:dyDescent="0.25">
      <c r="A23" s="33" t="s">
        <v>47</v>
      </c>
      <c r="B23" s="34" t="s">
        <v>48</v>
      </c>
      <c r="C23" s="35">
        <v>3321098.9</v>
      </c>
      <c r="D23" s="21">
        <f>F23+G23+H23+I23</f>
        <v>3533905.6</v>
      </c>
      <c r="E23" s="16">
        <f>F23+G23</f>
        <v>1962425.4</v>
      </c>
      <c r="F23" s="21">
        <v>1065792.3999999999</v>
      </c>
      <c r="G23" s="21">
        <v>896633</v>
      </c>
      <c r="H23" s="19">
        <v>785958.1</v>
      </c>
      <c r="I23" s="19">
        <f>785489.1+33</f>
        <v>785522.1</v>
      </c>
      <c r="J23" s="19">
        <v>1339213.3999999999</v>
      </c>
      <c r="K23" s="17">
        <f t="shared" si="9"/>
        <v>68.242767342901288</v>
      </c>
      <c r="L23" s="19">
        <f t="shared" si="10"/>
        <v>37.896128294994632</v>
      </c>
      <c r="M23" s="19">
        <f>J23*100/C23</f>
        <v>40.324405876621135</v>
      </c>
    </row>
    <row r="24" spans="1:13" x14ac:dyDescent="0.25">
      <c r="A24" s="33" t="s">
        <v>49</v>
      </c>
      <c r="B24" s="36" t="s">
        <v>50</v>
      </c>
      <c r="C24" s="37">
        <v>0</v>
      </c>
      <c r="D24" s="21">
        <f>F24+G24+H24+I24</f>
        <v>27929.9</v>
      </c>
      <c r="E24" s="16">
        <f>F24+G24</f>
        <v>4129.8999999999996</v>
      </c>
      <c r="F24" s="37">
        <v>2924.4</v>
      </c>
      <c r="G24" s="37">
        <v>1205.5</v>
      </c>
      <c r="H24" s="19">
        <v>21300</v>
      </c>
      <c r="I24" s="19">
        <v>2500</v>
      </c>
      <c r="J24" s="19">
        <v>4129.8999999999996</v>
      </c>
      <c r="K24" s="17">
        <f t="shared" si="9"/>
        <v>100</v>
      </c>
      <c r="L24" s="19">
        <f t="shared" si="10"/>
        <v>14.786662322457293</v>
      </c>
      <c r="M24" s="19"/>
    </row>
    <row r="25" spans="1:13" ht="74.25" customHeight="1" x14ac:dyDescent="0.25">
      <c r="A25" s="33" t="s">
        <v>51</v>
      </c>
      <c r="B25" s="28" t="s">
        <v>52</v>
      </c>
      <c r="C25" s="21">
        <v>0</v>
      </c>
      <c r="D25" s="21">
        <f>F25+G25+H25+I25</f>
        <v>0</v>
      </c>
      <c r="E25" s="16">
        <f>F25+G25</f>
        <v>0</v>
      </c>
      <c r="F25" s="21"/>
      <c r="G25" s="21"/>
      <c r="H25" s="19"/>
      <c r="I25" s="19"/>
      <c r="J25" s="19"/>
      <c r="K25" s="17" t="e">
        <f t="shared" si="9"/>
        <v>#DIV/0!</v>
      </c>
      <c r="L25" s="19" t="e">
        <f t="shared" si="10"/>
        <v>#DIV/0!</v>
      </c>
      <c r="M25" s="19"/>
    </row>
    <row r="26" spans="1:13" ht="39.75" customHeight="1" x14ac:dyDescent="0.25">
      <c r="A26" s="33" t="s">
        <v>53</v>
      </c>
      <c r="B26" s="38" t="s">
        <v>54</v>
      </c>
      <c r="C26" s="39">
        <v>0</v>
      </c>
      <c r="D26" s="21">
        <f>F26+G26+H26+I26</f>
        <v>-3873.7</v>
      </c>
      <c r="E26" s="16">
        <f>F26+G26</f>
        <v>-3873.7</v>
      </c>
      <c r="F26" s="39">
        <v>-3873.7</v>
      </c>
      <c r="G26" s="39"/>
      <c r="H26" s="19"/>
      <c r="I26" s="19"/>
      <c r="J26" s="19">
        <v>-3873.7</v>
      </c>
      <c r="K26" s="17">
        <f t="shared" si="9"/>
        <v>100</v>
      </c>
      <c r="L26" s="19">
        <f t="shared" si="10"/>
        <v>100</v>
      </c>
      <c r="M26" s="19"/>
    </row>
    <row r="27" spans="1:13" ht="18" customHeight="1" x14ac:dyDescent="0.25">
      <c r="A27" s="26"/>
      <c r="B27" s="40" t="s">
        <v>55</v>
      </c>
      <c r="C27" s="13">
        <f t="shared" ref="C27:J27" si="11">C22+C8</f>
        <v>4193978.3</v>
      </c>
      <c r="D27" s="13">
        <f t="shared" si="11"/>
        <v>4447711.3999999994</v>
      </c>
      <c r="E27" s="13">
        <f t="shared" si="11"/>
        <v>2425611.5999999996</v>
      </c>
      <c r="F27" s="13">
        <f t="shared" si="11"/>
        <v>1293430.5999999999</v>
      </c>
      <c r="G27" s="13">
        <f t="shared" si="11"/>
        <v>1132181</v>
      </c>
      <c r="H27" s="13">
        <f t="shared" si="11"/>
        <v>995162.4</v>
      </c>
      <c r="I27" s="13">
        <f t="shared" si="11"/>
        <v>1026937.3999999999</v>
      </c>
      <c r="J27" s="13">
        <f t="shared" si="11"/>
        <v>1709429.9</v>
      </c>
      <c r="K27" s="32">
        <f t="shared" si="9"/>
        <v>70.474180614901428</v>
      </c>
      <c r="L27" s="13">
        <f t="shared" si="10"/>
        <v>38.433921319625192</v>
      </c>
      <c r="M27" s="13">
        <f>J27*100/C27</f>
        <v>40.759149850632276</v>
      </c>
    </row>
    <row r="28" spans="1:13" x14ac:dyDescent="0.25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32"/>
      <c r="L28" s="13"/>
      <c r="M28" s="19"/>
    </row>
    <row r="29" spans="1:13" x14ac:dyDescent="0.25">
      <c r="A29" s="143" t="s">
        <v>56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5"/>
    </row>
    <row r="30" spans="1:13" ht="17.25" customHeight="1" x14ac:dyDescent="0.25">
      <c r="A30" s="29" t="s">
        <v>17</v>
      </c>
      <c r="B30" s="42" t="s">
        <v>18</v>
      </c>
      <c r="C30" s="32">
        <f t="shared" ref="C30:I30" si="12">C31+C33+C35+C37+C34+C36+C39+C32</f>
        <v>18956.600000000002</v>
      </c>
      <c r="D30" s="32">
        <f t="shared" si="12"/>
        <v>18956.600000000002</v>
      </c>
      <c r="E30" s="32">
        <f t="shared" si="12"/>
        <v>9478.2999999999993</v>
      </c>
      <c r="F30" s="32">
        <f t="shared" si="12"/>
        <v>4739.0999999999995</v>
      </c>
      <c r="G30" s="32">
        <f t="shared" si="12"/>
        <v>4739.2</v>
      </c>
      <c r="H30" s="32">
        <f t="shared" si="12"/>
        <v>4739.0999999999995</v>
      </c>
      <c r="I30" s="32">
        <f t="shared" si="12"/>
        <v>4739.2</v>
      </c>
      <c r="J30" s="32">
        <f>J31+J33+J35+J37+J34+J36+J39+J32+J38+0.1</f>
        <v>8101.4000000000015</v>
      </c>
      <c r="K30" s="32">
        <f t="shared" ref="K30:K35" si="13">J30*100/E30</f>
        <v>85.473133367798042</v>
      </c>
      <c r="L30" s="13">
        <f t="shared" ref="L30:L35" si="14">J30*100/D30</f>
        <v>42.736566683899014</v>
      </c>
      <c r="M30" s="13">
        <f t="shared" ref="M30:M35" si="15">J30*100/C30</f>
        <v>42.736566683899014</v>
      </c>
    </row>
    <row r="31" spans="1:13" ht="18" customHeight="1" x14ac:dyDescent="0.25">
      <c r="A31" s="14" t="s">
        <v>19</v>
      </c>
      <c r="B31" s="15" t="s">
        <v>20</v>
      </c>
      <c r="C31" s="16">
        <v>14500</v>
      </c>
      <c r="D31" s="21">
        <f t="shared" ref="D31:D37" si="16">F31+G31+H31+I31</f>
        <v>14500</v>
      </c>
      <c r="E31" s="16">
        <f t="shared" ref="E31:E39" si="17">F31+G31</f>
        <v>7250</v>
      </c>
      <c r="F31" s="16">
        <v>3625</v>
      </c>
      <c r="G31" s="16">
        <v>3625</v>
      </c>
      <c r="H31" s="22">
        <v>3625</v>
      </c>
      <c r="I31" s="19">
        <v>3625</v>
      </c>
      <c r="J31" s="18">
        <v>6454.6</v>
      </c>
      <c r="K31" s="17">
        <f t="shared" si="13"/>
        <v>89.028965517241375</v>
      </c>
      <c r="L31" s="19">
        <f t="shared" si="14"/>
        <v>44.514482758620687</v>
      </c>
      <c r="M31" s="19">
        <f t="shared" si="15"/>
        <v>44.514482758620687</v>
      </c>
    </row>
    <row r="32" spans="1:13" ht="39" customHeight="1" x14ac:dyDescent="0.25">
      <c r="A32" s="14" t="s">
        <v>21</v>
      </c>
      <c r="B32" s="20" t="s">
        <v>22</v>
      </c>
      <c r="C32" s="21">
        <v>1652.9</v>
      </c>
      <c r="D32" s="21">
        <f t="shared" si="16"/>
        <v>1652.9</v>
      </c>
      <c r="E32" s="16">
        <f t="shared" si="17"/>
        <v>826.5</v>
      </c>
      <c r="F32" s="16">
        <v>413.2</v>
      </c>
      <c r="G32" s="16">
        <v>413.3</v>
      </c>
      <c r="H32" s="22">
        <v>413.2</v>
      </c>
      <c r="I32" s="19">
        <v>413.2</v>
      </c>
      <c r="J32" s="18">
        <v>630.5</v>
      </c>
      <c r="K32" s="17">
        <f t="shared" si="13"/>
        <v>76.285541439806408</v>
      </c>
      <c r="L32" s="19">
        <f t="shared" si="14"/>
        <v>38.145078347147432</v>
      </c>
      <c r="M32" s="19">
        <f t="shared" si="15"/>
        <v>38.145078347147432</v>
      </c>
    </row>
    <row r="33" spans="1:13" ht="15" customHeight="1" x14ac:dyDescent="0.25">
      <c r="A33" s="14" t="s">
        <v>25</v>
      </c>
      <c r="B33" s="20" t="s">
        <v>26</v>
      </c>
      <c r="C33" s="21">
        <v>956.5</v>
      </c>
      <c r="D33" s="21">
        <f t="shared" si="16"/>
        <v>956.5</v>
      </c>
      <c r="E33" s="16">
        <f t="shared" si="17"/>
        <v>478.2</v>
      </c>
      <c r="F33" s="21">
        <v>239.1</v>
      </c>
      <c r="G33" s="21">
        <v>239.1</v>
      </c>
      <c r="H33" s="22">
        <v>239.1</v>
      </c>
      <c r="I33" s="19">
        <v>239.2</v>
      </c>
      <c r="J33" s="19">
        <v>399.3</v>
      </c>
      <c r="K33" s="17">
        <f t="shared" si="13"/>
        <v>83.500627352572153</v>
      </c>
      <c r="L33" s="19">
        <f t="shared" si="14"/>
        <v>41.745948771562993</v>
      </c>
      <c r="M33" s="19">
        <f t="shared" si="15"/>
        <v>41.745948771562993</v>
      </c>
    </row>
    <row r="34" spans="1:13" ht="16.5" customHeight="1" x14ac:dyDescent="0.25">
      <c r="A34" s="14" t="s">
        <v>27</v>
      </c>
      <c r="B34" s="20" t="s">
        <v>28</v>
      </c>
      <c r="C34" s="21">
        <v>12</v>
      </c>
      <c r="D34" s="21">
        <f t="shared" si="16"/>
        <v>12</v>
      </c>
      <c r="E34" s="16">
        <f t="shared" si="17"/>
        <v>6</v>
      </c>
      <c r="F34" s="21">
        <v>3</v>
      </c>
      <c r="G34" s="21">
        <v>3</v>
      </c>
      <c r="H34" s="22">
        <v>3</v>
      </c>
      <c r="I34" s="19">
        <v>3</v>
      </c>
      <c r="J34" s="19">
        <v>4.3</v>
      </c>
      <c r="K34" s="17">
        <f t="shared" si="13"/>
        <v>71.666666666666671</v>
      </c>
      <c r="L34" s="19">
        <f t="shared" si="14"/>
        <v>35.833333333333336</v>
      </c>
      <c r="M34" s="19">
        <f t="shared" si="15"/>
        <v>35.833333333333336</v>
      </c>
    </row>
    <row r="35" spans="1:13" ht="39.75" customHeight="1" x14ac:dyDescent="0.25">
      <c r="A35" s="23" t="s">
        <v>31</v>
      </c>
      <c r="B35" s="20" t="s">
        <v>32</v>
      </c>
      <c r="C35" s="21">
        <v>1735.2</v>
      </c>
      <c r="D35" s="21">
        <f t="shared" si="16"/>
        <v>1735.2</v>
      </c>
      <c r="E35" s="16">
        <f t="shared" si="17"/>
        <v>867.6</v>
      </c>
      <c r="F35" s="21">
        <v>433.8</v>
      </c>
      <c r="G35" s="21">
        <v>433.8</v>
      </c>
      <c r="H35" s="22">
        <v>433.8</v>
      </c>
      <c r="I35" s="19">
        <v>433.8</v>
      </c>
      <c r="J35" s="19">
        <v>322.10000000000002</v>
      </c>
      <c r="K35" s="17">
        <f t="shared" si="13"/>
        <v>37.125403411710472</v>
      </c>
      <c r="L35" s="19">
        <f t="shared" si="14"/>
        <v>18.562701705855236</v>
      </c>
      <c r="M35" s="19">
        <f t="shared" si="15"/>
        <v>18.562701705855236</v>
      </c>
    </row>
    <row r="36" spans="1:13" ht="29.25" customHeight="1" x14ac:dyDescent="0.25">
      <c r="A36" s="25" t="s">
        <v>35</v>
      </c>
      <c r="B36" s="20" t="s">
        <v>36</v>
      </c>
      <c r="C36" s="21"/>
      <c r="D36" s="21">
        <f t="shared" si="16"/>
        <v>0</v>
      </c>
      <c r="E36" s="16">
        <f t="shared" si="17"/>
        <v>0</v>
      </c>
      <c r="F36" s="21"/>
      <c r="G36" s="21"/>
      <c r="H36" s="22"/>
      <c r="I36" s="19"/>
      <c r="J36" s="19">
        <v>287</v>
      </c>
      <c r="K36" s="17"/>
      <c r="L36" s="19"/>
      <c r="M36" s="19"/>
    </row>
    <row r="37" spans="1:13" ht="28.5" customHeight="1" x14ac:dyDescent="0.25">
      <c r="A37" s="24" t="s">
        <v>37</v>
      </c>
      <c r="B37" s="20" t="s">
        <v>38</v>
      </c>
      <c r="C37" s="21">
        <v>100</v>
      </c>
      <c r="D37" s="21">
        <f t="shared" si="16"/>
        <v>100</v>
      </c>
      <c r="E37" s="16">
        <f t="shared" si="17"/>
        <v>50</v>
      </c>
      <c r="F37" s="21">
        <v>25</v>
      </c>
      <c r="G37" s="21">
        <v>25</v>
      </c>
      <c r="H37" s="22">
        <v>25</v>
      </c>
      <c r="I37" s="19">
        <v>25</v>
      </c>
      <c r="J37" s="19">
        <v>3.5</v>
      </c>
      <c r="K37" s="17">
        <f>J37*100/E37</f>
        <v>7</v>
      </c>
      <c r="L37" s="19">
        <f>J37*100/D37</f>
        <v>3.5</v>
      </c>
      <c r="M37" s="19">
        <f>J37*100/C37</f>
        <v>3.5</v>
      </c>
    </row>
    <row r="38" spans="1:13" ht="17.25" customHeight="1" x14ac:dyDescent="0.25">
      <c r="A38" s="26" t="s">
        <v>41</v>
      </c>
      <c r="B38" s="20" t="s">
        <v>42</v>
      </c>
      <c r="C38" s="43"/>
      <c r="D38" s="21"/>
      <c r="E38" s="16">
        <f t="shared" si="17"/>
        <v>0</v>
      </c>
      <c r="F38" s="21"/>
      <c r="G38" s="21"/>
      <c r="H38" s="22"/>
      <c r="I38" s="19"/>
      <c r="J38" s="19"/>
      <c r="K38" s="17"/>
      <c r="L38" s="19"/>
      <c r="M38" s="19"/>
    </row>
    <row r="39" spans="1:13" ht="17.25" customHeight="1" x14ac:dyDescent="0.25">
      <c r="A39" s="27" t="s">
        <v>43</v>
      </c>
      <c r="B39" s="28" t="s">
        <v>44</v>
      </c>
      <c r="C39" s="43"/>
      <c r="D39" s="20"/>
      <c r="E39" s="16">
        <f t="shared" si="17"/>
        <v>0</v>
      </c>
      <c r="F39" s="21"/>
      <c r="G39" s="21"/>
      <c r="H39" s="22"/>
      <c r="I39" s="19"/>
      <c r="J39" s="19">
        <v>0</v>
      </c>
      <c r="K39" s="32"/>
      <c r="L39" s="13"/>
      <c r="M39" s="19"/>
    </row>
    <row r="40" spans="1:13" ht="16.5" customHeight="1" x14ac:dyDescent="0.25">
      <c r="A40" s="29" t="s">
        <v>45</v>
      </c>
      <c r="B40" s="30" t="s">
        <v>46</v>
      </c>
      <c r="C40" s="31">
        <f>C41+C42</f>
        <v>13568.4</v>
      </c>
      <c r="D40" s="31">
        <f>D41+D42</f>
        <v>22827.3</v>
      </c>
      <c r="E40" s="31">
        <f t="shared" ref="E40:J40" si="18">E41+E42</f>
        <v>16043.1</v>
      </c>
      <c r="F40" s="31">
        <f t="shared" si="18"/>
        <v>6660</v>
      </c>
      <c r="G40" s="31">
        <f t="shared" si="18"/>
        <v>9383.1</v>
      </c>
      <c r="H40" s="31">
        <f t="shared" si="18"/>
        <v>3392.1</v>
      </c>
      <c r="I40" s="31">
        <f t="shared" si="18"/>
        <v>3392.1</v>
      </c>
      <c r="J40" s="31">
        <f t="shared" si="18"/>
        <v>8461.6</v>
      </c>
      <c r="K40" s="32">
        <f>J40*100/E40</f>
        <v>52.742923749150727</v>
      </c>
      <c r="L40" s="13">
        <f>J40*100/D40</f>
        <v>37.067896772723891</v>
      </c>
      <c r="M40" s="13">
        <f>J40*100/C40</f>
        <v>62.362548273930607</v>
      </c>
    </row>
    <row r="41" spans="1:13" ht="38.25" customHeight="1" x14ac:dyDescent="0.25">
      <c r="A41" s="33" t="s">
        <v>47</v>
      </c>
      <c r="B41" s="34" t="s">
        <v>48</v>
      </c>
      <c r="C41" s="35">
        <v>13568.4</v>
      </c>
      <c r="D41" s="21">
        <f>F41+G41+H41+I41</f>
        <v>22827.3</v>
      </c>
      <c r="E41" s="16">
        <f>F41+G41</f>
        <v>16043.1</v>
      </c>
      <c r="F41" s="35">
        <f>6585+75</f>
        <v>6660</v>
      </c>
      <c r="G41" s="35">
        <v>9383.1</v>
      </c>
      <c r="H41" s="22">
        <v>3392.1</v>
      </c>
      <c r="I41" s="35">
        <v>3392.1</v>
      </c>
      <c r="J41" s="19">
        <v>8461.6</v>
      </c>
      <c r="K41" s="17">
        <f>J41*100/E41</f>
        <v>52.742923749150727</v>
      </c>
      <c r="L41" s="19">
        <f>J41*100/D41</f>
        <v>37.067896772723891</v>
      </c>
      <c r="M41" s="19">
        <f>J41*100/C41</f>
        <v>62.362548273930607</v>
      </c>
    </row>
    <row r="42" spans="1:13" ht="40.5" customHeight="1" x14ac:dyDescent="0.25">
      <c r="A42" s="33" t="s">
        <v>53</v>
      </c>
      <c r="B42" s="38" t="s">
        <v>54</v>
      </c>
      <c r="C42" s="39">
        <v>0</v>
      </c>
      <c r="D42" s="21">
        <f>F42+G42+H42+I42</f>
        <v>0</v>
      </c>
      <c r="E42" s="16">
        <f>F42</f>
        <v>0</v>
      </c>
      <c r="F42" s="35"/>
      <c r="G42" s="35"/>
      <c r="H42" s="22"/>
      <c r="I42" s="35"/>
      <c r="J42" s="19"/>
      <c r="K42" s="17" t="e">
        <f>J42*100/E42</f>
        <v>#DIV/0!</v>
      </c>
      <c r="L42" s="19" t="e">
        <f>J42*100/D42</f>
        <v>#DIV/0!</v>
      </c>
      <c r="M42" s="19"/>
    </row>
    <row r="43" spans="1:13" ht="17.25" customHeight="1" x14ac:dyDescent="0.25">
      <c r="A43" s="26"/>
      <c r="B43" s="40" t="s">
        <v>55</v>
      </c>
      <c r="C43" s="13">
        <f t="shared" ref="C43:I43" si="19">C40+C30</f>
        <v>32525</v>
      </c>
      <c r="D43" s="13">
        <f t="shared" si="19"/>
        <v>41783.9</v>
      </c>
      <c r="E43" s="13">
        <f t="shared" si="19"/>
        <v>25521.4</v>
      </c>
      <c r="F43" s="13">
        <f t="shared" si="19"/>
        <v>11399.099999999999</v>
      </c>
      <c r="G43" s="13">
        <f t="shared" si="19"/>
        <v>14122.3</v>
      </c>
      <c r="H43" s="13">
        <f t="shared" si="19"/>
        <v>8131.1999999999989</v>
      </c>
      <c r="I43" s="13">
        <f t="shared" si="19"/>
        <v>8131.2999999999993</v>
      </c>
      <c r="J43" s="13">
        <f>J40+J30</f>
        <v>16563</v>
      </c>
      <c r="K43" s="32">
        <f>J43*100/E43</f>
        <v>64.898477356257885</v>
      </c>
      <c r="L43" s="13">
        <f>J43*100/D43</f>
        <v>39.63966982498043</v>
      </c>
      <c r="M43" s="13">
        <f>J43*100/C43</f>
        <v>50.923904688701001</v>
      </c>
    </row>
    <row r="44" spans="1:13" x14ac:dyDescent="0.25">
      <c r="A44" s="44"/>
      <c r="B44" s="153"/>
      <c r="C44" s="153"/>
      <c r="D44" s="153"/>
      <c r="E44" s="153"/>
      <c r="F44" s="153"/>
      <c r="G44" s="153"/>
      <c r="H44" s="153"/>
      <c r="I44" s="153"/>
      <c r="J44" s="153"/>
      <c r="K44" s="32"/>
      <c r="L44" s="13"/>
      <c r="M44" s="19"/>
    </row>
    <row r="45" spans="1:13" x14ac:dyDescent="0.25">
      <c r="A45" s="143" t="s">
        <v>57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5"/>
    </row>
    <row r="46" spans="1:13" ht="16.5" customHeight="1" x14ac:dyDescent="0.25">
      <c r="A46" s="29" t="s">
        <v>17</v>
      </c>
      <c r="B46" s="42" t="s">
        <v>18</v>
      </c>
      <c r="C46" s="32">
        <f t="shared" ref="C46:I46" si="20">C47+C50+C52+C54+C55+C56+C51+C49+C48+C53</f>
        <v>21958.699999999997</v>
      </c>
      <c r="D46" s="32">
        <f t="shared" si="20"/>
        <v>21958.699999999997</v>
      </c>
      <c r="E46" s="32">
        <f t="shared" si="20"/>
        <v>9777.7999999999993</v>
      </c>
      <c r="F46" s="32">
        <f t="shared" si="20"/>
        <v>4583.6000000000004</v>
      </c>
      <c r="G46" s="32">
        <f t="shared" si="20"/>
        <v>5194.2</v>
      </c>
      <c r="H46" s="32">
        <f t="shared" si="20"/>
        <v>4626.3999999999996</v>
      </c>
      <c r="I46" s="32">
        <f t="shared" si="20"/>
        <v>7554.5</v>
      </c>
      <c r="J46" s="32">
        <f>J47+J50+J52+J54+J55+J56+J51+J49+J48+J53+0.1</f>
        <v>8126.9000000000005</v>
      </c>
      <c r="K46" s="32">
        <f>J46*100/E46</f>
        <v>83.115833827650391</v>
      </c>
      <c r="L46" s="13">
        <f t="shared" ref="L46:L52" si="21">J46*100/D46</f>
        <v>37.009932281965696</v>
      </c>
      <c r="M46" s="13">
        <f t="shared" ref="M46:M52" si="22">J46*100/C46</f>
        <v>37.009932281965696</v>
      </c>
    </row>
    <row r="47" spans="1:13" ht="16.5" customHeight="1" x14ac:dyDescent="0.25">
      <c r="A47" s="26" t="s">
        <v>19</v>
      </c>
      <c r="B47" s="15" t="s">
        <v>20</v>
      </c>
      <c r="C47" s="16">
        <v>14200</v>
      </c>
      <c r="D47" s="21">
        <f t="shared" ref="D47:D52" si="23">F47+G47+H47+I47</f>
        <v>14200</v>
      </c>
      <c r="E47" s="16">
        <f t="shared" ref="E47:E56" si="24">F47+G47</f>
        <v>7157</v>
      </c>
      <c r="F47" s="21">
        <v>3213</v>
      </c>
      <c r="G47" s="21">
        <v>3944</v>
      </c>
      <c r="H47" s="22">
        <v>2923.5</v>
      </c>
      <c r="I47" s="19">
        <v>4119.5</v>
      </c>
      <c r="J47" s="18">
        <v>5353</v>
      </c>
      <c r="K47" s="17">
        <f>J47*100/E47</f>
        <v>74.793908062037161</v>
      </c>
      <c r="L47" s="19">
        <f t="shared" si="21"/>
        <v>37.697183098591552</v>
      </c>
      <c r="M47" s="19">
        <f t="shared" si="22"/>
        <v>37.697183098591552</v>
      </c>
    </row>
    <row r="48" spans="1:13" ht="40.5" customHeight="1" x14ac:dyDescent="0.25">
      <c r="A48" s="14" t="s">
        <v>21</v>
      </c>
      <c r="B48" s="20" t="s">
        <v>22</v>
      </c>
      <c r="C48" s="21">
        <v>3866.1</v>
      </c>
      <c r="D48" s="21">
        <f t="shared" si="23"/>
        <v>3866.1000000000004</v>
      </c>
      <c r="E48" s="16">
        <f t="shared" si="24"/>
        <v>1872.5</v>
      </c>
      <c r="F48" s="21">
        <v>959.6</v>
      </c>
      <c r="G48" s="21">
        <v>912.9</v>
      </c>
      <c r="H48" s="22">
        <v>1001.9</v>
      </c>
      <c r="I48" s="19">
        <v>991.7</v>
      </c>
      <c r="J48" s="18">
        <v>1474.9</v>
      </c>
      <c r="K48" s="17">
        <f>J48*100/E48</f>
        <v>78.766355140186917</v>
      </c>
      <c r="L48" s="19">
        <f t="shared" si="21"/>
        <v>38.149556400506967</v>
      </c>
      <c r="M48" s="19">
        <f t="shared" si="22"/>
        <v>38.149556400506974</v>
      </c>
    </row>
    <row r="49" spans="1:13" ht="18.75" customHeight="1" x14ac:dyDescent="0.25">
      <c r="A49" s="14" t="s">
        <v>23</v>
      </c>
      <c r="B49" s="20" t="s">
        <v>24</v>
      </c>
      <c r="C49" s="21">
        <v>16</v>
      </c>
      <c r="D49" s="21">
        <f t="shared" si="23"/>
        <v>16</v>
      </c>
      <c r="E49" s="16">
        <f t="shared" si="24"/>
        <v>16</v>
      </c>
      <c r="F49" s="21"/>
      <c r="G49" s="21">
        <v>16</v>
      </c>
      <c r="H49" s="22"/>
      <c r="I49" s="19"/>
      <c r="J49" s="18">
        <v>25.1</v>
      </c>
      <c r="K49" s="17"/>
      <c r="L49" s="19">
        <f t="shared" si="21"/>
        <v>156.875</v>
      </c>
      <c r="M49" s="19">
        <f t="shared" si="22"/>
        <v>156.875</v>
      </c>
    </row>
    <row r="50" spans="1:13" ht="16.5" customHeight="1" x14ac:dyDescent="0.25">
      <c r="A50" s="14" t="s">
        <v>25</v>
      </c>
      <c r="B50" s="20" t="s">
        <v>26</v>
      </c>
      <c r="C50" s="21">
        <v>3028.5</v>
      </c>
      <c r="D50" s="21">
        <f t="shared" si="23"/>
        <v>3028.5</v>
      </c>
      <c r="E50" s="16">
        <f t="shared" si="24"/>
        <v>543</v>
      </c>
      <c r="F50" s="21">
        <v>316</v>
      </c>
      <c r="G50" s="21">
        <v>227</v>
      </c>
      <c r="H50" s="22">
        <v>408</v>
      </c>
      <c r="I50" s="19">
        <v>2077.5</v>
      </c>
      <c r="J50" s="19">
        <v>854.5</v>
      </c>
      <c r="K50" s="17">
        <f>J50*100/E50</f>
        <v>157.36648250460405</v>
      </c>
      <c r="L50" s="19">
        <f t="shared" si="21"/>
        <v>28.215288096417368</v>
      </c>
      <c r="M50" s="19">
        <f t="shared" si="22"/>
        <v>28.215288096417368</v>
      </c>
    </row>
    <row r="51" spans="1:13" ht="15.75" customHeight="1" x14ac:dyDescent="0.25">
      <c r="A51" s="14" t="s">
        <v>27</v>
      </c>
      <c r="B51" s="20" t="s">
        <v>28</v>
      </c>
      <c r="C51" s="21"/>
      <c r="D51" s="21">
        <f t="shared" si="23"/>
        <v>0</v>
      </c>
      <c r="E51" s="16">
        <f t="shared" si="24"/>
        <v>0</v>
      </c>
      <c r="F51" s="21"/>
      <c r="G51" s="21"/>
      <c r="H51" s="22"/>
      <c r="I51" s="19"/>
      <c r="J51" s="19"/>
      <c r="K51" s="17" t="e">
        <f>J51*100/E51</f>
        <v>#DIV/0!</v>
      </c>
      <c r="L51" s="19" t="e">
        <f t="shared" si="21"/>
        <v>#DIV/0!</v>
      </c>
      <c r="M51" s="19" t="e">
        <f t="shared" si="22"/>
        <v>#DIV/0!</v>
      </c>
    </row>
    <row r="52" spans="1:13" ht="39.75" customHeight="1" x14ac:dyDescent="0.25">
      <c r="A52" s="23" t="s">
        <v>31</v>
      </c>
      <c r="B52" s="20" t="s">
        <v>32</v>
      </c>
      <c r="C52" s="21">
        <v>698.1</v>
      </c>
      <c r="D52" s="21">
        <f t="shared" si="23"/>
        <v>698.1</v>
      </c>
      <c r="E52" s="16">
        <f t="shared" si="24"/>
        <v>148.80000000000001</v>
      </c>
      <c r="F52" s="21">
        <v>66</v>
      </c>
      <c r="G52" s="21">
        <v>82.8</v>
      </c>
      <c r="H52" s="22">
        <v>204</v>
      </c>
      <c r="I52" s="19">
        <v>345.3</v>
      </c>
      <c r="J52" s="19">
        <v>278.89999999999998</v>
      </c>
      <c r="K52" s="17">
        <f>J52*100/E52</f>
        <v>187.43279569892468</v>
      </c>
      <c r="L52" s="19">
        <f t="shared" si="21"/>
        <v>39.951296375877376</v>
      </c>
      <c r="M52" s="19">
        <f t="shared" si="22"/>
        <v>39.951296375877376</v>
      </c>
    </row>
    <row r="53" spans="1:13" ht="31.5" customHeight="1" x14ac:dyDescent="0.25">
      <c r="A53" s="25" t="s">
        <v>35</v>
      </c>
      <c r="B53" s="20" t="s">
        <v>36</v>
      </c>
      <c r="C53" s="21"/>
      <c r="D53" s="21"/>
      <c r="E53" s="16">
        <f t="shared" si="24"/>
        <v>0</v>
      </c>
      <c r="F53" s="21"/>
      <c r="G53" s="21"/>
      <c r="H53" s="22"/>
      <c r="I53" s="19"/>
      <c r="J53" s="19">
        <v>129.30000000000001</v>
      </c>
      <c r="K53" s="17"/>
      <c r="L53" s="19"/>
      <c r="M53" s="19"/>
    </row>
    <row r="54" spans="1:13" ht="28.5" customHeight="1" x14ac:dyDescent="0.25">
      <c r="A54" s="25" t="s">
        <v>37</v>
      </c>
      <c r="B54" s="20" t="s">
        <v>38</v>
      </c>
      <c r="C54" s="21">
        <v>150</v>
      </c>
      <c r="D54" s="21">
        <f>F54+G54+H54+I54</f>
        <v>150</v>
      </c>
      <c r="E54" s="16">
        <f t="shared" si="24"/>
        <v>40.5</v>
      </c>
      <c r="F54" s="21">
        <v>29</v>
      </c>
      <c r="G54" s="21">
        <v>11.5</v>
      </c>
      <c r="H54" s="22">
        <v>89</v>
      </c>
      <c r="I54" s="19">
        <v>20.5</v>
      </c>
      <c r="J54" s="19">
        <v>11.1</v>
      </c>
      <c r="K54" s="17">
        <f>J54*100/E54</f>
        <v>27.407407407407408</v>
      </c>
      <c r="L54" s="19">
        <f>J54*100/D54</f>
        <v>7.4</v>
      </c>
      <c r="M54" s="19">
        <f>J54*100/C54</f>
        <v>7.4</v>
      </c>
    </row>
    <row r="55" spans="1:13" ht="18" customHeight="1" x14ac:dyDescent="0.25">
      <c r="A55" s="26" t="s">
        <v>41</v>
      </c>
      <c r="B55" s="20" t="s">
        <v>42</v>
      </c>
      <c r="C55" s="21">
        <v>0</v>
      </c>
      <c r="D55" s="21">
        <f>F55+G55+H55+I55</f>
        <v>0</v>
      </c>
      <c r="E55" s="16">
        <f t="shared" si="24"/>
        <v>0</v>
      </c>
      <c r="F55" s="21"/>
      <c r="G55" s="21"/>
      <c r="H55" s="22"/>
      <c r="I55" s="19"/>
      <c r="J55" s="19"/>
      <c r="K55" s="17"/>
      <c r="L55" s="19"/>
      <c r="M55" s="19"/>
    </row>
    <row r="56" spans="1:13" ht="16.5" customHeight="1" x14ac:dyDescent="0.25">
      <c r="A56" s="45" t="s">
        <v>43</v>
      </c>
      <c r="B56" s="28" t="s">
        <v>44</v>
      </c>
      <c r="C56" s="21"/>
      <c r="D56" s="21">
        <f>F56+G56+H56+I56</f>
        <v>0</v>
      </c>
      <c r="E56" s="16">
        <f t="shared" si="24"/>
        <v>0</v>
      </c>
      <c r="F56" s="21"/>
      <c r="G56" s="21"/>
      <c r="H56" s="22"/>
      <c r="I56" s="19"/>
      <c r="J56" s="19">
        <v>0</v>
      </c>
      <c r="K56" s="17"/>
      <c r="L56" s="19"/>
      <c r="M56" s="19"/>
    </row>
    <row r="57" spans="1:13" ht="18.75" customHeight="1" x14ac:dyDescent="0.25">
      <c r="A57" s="10" t="s">
        <v>45</v>
      </c>
      <c r="B57" s="30" t="s">
        <v>46</v>
      </c>
      <c r="C57" s="31">
        <f>C58+C60+C59</f>
        <v>20853</v>
      </c>
      <c r="D57" s="31">
        <f>D58+D60+D59</f>
        <v>24726.7</v>
      </c>
      <c r="E57" s="31">
        <f t="shared" ref="E57:J57" si="25">E58+E60+E59</f>
        <v>10485.1</v>
      </c>
      <c r="F57" s="31">
        <f t="shared" si="25"/>
        <v>6327.1</v>
      </c>
      <c r="G57" s="31">
        <f t="shared" si="25"/>
        <v>4158</v>
      </c>
      <c r="H57" s="31">
        <f t="shared" si="25"/>
        <v>6340.1</v>
      </c>
      <c r="I57" s="31">
        <f t="shared" si="25"/>
        <v>7901.5</v>
      </c>
      <c r="J57" s="31">
        <f t="shared" si="25"/>
        <v>5549.9</v>
      </c>
      <c r="K57" s="32">
        <f>J57*100/E57</f>
        <v>52.931302514997469</v>
      </c>
      <c r="L57" s="13">
        <f>J57*100/D57</f>
        <v>22.444968394488548</v>
      </c>
      <c r="M57" s="13">
        <f>J57*100/C57</f>
        <v>26.614396010166402</v>
      </c>
    </row>
    <row r="58" spans="1:13" ht="41.25" customHeight="1" x14ac:dyDescent="0.25">
      <c r="A58" s="33" t="s">
        <v>47</v>
      </c>
      <c r="B58" s="34" t="s">
        <v>48</v>
      </c>
      <c r="C58" s="35">
        <v>20853</v>
      </c>
      <c r="D58" s="21">
        <f>F58+G58+H58+I58</f>
        <v>24698.7</v>
      </c>
      <c r="E58" s="16">
        <f>F58+G58</f>
        <v>10457.1</v>
      </c>
      <c r="F58" s="35">
        <v>6299.1</v>
      </c>
      <c r="G58" s="35">
        <v>4158</v>
      </c>
      <c r="H58" s="22">
        <v>6340.1</v>
      </c>
      <c r="I58" s="22">
        <v>7901.5</v>
      </c>
      <c r="J58" s="19">
        <v>5521.9</v>
      </c>
      <c r="K58" s="17">
        <f>J58*100/E58</f>
        <v>52.805271059854071</v>
      </c>
      <c r="L58" s="19">
        <f>J58*100/D58</f>
        <v>22.357047132035287</v>
      </c>
      <c r="M58" s="19">
        <f>J58*100/C58</f>
        <v>26.480122764110678</v>
      </c>
    </row>
    <row r="59" spans="1:13" ht="74.25" customHeight="1" x14ac:dyDescent="0.25">
      <c r="A59" s="33" t="s">
        <v>51</v>
      </c>
      <c r="B59" s="28" t="s">
        <v>52</v>
      </c>
      <c r="C59" s="36"/>
      <c r="D59" s="21">
        <f>F59+G59+H59+I59</f>
        <v>28</v>
      </c>
      <c r="E59" s="16">
        <f>F59+G59</f>
        <v>28</v>
      </c>
      <c r="F59" s="35">
        <v>28</v>
      </c>
      <c r="G59" s="35"/>
      <c r="H59" s="22"/>
      <c r="I59" s="41"/>
      <c r="J59" s="19">
        <v>28</v>
      </c>
      <c r="K59" s="17">
        <f>J59*100/E59</f>
        <v>100</v>
      </c>
      <c r="L59" s="19">
        <f>J59*100/D59</f>
        <v>100</v>
      </c>
      <c r="M59" s="19"/>
    </row>
    <row r="60" spans="1:13" ht="39" customHeight="1" x14ac:dyDescent="0.25">
      <c r="A60" s="33" t="s">
        <v>53</v>
      </c>
      <c r="B60" s="38" t="s">
        <v>54</v>
      </c>
      <c r="C60" s="38"/>
      <c r="D60" s="21">
        <f>F60+G60+H60+I60</f>
        <v>0</v>
      </c>
      <c r="E60" s="21">
        <f>F60</f>
        <v>0</v>
      </c>
      <c r="F60" s="46"/>
      <c r="G60" s="46"/>
      <c r="H60" s="22"/>
      <c r="I60" s="41"/>
      <c r="J60" s="19"/>
      <c r="K60" s="17"/>
      <c r="L60" s="19"/>
      <c r="M60" s="19" t="e">
        <f>J60*100/C60</f>
        <v>#DIV/0!</v>
      </c>
    </row>
    <row r="61" spans="1:13" ht="15" customHeight="1" x14ac:dyDescent="0.25">
      <c r="A61" s="23"/>
      <c r="B61" s="47" t="s">
        <v>55</v>
      </c>
      <c r="C61" s="48">
        <f t="shared" ref="C61:J61" si="26">C57+C46</f>
        <v>42811.7</v>
      </c>
      <c r="D61" s="48">
        <f t="shared" si="26"/>
        <v>46685.399999999994</v>
      </c>
      <c r="E61" s="48">
        <f t="shared" si="26"/>
        <v>20262.900000000001</v>
      </c>
      <c r="F61" s="48">
        <f t="shared" si="26"/>
        <v>10910.7</v>
      </c>
      <c r="G61" s="48">
        <f t="shared" si="26"/>
        <v>9352.2000000000007</v>
      </c>
      <c r="H61" s="48">
        <f t="shared" si="26"/>
        <v>10966.5</v>
      </c>
      <c r="I61" s="48">
        <f t="shared" si="26"/>
        <v>15456</v>
      </c>
      <c r="J61" s="48">
        <f t="shared" si="26"/>
        <v>13676.8</v>
      </c>
      <c r="K61" s="32">
        <f>J61*100/E61</f>
        <v>67.496755153507138</v>
      </c>
      <c r="L61" s="13">
        <f>J61*100/D61</f>
        <v>29.295668453092404</v>
      </c>
      <c r="M61" s="13">
        <f>J61*100/C61</f>
        <v>31.946407173739892</v>
      </c>
    </row>
    <row r="62" spans="1:13" x14ac:dyDescent="0.25">
      <c r="A62" s="146"/>
      <c r="B62" s="147"/>
      <c r="C62" s="147"/>
      <c r="D62" s="147"/>
      <c r="E62" s="147"/>
      <c r="F62" s="147"/>
      <c r="G62" s="147"/>
      <c r="H62" s="147"/>
      <c r="I62" s="147"/>
      <c r="J62" s="147"/>
      <c r="K62" s="32"/>
      <c r="L62" s="13"/>
      <c r="M62" s="19"/>
    </row>
    <row r="63" spans="1:13" x14ac:dyDescent="0.25">
      <c r="A63" s="143" t="s">
        <v>58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5"/>
    </row>
    <row r="64" spans="1:13" ht="17.25" customHeight="1" x14ac:dyDescent="0.25">
      <c r="A64" s="10" t="s">
        <v>17</v>
      </c>
      <c r="B64" s="11" t="s">
        <v>18</v>
      </c>
      <c r="C64" s="12">
        <f>C65+C68+C70+C72+C69+C74+C73+C67+C71+C66</f>
        <v>43308.299999999996</v>
      </c>
      <c r="D64" s="12">
        <f>D65+D68+D70+D72+D69+D74+D73+D67+D71+D66</f>
        <v>43308.3</v>
      </c>
      <c r="E64" s="12">
        <f>E65+E68+E70+E72+E69+E74+E73+E67+E71+E66</f>
        <v>18403.900000000001</v>
      </c>
      <c r="F64" s="12">
        <f t="shared" ref="F64:J64" si="27">F65+F68+F70+F72+F69+F74+F73+F67+F71+F66</f>
        <v>9267.2999999999993</v>
      </c>
      <c r="G64" s="12">
        <f t="shared" si="27"/>
        <v>9136.6</v>
      </c>
      <c r="H64" s="12">
        <f t="shared" si="27"/>
        <v>11006.9</v>
      </c>
      <c r="I64" s="12">
        <f t="shared" si="27"/>
        <v>13897.5</v>
      </c>
      <c r="J64" s="12">
        <f t="shared" si="27"/>
        <v>15939.5</v>
      </c>
      <c r="K64" s="32">
        <f t="shared" ref="K64:K70" si="28">J64*100/E64</f>
        <v>86.609359972614499</v>
      </c>
      <c r="L64" s="13">
        <f t="shared" ref="L64:L70" si="29">J64*100/D64</f>
        <v>36.804723344024126</v>
      </c>
      <c r="M64" s="13">
        <f t="shared" ref="M64:M70" si="30">J64*100/C64</f>
        <v>36.804723344024126</v>
      </c>
    </row>
    <row r="65" spans="1:13" ht="15.75" customHeight="1" x14ac:dyDescent="0.25">
      <c r="A65" s="14" t="s">
        <v>19</v>
      </c>
      <c r="B65" s="15" t="s">
        <v>20</v>
      </c>
      <c r="C65" s="16">
        <v>21100</v>
      </c>
      <c r="D65" s="21">
        <f t="shared" ref="D65:D74" si="31">F65+G65+H65+I65</f>
        <v>21100</v>
      </c>
      <c r="E65" s="16">
        <f t="shared" ref="E65:E74" si="32">F65+G65</f>
        <v>10465</v>
      </c>
      <c r="F65" s="49">
        <v>5156</v>
      </c>
      <c r="G65" s="49">
        <v>5309</v>
      </c>
      <c r="H65" s="17">
        <v>5627</v>
      </c>
      <c r="I65" s="17">
        <v>5008</v>
      </c>
      <c r="J65" s="17">
        <v>8863.7999999999993</v>
      </c>
      <c r="K65" s="17">
        <f t="shared" si="28"/>
        <v>84.699474438604867</v>
      </c>
      <c r="L65" s="19">
        <f t="shared" si="29"/>
        <v>42.008530805687201</v>
      </c>
      <c r="M65" s="19">
        <f t="shared" si="30"/>
        <v>42.008530805687201</v>
      </c>
    </row>
    <row r="66" spans="1:13" ht="38.25" customHeight="1" x14ac:dyDescent="0.25">
      <c r="A66" s="14" t="s">
        <v>21</v>
      </c>
      <c r="B66" s="20" t="s">
        <v>22</v>
      </c>
      <c r="C66" s="21">
        <v>6651.7</v>
      </c>
      <c r="D66" s="21">
        <f t="shared" si="31"/>
        <v>6651.7000000000007</v>
      </c>
      <c r="E66" s="16">
        <f t="shared" si="32"/>
        <v>3352.9</v>
      </c>
      <c r="F66" s="49">
        <v>1687</v>
      </c>
      <c r="G66" s="49">
        <v>1665.9</v>
      </c>
      <c r="H66" s="17">
        <v>1662.9</v>
      </c>
      <c r="I66" s="17">
        <v>1635.9</v>
      </c>
      <c r="J66" s="17">
        <v>2537.6999999999998</v>
      </c>
      <c r="K66" s="17">
        <f t="shared" si="28"/>
        <v>75.686718959706511</v>
      </c>
      <c r="L66" s="19">
        <f t="shared" si="29"/>
        <v>38.151149330246398</v>
      </c>
      <c r="M66" s="19">
        <f t="shared" si="30"/>
        <v>38.151149330246398</v>
      </c>
    </row>
    <row r="67" spans="1:13" ht="16.5" customHeight="1" x14ac:dyDescent="0.25">
      <c r="A67" s="14" t="s">
        <v>23</v>
      </c>
      <c r="B67" s="20" t="s">
        <v>24</v>
      </c>
      <c r="C67" s="21">
        <v>90</v>
      </c>
      <c r="D67" s="21">
        <f t="shared" si="31"/>
        <v>90</v>
      </c>
      <c r="E67" s="16">
        <f t="shared" si="32"/>
        <v>45</v>
      </c>
      <c r="F67" s="35">
        <v>22.5</v>
      </c>
      <c r="G67" s="35">
        <v>22.5</v>
      </c>
      <c r="H67" s="22">
        <v>22.5</v>
      </c>
      <c r="I67" s="22">
        <v>22.5</v>
      </c>
      <c r="J67" s="22">
        <v>17.3</v>
      </c>
      <c r="K67" s="17">
        <f t="shared" si="28"/>
        <v>38.444444444444443</v>
      </c>
      <c r="L67" s="19">
        <f t="shared" si="29"/>
        <v>19.222222222222221</v>
      </c>
      <c r="M67" s="19">
        <f t="shared" si="30"/>
        <v>19.222222222222221</v>
      </c>
    </row>
    <row r="68" spans="1:13" ht="18.75" customHeight="1" x14ac:dyDescent="0.25">
      <c r="A68" s="14" t="s">
        <v>25</v>
      </c>
      <c r="B68" s="20" t="s">
        <v>26</v>
      </c>
      <c r="C68" s="21">
        <v>9748.7000000000007</v>
      </c>
      <c r="D68" s="21">
        <f t="shared" si="31"/>
        <v>9748.7000000000007</v>
      </c>
      <c r="E68" s="16">
        <f t="shared" si="32"/>
        <v>1703</v>
      </c>
      <c r="F68" s="35">
        <v>1011.5</v>
      </c>
      <c r="G68" s="35">
        <v>691.5</v>
      </c>
      <c r="H68" s="22">
        <v>2241.5</v>
      </c>
      <c r="I68" s="22">
        <v>5804.2</v>
      </c>
      <c r="J68" s="22">
        <v>1697.8</v>
      </c>
      <c r="K68" s="17">
        <f t="shared" si="28"/>
        <v>99.694656488549612</v>
      </c>
      <c r="L68" s="19">
        <f t="shared" si="29"/>
        <v>17.415655420722761</v>
      </c>
      <c r="M68" s="19">
        <f t="shared" si="30"/>
        <v>17.415655420722761</v>
      </c>
    </row>
    <row r="69" spans="1:13" ht="16.5" customHeight="1" x14ac:dyDescent="0.25">
      <c r="A69" s="14" t="s">
        <v>27</v>
      </c>
      <c r="B69" s="20" t="s">
        <v>28</v>
      </c>
      <c r="C69" s="21">
        <v>44.1</v>
      </c>
      <c r="D69" s="21">
        <f t="shared" si="31"/>
        <v>44.1</v>
      </c>
      <c r="E69" s="16">
        <f t="shared" si="32"/>
        <v>22.1</v>
      </c>
      <c r="F69" s="35"/>
      <c r="G69" s="35">
        <v>22.1</v>
      </c>
      <c r="H69" s="22">
        <v>22</v>
      </c>
      <c r="I69" s="22"/>
      <c r="J69" s="22">
        <v>11.2</v>
      </c>
      <c r="K69" s="17">
        <f t="shared" si="28"/>
        <v>50.678733031674206</v>
      </c>
      <c r="L69" s="19">
        <f t="shared" si="29"/>
        <v>25.396825396825395</v>
      </c>
      <c r="M69" s="19">
        <f t="shared" si="30"/>
        <v>25.396825396825395</v>
      </c>
    </row>
    <row r="70" spans="1:13" ht="39" customHeight="1" x14ac:dyDescent="0.25">
      <c r="A70" s="23" t="s">
        <v>31</v>
      </c>
      <c r="B70" s="20" t="s">
        <v>32</v>
      </c>
      <c r="C70" s="21">
        <v>5558.8</v>
      </c>
      <c r="D70" s="21">
        <f t="shared" si="31"/>
        <v>5558.7999999999993</v>
      </c>
      <c r="E70" s="16">
        <f t="shared" si="32"/>
        <v>2776.8999999999996</v>
      </c>
      <c r="F70" s="35">
        <v>1389.3</v>
      </c>
      <c r="G70" s="35">
        <v>1387.6</v>
      </c>
      <c r="H70" s="22">
        <v>1393</v>
      </c>
      <c r="I70" s="22">
        <v>1388.9</v>
      </c>
      <c r="J70" s="22">
        <v>2754.1</v>
      </c>
      <c r="K70" s="17">
        <f t="shared" si="28"/>
        <v>99.178940545212299</v>
      </c>
      <c r="L70" s="19">
        <f t="shared" si="29"/>
        <v>49.544865798373756</v>
      </c>
      <c r="M70" s="19">
        <f t="shared" si="30"/>
        <v>49.544865798373749</v>
      </c>
    </row>
    <row r="71" spans="1:13" ht="27.75" customHeight="1" x14ac:dyDescent="0.25">
      <c r="A71" s="25" t="s">
        <v>35</v>
      </c>
      <c r="B71" s="20" t="s">
        <v>36</v>
      </c>
      <c r="C71" s="21"/>
      <c r="D71" s="21">
        <f t="shared" si="31"/>
        <v>0</v>
      </c>
      <c r="E71" s="16">
        <f t="shared" si="32"/>
        <v>0</v>
      </c>
      <c r="F71" s="35"/>
      <c r="G71" s="35"/>
      <c r="H71" s="22"/>
      <c r="I71" s="22"/>
      <c r="J71" s="22"/>
      <c r="K71" s="17"/>
      <c r="L71" s="19"/>
      <c r="M71" s="19"/>
    </row>
    <row r="72" spans="1:13" ht="27" customHeight="1" x14ac:dyDescent="0.25">
      <c r="A72" s="24" t="s">
        <v>37</v>
      </c>
      <c r="B72" s="20" t="s">
        <v>38</v>
      </c>
      <c r="C72" s="21">
        <v>115</v>
      </c>
      <c r="D72" s="21">
        <f t="shared" si="31"/>
        <v>115</v>
      </c>
      <c r="E72" s="16">
        <f t="shared" si="32"/>
        <v>39</v>
      </c>
      <c r="F72" s="35">
        <v>1</v>
      </c>
      <c r="G72" s="35">
        <v>38</v>
      </c>
      <c r="H72" s="22">
        <v>38</v>
      </c>
      <c r="I72" s="22">
        <v>38</v>
      </c>
      <c r="J72" s="22">
        <v>57.6</v>
      </c>
      <c r="K72" s="17">
        <f>J72*100/E72</f>
        <v>147.69230769230768</v>
      </c>
      <c r="L72" s="19">
        <f>J72*100/D72</f>
        <v>50.086956521739133</v>
      </c>
      <c r="M72" s="19">
        <f>J72*100/C72</f>
        <v>50.086956521739133</v>
      </c>
    </row>
    <row r="73" spans="1:13" ht="18" customHeight="1" x14ac:dyDescent="0.25">
      <c r="A73" s="26" t="s">
        <v>41</v>
      </c>
      <c r="B73" s="20" t="s">
        <v>42</v>
      </c>
      <c r="C73" s="21"/>
      <c r="D73" s="21">
        <f t="shared" si="31"/>
        <v>0</v>
      </c>
      <c r="E73" s="16">
        <f t="shared" si="32"/>
        <v>0</v>
      </c>
      <c r="F73" s="35"/>
      <c r="G73" s="35"/>
      <c r="H73" s="22"/>
      <c r="I73" s="22"/>
      <c r="J73" s="22"/>
      <c r="K73" s="17"/>
      <c r="L73" s="19"/>
      <c r="M73" s="19"/>
    </row>
    <row r="74" spans="1:13" ht="17.25" customHeight="1" x14ac:dyDescent="0.25">
      <c r="A74" s="27" t="s">
        <v>43</v>
      </c>
      <c r="B74" s="28" t="s">
        <v>44</v>
      </c>
      <c r="C74" s="21"/>
      <c r="D74" s="21">
        <f t="shared" si="31"/>
        <v>0</v>
      </c>
      <c r="E74" s="16">
        <f t="shared" si="32"/>
        <v>0</v>
      </c>
      <c r="F74" s="35"/>
      <c r="G74" s="35"/>
      <c r="H74" s="22"/>
      <c r="I74" s="22"/>
      <c r="J74" s="22">
        <v>0</v>
      </c>
      <c r="K74" s="17"/>
      <c r="L74" s="19"/>
      <c r="M74" s="19"/>
    </row>
    <row r="75" spans="1:13" ht="15" customHeight="1" x14ac:dyDescent="0.25">
      <c r="A75" s="29" t="s">
        <v>45</v>
      </c>
      <c r="B75" s="30" t="s">
        <v>46</v>
      </c>
      <c r="C75" s="31">
        <f t="shared" ref="C75:J75" si="33">C76+C77</f>
        <v>31268.9</v>
      </c>
      <c r="D75" s="31">
        <f t="shared" si="33"/>
        <v>55625.1</v>
      </c>
      <c r="E75" s="31">
        <f t="shared" si="33"/>
        <v>39988.5</v>
      </c>
      <c r="F75" s="31">
        <f t="shared" si="33"/>
        <v>24357.1</v>
      </c>
      <c r="G75" s="31">
        <f t="shared" si="33"/>
        <v>15631.4</v>
      </c>
      <c r="H75" s="31">
        <f t="shared" si="33"/>
        <v>9162.5</v>
      </c>
      <c r="I75" s="31">
        <f t="shared" si="33"/>
        <v>6474.1</v>
      </c>
      <c r="J75" s="31">
        <f t="shared" si="33"/>
        <v>12877.1</v>
      </c>
      <c r="K75" s="32">
        <f>J75*100/E75</f>
        <v>32.202008077322233</v>
      </c>
      <c r="L75" s="13">
        <f>J75*100/D75</f>
        <v>23.149801079009297</v>
      </c>
      <c r="M75" s="13">
        <f>J75*100/C75</f>
        <v>41.181813239352834</v>
      </c>
    </row>
    <row r="76" spans="1:13" ht="39" customHeight="1" x14ac:dyDescent="0.25">
      <c r="A76" s="33" t="s">
        <v>47</v>
      </c>
      <c r="B76" s="34" t="s">
        <v>48</v>
      </c>
      <c r="C76" s="35">
        <v>31268.9</v>
      </c>
      <c r="D76" s="21">
        <f>F76+G76+H76+I76</f>
        <v>55625.1</v>
      </c>
      <c r="E76" s="16">
        <f>F76+G76</f>
        <v>39988.5</v>
      </c>
      <c r="F76" s="35">
        <f>24157.1+200</f>
        <v>24357.1</v>
      </c>
      <c r="G76" s="35">
        <v>15631.4</v>
      </c>
      <c r="H76" s="22">
        <v>9162.5</v>
      </c>
      <c r="I76" s="19">
        <v>6474.1</v>
      </c>
      <c r="J76" s="19">
        <v>12867.1</v>
      </c>
      <c r="K76" s="17">
        <f>J76*100/E76</f>
        <v>32.177000887755227</v>
      </c>
      <c r="L76" s="19">
        <f>J76*100/D76</f>
        <v>23.131823583238504</v>
      </c>
      <c r="M76" s="19">
        <f>J76*100/C76</f>
        <v>41.149832581254856</v>
      </c>
    </row>
    <row r="77" spans="1:13" ht="15" customHeight="1" x14ac:dyDescent="0.25">
      <c r="A77" s="33" t="s">
        <v>49</v>
      </c>
      <c r="B77" s="36" t="s">
        <v>50</v>
      </c>
      <c r="C77" s="37"/>
      <c r="D77" s="21">
        <f>F77+G77+H77+I77</f>
        <v>0</v>
      </c>
      <c r="E77" s="16">
        <f>F77</f>
        <v>0</v>
      </c>
      <c r="F77" s="46"/>
      <c r="G77" s="46"/>
      <c r="H77" s="22"/>
      <c r="I77" s="19"/>
      <c r="J77" s="19">
        <v>10</v>
      </c>
      <c r="K77" s="32"/>
      <c r="L77" s="13"/>
      <c r="M77" s="19"/>
    </row>
    <row r="78" spans="1:13" ht="16.5" customHeight="1" x14ac:dyDescent="0.25">
      <c r="A78" s="26"/>
      <c r="B78" s="40" t="s">
        <v>55</v>
      </c>
      <c r="C78" s="13">
        <f t="shared" ref="C78:J78" si="34">C75+C64</f>
        <v>74577.2</v>
      </c>
      <c r="D78" s="13">
        <f t="shared" si="34"/>
        <v>98933.4</v>
      </c>
      <c r="E78" s="13">
        <f t="shared" si="34"/>
        <v>58392.4</v>
      </c>
      <c r="F78" s="13">
        <f t="shared" si="34"/>
        <v>33624.399999999994</v>
      </c>
      <c r="G78" s="13">
        <f t="shared" si="34"/>
        <v>24768</v>
      </c>
      <c r="H78" s="13">
        <f t="shared" si="34"/>
        <v>20169.400000000001</v>
      </c>
      <c r="I78" s="13">
        <f t="shared" si="34"/>
        <v>20371.599999999999</v>
      </c>
      <c r="J78" s="13">
        <f t="shared" si="34"/>
        <v>28816.6</v>
      </c>
      <c r="K78" s="32">
        <f>J78*100/E78</f>
        <v>49.34991539994931</v>
      </c>
      <c r="L78" s="13">
        <f>J78*100/D78</f>
        <v>29.127271477579868</v>
      </c>
      <c r="M78" s="13">
        <f>J78*100/C78</f>
        <v>38.639959665956887</v>
      </c>
    </row>
    <row r="79" spans="1:13" x14ac:dyDescent="0.25">
      <c r="A79" s="146"/>
      <c r="B79" s="147"/>
      <c r="C79" s="147"/>
      <c r="D79" s="147"/>
      <c r="E79" s="147"/>
      <c r="F79" s="147"/>
      <c r="G79" s="147"/>
      <c r="H79" s="147"/>
      <c r="I79" s="147"/>
      <c r="J79" s="147"/>
      <c r="K79" s="32"/>
      <c r="L79" s="13"/>
      <c r="M79" s="19"/>
    </row>
    <row r="80" spans="1:13" x14ac:dyDescent="0.25">
      <c r="A80" s="143" t="s">
        <v>59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5"/>
    </row>
    <row r="81" spans="1:13" ht="15" customHeight="1" x14ac:dyDescent="0.25">
      <c r="A81" s="29" t="s">
        <v>17</v>
      </c>
      <c r="B81" s="42" t="s">
        <v>18</v>
      </c>
      <c r="C81" s="32">
        <f t="shared" ref="C81:I81" si="35">C82+C84+C85+C86+C87+C88+C89+C90+C91+C83</f>
        <v>43172.200000000004</v>
      </c>
      <c r="D81" s="32">
        <f t="shared" si="35"/>
        <v>43172.2</v>
      </c>
      <c r="E81" s="32">
        <f t="shared" si="35"/>
        <v>20813.399999999998</v>
      </c>
      <c r="F81" s="32">
        <f t="shared" si="35"/>
        <v>11820.800000000001</v>
      </c>
      <c r="G81" s="32">
        <f t="shared" si="35"/>
        <v>8992.5999999999985</v>
      </c>
      <c r="H81" s="32">
        <f t="shared" si="35"/>
        <v>9094.9000000000015</v>
      </c>
      <c r="I81" s="32">
        <f t="shared" si="35"/>
        <v>13263.900000000001</v>
      </c>
      <c r="J81" s="32">
        <f>J82+J84+J85+J86+J87+J88+J89+J90+J91+J83+0.1</f>
        <v>14927.5</v>
      </c>
      <c r="K81" s="32">
        <f t="shared" ref="K81:K87" si="36">J81*100/E81</f>
        <v>71.720622291408432</v>
      </c>
      <c r="L81" s="13">
        <f t="shared" ref="L81:L87" si="37">J81*100/D81</f>
        <v>34.576648861999161</v>
      </c>
      <c r="M81" s="13">
        <f t="shared" ref="M81:M87" si="38">J81*100/C81</f>
        <v>34.576648861999153</v>
      </c>
    </row>
    <row r="82" spans="1:13" ht="18" customHeight="1" x14ac:dyDescent="0.25">
      <c r="A82" s="26" t="s">
        <v>19</v>
      </c>
      <c r="B82" s="20" t="s">
        <v>20</v>
      </c>
      <c r="C82" s="21">
        <v>29500</v>
      </c>
      <c r="D82" s="21">
        <f t="shared" ref="D82:D91" si="39">F82+G82+H82+I82</f>
        <v>29500</v>
      </c>
      <c r="E82" s="16">
        <f t="shared" ref="E82:E91" si="40">F82+G82</f>
        <v>14750</v>
      </c>
      <c r="F82" s="35">
        <v>8850</v>
      </c>
      <c r="G82" s="35">
        <v>5900</v>
      </c>
      <c r="H82" s="22">
        <v>5900</v>
      </c>
      <c r="I82" s="22">
        <v>8850</v>
      </c>
      <c r="J82" s="19">
        <v>10869.8</v>
      </c>
      <c r="K82" s="17">
        <f t="shared" si="36"/>
        <v>73.693559322033892</v>
      </c>
      <c r="L82" s="19">
        <f t="shared" si="37"/>
        <v>36.846779661016946</v>
      </c>
      <c r="M82" s="19">
        <f t="shared" si="38"/>
        <v>36.846779661016946</v>
      </c>
    </row>
    <row r="83" spans="1:13" ht="38.25" customHeight="1" x14ac:dyDescent="0.25">
      <c r="A83" s="14" t="s">
        <v>21</v>
      </c>
      <c r="B83" s="20" t="s">
        <v>22</v>
      </c>
      <c r="C83" s="21">
        <v>4257.3</v>
      </c>
      <c r="D83" s="21">
        <f t="shared" si="39"/>
        <v>4257.2999999999993</v>
      </c>
      <c r="E83" s="16">
        <f t="shared" si="40"/>
        <v>2128.6999999999998</v>
      </c>
      <c r="F83" s="35">
        <v>1277.2</v>
      </c>
      <c r="G83" s="35">
        <v>851.5</v>
      </c>
      <c r="H83" s="22">
        <v>851.5</v>
      </c>
      <c r="I83" s="22">
        <v>1277.0999999999999</v>
      </c>
      <c r="J83" s="19">
        <v>1624.2</v>
      </c>
      <c r="K83" s="17">
        <f t="shared" si="36"/>
        <v>76.300089256353644</v>
      </c>
      <c r="L83" s="19">
        <f t="shared" si="37"/>
        <v>38.150940737086891</v>
      </c>
      <c r="M83" s="19">
        <f t="shared" si="38"/>
        <v>38.150940737086884</v>
      </c>
    </row>
    <row r="84" spans="1:13" ht="16.5" customHeight="1" x14ac:dyDescent="0.25">
      <c r="A84" s="14" t="s">
        <v>23</v>
      </c>
      <c r="B84" s="20" t="s">
        <v>24</v>
      </c>
      <c r="C84" s="21"/>
      <c r="D84" s="21">
        <f t="shared" si="39"/>
        <v>0</v>
      </c>
      <c r="E84" s="16">
        <f t="shared" si="40"/>
        <v>0</v>
      </c>
      <c r="F84" s="35"/>
      <c r="G84" s="35"/>
      <c r="H84" s="22"/>
      <c r="I84" s="22"/>
      <c r="J84" s="19"/>
      <c r="K84" s="17" t="e">
        <f t="shared" si="36"/>
        <v>#DIV/0!</v>
      </c>
      <c r="L84" s="19" t="e">
        <f t="shared" si="37"/>
        <v>#DIV/0!</v>
      </c>
      <c r="M84" s="19" t="e">
        <f t="shared" si="38"/>
        <v>#DIV/0!</v>
      </c>
    </row>
    <row r="85" spans="1:13" ht="15.75" customHeight="1" x14ac:dyDescent="0.25">
      <c r="A85" s="14" t="s">
        <v>25</v>
      </c>
      <c r="B85" s="20" t="s">
        <v>26</v>
      </c>
      <c r="C85" s="21">
        <v>2312.9</v>
      </c>
      <c r="D85" s="21">
        <f t="shared" si="39"/>
        <v>2312.9</v>
      </c>
      <c r="E85" s="16">
        <f t="shared" si="40"/>
        <v>875.5</v>
      </c>
      <c r="F85" s="35">
        <v>462.6</v>
      </c>
      <c r="G85" s="35">
        <v>412.9</v>
      </c>
      <c r="H85" s="22">
        <v>512.20000000000005</v>
      </c>
      <c r="I85" s="22">
        <v>925.2</v>
      </c>
      <c r="J85" s="19">
        <v>722.8</v>
      </c>
      <c r="K85" s="17">
        <f t="shared" si="36"/>
        <v>82.558537978298119</v>
      </c>
      <c r="L85" s="19">
        <f t="shared" si="37"/>
        <v>31.250810670586709</v>
      </c>
      <c r="M85" s="19">
        <f t="shared" si="38"/>
        <v>31.250810670586709</v>
      </c>
    </row>
    <row r="86" spans="1:13" ht="16.5" customHeight="1" x14ac:dyDescent="0.25">
      <c r="A86" s="14" t="s">
        <v>27</v>
      </c>
      <c r="B86" s="20" t="s">
        <v>28</v>
      </c>
      <c r="C86" s="21"/>
      <c r="D86" s="21">
        <f t="shared" si="39"/>
        <v>0</v>
      </c>
      <c r="E86" s="16">
        <f t="shared" si="40"/>
        <v>0</v>
      </c>
      <c r="F86" s="35"/>
      <c r="G86" s="35"/>
      <c r="H86" s="22"/>
      <c r="I86" s="22"/>
      <c r="J86" s="19"/>
      <c r="K86" s="17" t="e">
        <f t="shared" si="36"/>
        <v>#DIV/0!</v>
      </c>
      <c r="L86" s="19" t="e">
        <f t="shared" si="37"/>
        <v>#DIV/0!</v>
      </c>
      <c r="M86" s="19" t="e">
        <f t="shared" si="38"/>
        <v>#DIV/0!</v>
      </c>
    </row>
    <row r="87" spans="1:13" ht="39" customHeight="1" x14ac:dyDescent="0.25">
      <c r="A87" s="23" t="s">
        <v>31</v>
      </c>
      <c r="B87" s="20" t="s">
        <v>32</v>
      </c>
      <c r="C87" s="21">
        <v>6954</v>
      </c>
      <c r="D87" s="21">
        <f t="shared" si="39"/>
        <v>6954</v>
      </c>
      <c r="E87" s="16">
        <f t="shared" si="40"/>
        <v>3029.6</v>
      </c>
      <c r="F87" s="35">
        <v>1223.5999999999999</v>
      </c>
      <c r="G87" s="35">
        <v>1806</v>
      </c>
      <c r="H87" s="22">
        <v>1809</v>
      </c>
      <c r="I87" s="22">
        <v>2115.4</v>
      </c>
      <c r="J87" s="19">
        <v>1679.9</v>
      </c>
      <c r="K87" s="17">
        <f t="shared" si="36"/>
        <v>55.449564298917352</v>
      </c>
      <c r="L87" s="19">
        <f t="shared" si="37"/>
        <v>24.157319528329019</v>
      </c>
      <c r="M87" s="19">
        <f t="shared" si="38"/>
        <v>24.157319528329019</v>
      </c>
    </row>
    <row r="88" spans="1:13" ht="27.75" customHeight="1" x14ac:dyDescent="0.25">
      <c r="A88" s="25" t="s">
        <v>35</v>
      </c>
      <c r="B88" s="20" t="s">
        <v>36</v>
      </c>
      <c r="C88" s="21">
        <v>0</v>
      </c>
      <c r="D88" s="21">
        <f t="shared" si="39"/>
        <v>0</v>
      </c>
      <c r="E88" s="16">
        <f t="shared" si="40"/>
        <v>0</v>
      </c>
      <c r="F88" s="35"/>
      <c r="G88" s="35"/>
      <c r="H88" s="22"/>
      <c r="I88" s="22"/>
      <c r="J88" s="19">
        <v>5.7</v>
      </c>
      <c r="K88" s="17"/>
      <c r="L88" s="19"/>
      <c r="M88" s="19"/>
    </row>
    <row r="89" spans="1:13" ht="25.5" customHeight="1" x14ac:dyDescent="0.25">
      <c r="A89" s="24" t="s">
        <v>37</v>
      </c>
      <c r="B89" s="20" t="s">
        <v>38</v>
      </c>
      <c r="C89" s="21">
        <v>148</v>
      </c>
      <c r="D89" s="21">
        <f t="shared" si="39"/>
        <v>148</v>
      </c>
      <c r="E89" s="16">
        <f t="shared" si="40"/>
        <v>29.6</v>
      </c>
      <c r="F89" s="35">
        <v>7.4</v>
      </c>
      <c r="G89" s="35">
        <v>22.2</v>
      </c>
      <c r="H89" s="22">
        <v>22.2</v>
      </c>
      <c r="I89" s="22">
        <v>96.2</v>
      </c>
      <c r="J89" s="19">
        <v>22</v>
      </c>
      <c r="K89" s="17">
        <f>J89*100/E89</f>
        <v>74.324324324324323</v>
      </c>
      <c r="L89" s="19">
        <f>J89*100/D89</f>
        <v>14.864864864864865</v>
      </c>
      <c r="M89" s="19">
        <f>J89*100/C89</f>
        <v>14.864864864864865</v>
      </c>
    </row>
    <row r="90" spans="1:13" ht="15" customHeight="1" x14ac:dyDescent="0.25">
      <c r="A90" s="26" t="s">
        <v>41</v>
      </c>
      <c r="B90" s="20" t="s">
        <v>42</v>
      </c>
      <c r="C90" s="21"/>
      <c r="D90" s="21">
        <f t="shared" si="39"/>
        <v>0</v>
      </c>
      <c r="E90" s="16">
        <f t="shared" si="40"/>
        <v>0</v>
      </c>
      <c r="F90" s="35"/>
      <c r="G90" s="35"/>
      <c r="H90" s="22"/>
      <c r="I90" s="22"/>
      <c r="J90" s="19">
        <v>2.2000000000000002</v>
      </c>
      <c r="K90" s="17"/>
      <c r="L90" s="19"/>
      <c r="M90" s="19"/>
    </row>
    <row r="91" spans="1:13" ht="15.75" customHeight="1" x14ac:dyDescent="0.25">
      <c r="A91" s="27" t="s">
        <v>43</v>
      </c>
      <c r="B91" s="28" t="s">
        <v>44</v>
      </c>
      <c r="C91" s="21"/>
      <c r="D91" s="21">
        <f t="shared" si="39"/>
        <v>0</v>
      </c>
      <c r="E91" s="16">
        <f t="shared" si="40"/>
        <v>0</v>
      </c>
      <c r="F91" s="35"/>
      <c r="G91" s="35"/>
      <c r="H91" s="22"/>
      <c r="I91" s="22"/>
      <c r="J91" s="19">
        <v>0.8</v>
      </c>
      <c r="K91" s="17"/>
      <c r="L91" s="19"/>
      <c r="M91" s="19"/>
    </row>
    <row r="92" spans="1:13" ht="24.75" customHeight="1" x14ac:dyDescent="0.25">
      <c r="A92" s="27" t="s">
        <v>60</v>
      </c>
      <c r="B92" s="28" t="s">
        <v>61</v>
      </c>
      <c r="C92" s="43"/>
      <c r="D92" s="28"/>
      <c r="E92" s="16">
        <f>F92</f>
        <v>0</v>
      </c>
      <c r="F92" s="35"/>
      <c r="G92" s="35"/>
      <c r="H92" s="22" t="e">
        <f>I92+#REF!+#REF!+#REF!</f>
        <v>#REF!</v>
      </c>
      <c r="I92" s="22"/>
      <c r="J92" s="19"/>
      <c r="K92" s="32" t="e">
        <f>J92*100/E92</f>
        <v>#DIV/0!</v>
      </c>
      <c r="L92" s="13" t="e">
        <f>J92*100/D92</f>
        <v>#DIV/0!</v>
      </c>
      <c r="M92" s="19" t="e">
        <f>J92*100/C92</f>
        <v>#DIV/0!</v>
      </c>
    </row>
    <row r="93" spans="1:13" ht="17.25" customHeight="1" x14ac:dyDescent="0.25">
      <c r="A93" s="29" t="s">
        <v>45</v>
      </c>
      <c r="B93" s="30" t="s">
        <v>46</v>
      </c>
      <c r="C93" s="31">
        <f t="shared" ref="C93:J93" si="41">C94+C95</f>
        <v>44557.1</v>
      </c>
      <c r="D93" s="31">
        <f t="shared" si="41"/>
        <v>74191.900000000009</v>
      </c>
      <c r="E93" s="50">
        <f t="shared" si="41"/>
        <v>32477.100000000002</v>
      </c>
      <c r="F93" s="31">
        <f t="shared" si="41"/>
        <v>21054.400000000001</v>
      </c>
      <c r="G93" s="31">
        <f t="shared" si="41"/>
        <v>11422.699999999999</v>
      </c>
      <c r="H93" s="31">
        <f t="shared" si="41"/>
        <v>31918.7</v>
      </c>
      <c r="I93" s="31">
        <f t="shared" si="41"/>
        <v>9796.1</v>
      </c>
      <c r="J93" s="31">
        <f t="shared" si="41"/>
        <v>21667.599999999999</v>
      </c>
      <c r="K93" s="32">
        <f>J93*100/E93</f>
        <v>66.716547967644885</v>
      </c>
      <c r="L93" s="13">
        <f>J93*100/D93</f>
        <v>29.204805376328139</v>
      </c>
      <c r="M93" s="13">
        <f>J93*100/C93</f>
        <v>48.628838052745806</v>
      </c>
    </row>
    <row r="94" spans="1:13" ht="39.75" customHeight="1" x14ac:dyDescent="0.25">
      <c r="A94" s="33" t="s">
        <v>47</v>
      </c>
      <c r="B94" s="34" t="s">
        <v>48</v>
      </c>
      <c r="C94" s="35">
        <v>44557.1</v>
      </c>
      <c r="D94" s="21">
        <f>F94+G94+H94+I94</f>
        <v>74065.600000000006</v>
      </c>
      <c r="E94" s="16">
        <f>F94+G94</f>
        <v>32350.800000000003</v>
      </c>
      <c r="F94" s="35">
        <v>21054.400000000001</v>
      </c>
      <c r="G94" s="35">
        <v>11296.4</v>
      </c>
      <c r="H94" s="22">
        <v>31918.7</v>
      </c>
      <c r="I94" s="22">
        <v>9796.1</v>
      </c>
      <c r="J94" s="19">
        <v>21541.3</v>
      </c>
      <c r="K94" s="17">
        <f>J94*100/E94</f>
        <v>66.586606822706074</v>
      </c>
      <c r="L94" s="19">
        <f>J94*100/D94</f>
        <v>29.08408221900585</v>
      </c>
      <c r="M94" s="19">
        <f>J94*100/C94</f>
        <v>48.345381544131016</v>
      </c>
    </row>
    <row r="95" spans="1:13" ht="15" customHeight="1" x14ac:dyDescent="0.25">
      <c r="A95" s="33" t="s">
        <v>49</v>
      </c>
      <c r="B95" s="36" t="s">
        <v>50</v>
      </c>
      <c r="C95" s="37"/>
      <c r="D95" s="21">
        <f>F95+G95+H95+I95</f>
        <v>126.3</v>
      </c>
      <c r="E95" s="16">
        <f>F95+G95</f>
        <v>126.3</v>
      </c>
      <c r="F95" s="51"/>
      <c r="G95" s="51">
        <v>126.3</v>
      </c>
      <c r="H95" s="22"/>
      <c r="I95" s="22"/>
      <c r="J95" s="19">
        <v>126.3</v>
      </c>
      <c r="K95" s="17">
        <f>J95*100/E95</f>
        <v>100</v>
      </c>
      <c r="L95" s="19">
        <f>J95*100/D95</f>
        <v>100</v>
      </c>
      <c r="M95" s="19"/>
    </row>
    <row r="96" spans="1:13" ht="18" customHeight="1" x14ac:dyDescent="0.25">
      <c r="A96" s="26"/>
      <c r="B96" s="40" t="s">
        <v>55</v>
      </c>
      <c r="C96" s="13">
        <f t="shared" ref="C96:J96" si="42">C93+C81</f>
        <v>87729.3</v>
      </c>
      <c r="D96" s="13">
        <f t="shared" si="42"/>
        <v>117364.1</v>
      </c>
      <c r="E96" s="13">
        <f t="shared" si="42"/>
        <v>53290.5</v>
      </c>
      <c r="F96" s="13">
        <f t="shared" si="42"/>
        <v>32875.200000000004</v>
      </c>
      <c r="G96" s="13">
        <f t="shared" si="42"/>
        <v>20415.299999999996</v>
      </c>
      <c r="H96" s="13">
        <f t="shared" si="42"/>
        <v>41013.600000000006</v>
      </c>
      <c r="I96" s="13">
        <f t="shared" si="42"/>
        <v>23060</v>
      </c>
      <c r="J96" s="13">
        <f t="shared" si="42"/>
        <v>36595.1</v>
      </c>
      <c r="K96" s="32">
        <f>J96*100/E96</f>
        <v>68.670963867856372</v>
      </c>
      <c r="L96" s="13">
        <f>J96*100/D96</f>
        <v>31.180829572245685</v>
      </c>
      <c r="M96" s="13">
        <f>J96*100/C96</f>
        <v>41.713657808736649</v>
      </c>
    </row>
    <row r="97" spans="1:13" x14ac:dyDescent="0.25">
      <c r="A97" s="146"/>
      <c r="B97" s="147"/>
      <c r="C97" s="147"/>
      <c r="D97" s="147"/>
      <c r="E97" s="147"/>
      <c r="F97" s="147"/>
      <c r="G97" s="147"/>
      <c r="H97" s="147"/>
      <c r="I97" s="147"/>
      <c r="J97" s="147"/>
      <c r="K97" s="32"/>
      <c r="L97" s="13"/>
      <c r="M97" s="19"/>
    </row>
    <row r="98" spans="1:13" x14ac:dyDescent="0.25">
      <c r="A98" s="143" t="s">
        <v>62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5"/>
    </row>
    <row r="99" spans="1:13" ht="15.75" customHeight="1" x14ac:dyDescent="0.25">
      <c r="A99" s="29" t="s">
        <v>17</v>
      </c>
      <c r="B99" s="42" t="s">
        <v>18</v>
      </c>
      <c r="C99" s="32">
        <f t="shared" ref="C99:J99" si="43">C100+C103+C107+C104+C105+C108+C106+C102+C101</f>
        <v>3213.8</v>
      </c>
      <c r="D99" s="32">
        <f t="shared" si="43"/>
        <v>3213.7999999999997</v>
      </c>
      <c r="E99" s="32">
        <f t="shared" si="43"/>
        <v>1590</v>
      </c>
      <c r="F99" s="32">
        <f t="shared" si="43"/>
        <v>775.7</v>
      </c>
      <c r="G99" s="32">
        <f t="shared" si="43"/>
        <v>814.30000000000007</v>
      </c>
      <c r="H99" s="32">
        <f t="shared" si="43"/>
        <v>809.3</v>
      </c>
      <c r="I99" s="32">
        <f t="shared" si="43"/>
        <v>814.5</v>
      </c>
      <c r="J99" s="32">
        <f t="shared" si="43"/>
        <v>1164.4000000000001</v>
      </c>
      <c r="K99" s="32">
        <f t="shared" ref="K99:K105" si="44">J99*100/E99</f>
        <v>73.232704402515736</v>
      </c>
      <c r="L99" s="13">
        <f t="shared" ref="L99:L105" si="45">J99*100/D99</f>
        <v>36.231252722633648</v>
      </c>
      <c r="M99" s="13">
        <f t="shared" ref="M99:M105" si="46">J99*100/C99</f>
        <v>36.231252722633641</v>
      </c>
    </row>
    <row r="100" spans="1:13" ht="15.75" customHeight="1" x14ac:dyDescent="0.25">
      <c r="A100" s="26" t="s">
        <v>19</v>
      </c>
      <c r="B100" s="20" t="s">
        <v>20</v>
      </c>
      <c r="C100" s="21">
        <v>1650</v>
      </c>
      <c r="D100" s="21">
        <f t="shared" ref="D100:D108" si="47">F100+G100+H100+I100</f>
        <v>1650</v>
      </c>
      <c r="E100" s="16">
        <f t="shared" ref="E100:E108" si="48">F100+G100</f>
        <v>825</v>
      </c>
      <c r="F100" s="35">
        <v>412.5</v>
      </c>
      <c r="G100" s="35">
        <v>412.5</v>
      </c>
      <c r="H100" s="22">
        <v>412.5</v>
      </c>
      <c r="I100" s="19">
        <v>412.5</v>
      </c>
      <c r="J100" s="19">
        <v>516.9</v>
      </c>
      <c r="K100" s="17">
        <f t="shared" si="44"/>
        <v>62.654545454545456</v>
      </c>
      <c r="L100" s="19">
        <f t="shared" si="45"/>
        <v>31.327272727272728</v>
      </c>
      <c r="M100" s="19">
        <f t="shared" si="46"/>
        <v>31.327272727272728</v>
      </c>
    </row>
    <row r="101" spans="1:13" ht="38.25" customHeight="1" x14ac:dyDescent="0.25">
      <c r="A101" s="14" t="s">
        <v>21</v>
      </c>
      <c r="B101" s="20" t="s">
        <v>22</v>
      </c>
      <c r="C101" s="21">
        <v>1384.2</v>
      </c>
      <c r="D101" s="21">
        <f t="shared" si="47"/>
        <v>1384.1999999999998</v>
      </c>
      <c r="E101" s="16">
        <f t="shared" si="48"/>
        <v>692.1</v>
      </c>
      <c r="F101" s="35">
        <v>346</v>
      </c>
      <c r="G101" s="35">
        <v>346.1</v>
      </c>
      <c r="H101" s="22">
        <v>346</v>
      </c>
      <c r="I101" s="19">
        <v>346.1</v>
      </c>
      <c r="J101" s="19">
        <v>528</v>
      </c>
      <c r="K101" s="17">
        <f t="shared" si="44"/>
        <v>76.289553532726487</v>
      </c>
      <c r="L101" s="19">
        <f t="shared" si="45"/>
        <v>38.14477676636325</v>
      </c>
      <c r="M101" s="19">
        <f t="shared" si="46"/>
        <v>38.144776766363243</v>
      </c>
    </row>
    <row r="102" spans="1:13" ht="15" customHeight="1" x14ac:dyDescent="0.25">
      <c r="A102" s="14" t="s">
        <v>23</v>
      </c>
      <c r="B102" s="20" t="s">
        <v>24</v>
      </c>
      <c r="C102" s="21"/>
      <c r="D102" s="21">
        <f t="shared" si="47"/>
        <v>0</v>
      </c>
      <c r="E102" s="16">
        <f t="shared" si="48"/>
        <v>0</v>
      </c>
      <c r="F102" s="35"/>
      <c r="G102" s="35"/>
      <c r="H102" s="22"/>
      <c r="I102" s="19"/>
      <c r="J102" s="19"/>
      <c r="K102" s="17" t="e">
        <f t="shared" si="44"/>
        <v>#DIV/0!</v>
      </c>
      <c r="L102" s="19" t="e">
        <f t="shared" si="45"/>
        <v>#DIV/0!</v>
      </c>
      <c r="M102" s="19" t="e">
        <f t="shared" si="46"/>
        <v>#DIV/0!</v>
      </c>
    </row>
    <row r="103" spans="1:13" ht="16.5" customHeight="1" x14ac:dyDescent="0.25">
      <c r="A103" s="14" t="s">
        <v>25</v>
      </c>
      <c r="B103" s="20" t="s">
        <v>26</v>
      </c>
      <c r="C103" s="21">
        <v>152.1</v>
      </c>
      <c r="D103" s="21">
        <f t="shared" si="47"/>
        <v>152.10000000000002</v>
      </c>
      <c r="E103" s="16">
        <f t="shared" si="48"/>
        <v>61.8</v>
      </c>
      <c r="F103" s="35">
        <v>14.2</v>
      </c>
      <c r="G103" s="35">
        <v>47.6</v>
      </c>
      <c r="H103" s="22">
        <v>42.6</v>
      </c>
      <c r="I103" s="19">
        <v>47.7</v>
      </c>
      <c r="J103" s="19">
        <v>59.3</v>
      </c>
      <c r="K103" s="17">
        <f t="shared" si="44"/>
        <v>95.954692556634313</v>
      </c>
      <c r="L103" s="19">
        <f t="shared" si="45"/>
        <v>38.987508218277441</v>
      </c>
      <c r="M103" s="19">
        <f t="shared" si="46"/>
        <v>38.987508218277448</v>
      </c>
    </row>
    <row r="104" spans="1:13" ht="16.5" customHeight="1" x14ac:dyDescent="0.25">
      <c r="A104" s="14" t="s">
        <v>27</v>
      </c>
      <c r="B104" s="20" t="s">
        <v>28</v>
      </c>
      <c r="C104" s="21">
        <v>1.5</v>
      </c>
      <c r="D104" s="21">
        <f t="shared" si="47"/>
        <v>1.5</v>
      </c>
      <c r="E104" s="16">
        <f t="shared" si="48"/>
        <v>0.7</v>
      </c>
      <c r="F104" s="35">
        <v>0.4</v>
      </c>
      <c r="G104" s="35">
        <v>0.3</v>
      </c>
      <c r="H104" s="22">
        <v>0.4</v>
      </c>
      <c r="I104" s="19">
        <v>0.4</v>
      </c>
      <c r="J104" s="19">
        <v>1</v>
      </c>
      <c r="K104" s="17">
        <f t="shared" si="44"/>
        <v>142.85714285714286</v>
      </c>
      <c r="L104" s="19">
        <f t="shared" si="45"/>
        <v>66.666666666666671</v>
      </c>
      <c r="M104" s="19">
        <f t="shared" si="46"/>
        <v>66.666666666666671</v>
      </c>
    </row>
    <row r="105" spans="1:13" ht="42" customHeight="1" x14ac:dyDescent="0.25">
      <c r="A105" s="23" t="s">
        <v>31</v>
      </c>
      <c r="B105" s="20" t="s">
        <v>32</v>
      </c>
      <c r="C105" s="21">
        <v>26</v>
      </c>
      <c r="D105" s="21">
        <f t="shared" si="47"/>
        <v>26</v>
      </c>
      <c r="E105" s="16">
        <f t="shared" si="48"/>
        <v>10.4</v>
      </c>
      <c r="F105" s="35">
        <v>2.6</v>
      </c>
      <c r="G105" s="35">
        <v>7.8</v>
      </c>
      <c r="H105" s="22">
        <v>7.8</v>
      </c>
      <c r="I105" s="19">
        <v>7.8</v>
      </c>
      <c r="J105" s="19">
        <v>4.0999999999999996</v>
      </c>
      <c r="K105" s="17">
        <f t="shared" si="44"/>
        <v>39.42307692307692</v>
      </c>
      <c r="L105" s="19">
        <f t="shared" si="45"/>
        <v>15.769230769230766</v>
      </c>
      <c r="M105" s="19">
        <f t="shared" si="46"/>
        <v>15.769230769230766</v>
      </c>
    </row>
    <row r="106" spans="1:13" ht="30" customHeight="1" x14ac:dyDescent="0.25">
      <c r="A106" s="25" t="s">
        <v>35</v>
      </c>
      <c r="B106" s="20" t="s">
        <v>36</v>
      </c>
      <c r="C106" s="21">
        <v>0</v>
      </c>
      <c r="D106" s="21">
        <f t="shared" si="47"/>
        <v>0</v>
      </c>
      <c r="E106" s="16">
        <f t="shared" si="48"/>
        <v>0</v>
      </c>
      <c r="F106" s="35"/>
      <c r="G106" s="35"/>
      <c r="H106" s="22"/>
      <c r="I106" s="19"/>
      <c r="J106" s="19"/>
      <c r="K106" s="17"/>
      <c r="L106" s="19"/>
      <c r="M106" s="19"/>
    </row>
    <row r="107" spans="1:13" ht="15.75" customHeight="1" x14ac:dyDescent="0.25">
      <c r="A107" s="26" t="s">
        <v>41</v>
      </c>
      <c r="B107" s="52" t="s">
        <v>42</v>
      </c>
      <c r="C107" s="21"/>
      <c r="D107" s="21">
        <f t="shared" si="47"/>
        <v>0</v>
      </c>
      <c r="E107" s="16">
        <f t="shared" si="48"/>
        <v>0</v>
      </c>
      <c r="F107" s="35"/>
      <c r="G107" s="35"/>
      <c r="H107" s="22"/>
      <c r="I107" s="19"/>
      <c r="J107" s="19"/>
      <c r="K107" s="17"/>
      <c r="L107" s="19"/>
      <c r="M107" s="19"/>
    </row>
    <row r="108" spans="1:13" ht="16.5" customHeight="1" x14ac:dyDescent="0.25">
      <c r="A108" s="25" t="s">
        <v>43</v>
      </c>
      <c r="B108" s="28" t="s">
        <v>44</v>
      </c>
      <c r="C108" s="21"/>
      <c r="D108" s="21">
        <f t="shared" si="47"/>
        <v>0</v>
      </c>
      <c r="E108" s="16">
        <f t="shared" si="48"/>
        <v>0</v>
      </c>
      <c r="F108" s="35"/>
      <c r="G108" s="35"/>
      <c r="H108" s="22"/>
      <c r="I108" s="19"/>
      <c r="J108" s="19">
        <v>55.1</v>
      </c>
      <c r="K108" s="32"/>
      <c r="L108" s="13"/>
      <c r="M108" s="19"/>
    </row>
    <row r="109" spans="1:13" ht="15.75" customHeight="1" x14ac:dyDescent="0.25">
      <c r="A109" s="10" t="s">
        <v>45</v>
      </c>
      <c r="B109" s="30" t="s">
        <v>46</v>
      </c>
      <c r="C109" s="31">
        <f t="shared" ref="C109:J109" si="49">C110+C111</f>
        <v>24834.799999999999</v>
      </c>
      <c r="D109" s="31">
        <f t="shared" si="49"/>
        <v>45677.999999999993</v>
      </c>
      <c r="E109" s="31">
        <f t="shared" si="49"/>
        <v>33260.6</v>
      </c>
      <c r="F109" s="31">
        <f t="shared" si="49"/>
        <v>19348.599999999999</v>
      </c>
      <c r="G109" s="31">
        <f t="shared" si="49"/>
        <v>13912</v>
      </c>
      <c r="H109" s="31">
        <f t="shared" si="49"/>
        <v>6208.7</v>
      </c>
      <c r="I109" s="31">
        <f t="shared" si="49"/>
        <v>6208.7</v>
      </c>
      <c r="J109" s="31">
        <f t="shared" si="49"/>
        <v>20210.2</v>
      </c>
      <c r="K109" s="32">
        <f>J109*100/E109</f>
        <v>60.763185270259712</v>
      </c>
      <c r="L109" s="13">
        <f>J109*100/D109</f>
        <v>44.244931914707308</v>
      </c>
      <c r="M109" s="13">
        <f>J109*100/C109</f>
        <v>81.378549454797309</v>
      </c>
    </row>
    <row r="110" spans="1:13" ht="38.25" customHeight="1" x14ac:dyDescent="0.25">
      <c r="A110" s="33" t="s">
        <v>47</v>
      </c>
      <c r="B110" s="34" t="s">
        <v>48</v>
      </c>
      <c r="C110" s="35">
        <v>24834.799999999999</v>
      </c>
      <c r="D110" s="21">
        <f>F110+G110+H110+I110</f>
        <v>45677.999999999993</v>
      </c>
      <c r="E110" s="16">
        <f>F110+G110</f>
        <v>33260.6</v>
      </c>
      <c r="F110" s="35">
        <f>19088.6+260</f>
        <v>19348.599999999999</v>
      </c>
      <c r="G110" s="35">
        <v>13912</v>
      </c>
      <c r="H110" s="22">
        <v>6208.7</v>
      </c>
      <c r="I110" s="19">
        <v>6208.7</v>
      </c>
      <c r="J110" s="19">
        <v>20210.2</v>
      </c>
      <c r="K110" s="17">
        <f>J110*100/E110</f>
        <v>60.763185270259712</v>
      </c>
      <c r="L110" s="19">
        <f>J110*100/D110</f>
        <v>44.244931914707308</v>
      </c>
      <c r="M110" s="19">
        <f>J110*100/C110</f>
        <v>81.378549454797309</v>
      </c>
    </row>
    <row r="111" spans="1:13" ht="18" customHeight="1" x14ac:dyDescent="0.25">
      <c r="A111" s="33" t="s">
        <v>63</v>
      </c>
      <c r="B111" s="36" t="s">
        <v>50</v>
      </c>
      <c r="C111" s="36"/>
      <c r="D111" s="21">
        <f>F111+G111+H111+I111</f>
        <v>0</v>
      </c>
      <c r="E111" s="21">
        <f>F111+G111</f>
        <v>0</v>
      </c>
      <c r="F111" s="51"/>
      <c r="G111" s="51"/>
      <c r="H111" s="22"/>
      <c r="I111" s="19"/>
      <c r="J111" s="19"/>
      <c r="K111" s="32"/>
      <c r="L111" s="13"/>
      <c r="M111" s="19" t="e">
        <f>J111*100/C111</f>
        <v>#DIV/0!</v>
      </c>
    </row>
    <row r="112" spans="1:13" ht="16.5" customHeight="1" x14ac:dyDescent="0.25">
      <c r="A112" s="26"/>
      <c r="B112" s="40" t="s">
        <v>55</v>
      </c>
      <c r="C112" s="13">
        <f t="shared" ref="C112:J112" si="50">C109+C99</f>
        <v>28048.6</v>
      </c>
      <c r="D112" s="13">
        <f t="shared" si="50"/>
        <v>48891.799999999996</v>
      </c>
      <c r="E112" s="12">
        <f t="shared" si="50"/>
        <v>34850.6</v>
      </c>
      <c r="F112" s="12">
        <f t="shared" si="50"/>
        <v>20124.3</v>
      </c>
      <c r="G112" s="12">
        <f>G109+G99</f>
        <v>14726.3</v>
      </c>
      <c r="H112" s="13">
        <f t="shared" si="50"/>
        <v>7018</v>
      </c>
      <c r="I112" s="13">
        <f t="shared" si="50"/>
        <v>7023.2</v>
      </c>
      <c r="J112" s="13">
        <f t="shared" si="50"/>
        <v>21374.600000000002</v>
      </c>
      <c r="K112" s="32">
        <f>J112*100/E112</f>
        <v>61.332086104686866</v>
      </c>
      <c r="L112" s="13">
        <f>J112*100/D112</f>
        <v>43.71816950899742</v>
      </c>
      <c r="M112" s="13">
        <f>J112*100/C112</f>
        <v>76.205586018553518</v>
      </c>
    </row>
    <row r="113" spans="1:13" x14ac:dyDescent="0.25">
      <c r="A113" s="146"/>
      <c r="B113" s="147"/>
      <c r="C113" s="147"/>
      <c r="D113" s="147"/>
      <c r="E113" s="147"/>
      <c r="F113" s="147"/>
      <c r="G113" s="147"/>
      <c r="H113" s="147"/>
      <c r="I113" s="147"/>
      <c r="J113" s="147"/>
      <c r="K113" s="32"/>
      <c r="L113" s="13"/>
      <c r="M113" s="19"/>
    </row>
    <row r="114" spans="1:13" x14ac:dyDescent="0.25">
      <c r="A114" s="143" t="s">
        <v>64</v>
      </c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5"/>
    </row>
    <row r="115" spans="1:13" ht="13.5" customHeight="1" x14ac:dyDescent="0.25">
      <c r="A115" s="29" t="s">
        <v>17</v>
      </c>
      <c r="B115" s="42" t="s">
        <v>18</v>
      </c>
      <c r="C115" s="32">
        <f>C116+C120+C124+C121+C122+C125+C123+C126+C117+C118+C119</f>
        <v>5233.8</v>
      </c>
      <c r="D115" s="32">
        <f t="shared" ref="D115:I115" si="51">D116+D120+D124+D121+D122+D125+D123+D126+D117+D118+D119</f>
        <v>5233.8</v>
      </c>
      <c r="E115" s="32">
        <f t="shared" si="51"/>
        <v>2588</v>
      </c>
      <c r="F115" s="32">
        <f t="shared" si="51"/>
        <v>1317</v>
      </c>
      <c r="G115" s="32">
        <f t="shared" si="51"/>
        <v>1271</v>
      </c>
      <c r="H115" s="32">
        <f t="shared" si="51"/>
        <v>1271</v>
      </c>
      <c r="I115" s="32">
        <f t="shared" si="51"/>
        <v>1374.8</v>
      </c>
      <c r="J115" s="32">
        <f>J116+J120+J124+J121+J122+J125+J123+J126+J117+J118+J119</f>
        <v>2112.1999999999998</v>
      </c>
      <c r="K115" s="32">
        <f t="shared" ref="K115:K122" si="52">J115*100/E115</f>
        <v>81.615146831530126</v>
      </c>
      <c r="L115" s="13">
        <f t="shared" ref="L115:L122" si="53">J115*100/D115</f>
        <v>40.356910848714122</v>
      </c>
      <c r="M115" s="13">
        <f t="shared" ref="M115:M122" si="54">J115*100/C115</f>
        <v>40.356910848714122</v>
      </c>
    </row>
    <row r="116" spans="1:13" ht="15" customHeight="1" x14ac:dyDescent="0.25">
      <c r="A116" s="26" t="s">
        <v>19</v>
      </c>
      <c r="B116" s="20" t="s">
        <v>20</v>
      </c>
      <c r="C116" s="21">
        <v>1220</v>
      </c>
      <c r="D116" s="21">
        <f t="shared" ref="D116:D126" si="55">F116+G116+H116+I116</f>
        <v>1220</v>
      </c>
      <c r="E116" s="16">
        <f t="shared" ref="E116:E126" si="56">F116+G116</f>
        <v>600</v>
      </c>
      <c r="F116" s="21">
        <v>300</v>
      </c>
      <c r="G116" s="21">
        <v>300</v>
      </c>
      <c r="H116" s="19">
        <v>300</v>
      </c>
      <c r="I116" s="19">
        <v>320</v>
      </c>
      <c r="J116" s="19">
        <v>496.3</v>
      </c>
      <c r="K116" s="17">
        <f t="shared" si="52"/>
        <v>82.716666666666669</v>
      </c>
      <c r="L116" s="19">
        <f t="shared" si="53"/>
        <v>40.680327868852459</v>
      </c>
      <c r="M116" s="19">
        <f t="shared" si="54"/>
        <v>40.680327868852459</v>
      </c>
    </row>
    <row r="117" spans="1:13" ht="15.75" customHeight="1" x14ac:dyDescent="0.25">
      <c r="A117" s="14" t="s">
        <v>23</v>
      </c>
      <c r="B117" s="20" t="s">
        <v>24</v>
      </c>
      <c r="C117" s="21"/>
      <c r="D117" s="21">
        <f t="shared" si="55"/>
        <v>0</v>
      </c>
      <c r="E117" s="16">
        <f t="shared" si="56"/>
        <v>0</v>
      </c>
      <c r="F117" s="21"/>
      <c r="G117" s="21"/>
      <c r="H117" s="19"/>
      <c r="I117" s="19"/>
      <c r="J117" s="19"/>
      <c r="K117" s="17" t="e">
        <f t="shared" si="52"/>
        <v>#DIV/0!</v>
      </c>
      <c r="L117" s="19" t="e">
        <f t="shared" si="53"/>
        <v>#DIV/0!</v>
      </c>
      <c r="M117" s="19" t="e">
        <f t="shared" si="54"/>
        <v>#DIV/0!</v>
      </c>
    </row>
    <row r="118" spans="1:13" ht="39.75" customHeight="1" x14ac:dyDescent="0.25">
      <c r="A118" s="14" t="s">
        <v>21</v>
      </c>
      <c r="B118" s="20" t="s">
        <v>22</v>
      </c>
      <c r="C118" s="21">
        <v>2995.9</v>
      </c>
      <c r="D118" s="21">
        <f t="shared" si="55"/>
        <v>2995.9</v>
      </c>
      <c r="E118" s="16">
        <f t="shared" si="56"/>
        <v>1494</v>
      </c>
      <c r="F118" s="21">
        <v>747</v>
      </c>
      <c r="G118" s="21">
        <v>747</v>
      </c>
      <c r="H118" s="19">
        <v>747</v>
      </c>
      <c r="I118" s="19">
        <v>754.9</v>
      </c>
      <c r="J118" s="19">
        <v>1143</v>
      </c>
      <c r="K118" s="17">
        <f t="shared" si="52"/>
        <v>76.506024096385545</v>
      </c>
      <c r="L118" s="19">
        <f t="shared" si="53"/>
        <v>38.152141259721617</v>
      </c>
      <c r="M118" s="19">
        <f t="shared" si="54"/>
        <v>38.152141259721617</v>
      </c>
    </row>
    <row r="119" spans="1:13" ht="17.25" customHeight="1" x14ac:dyDescent="0.25">
      <c r="A119" s="14" t="s">
        <v>23</v>
      </c>
      <c r="B119" s="20" t="s">
        <v>24</v>
      </c>
      <c r="C119" s="21">
        <v>10</v>
      </c>
      <c r="D119" s="21">
        <f t="shared" si="55"/>
        <v>10</v>
      </c>
      <c r="E119" s="16">
        <f t="shared" si="56"/>
        <v>5</v>
      </c>
      <c r="F119" s="21">
        <v>2</v>
      </c>
      <c r="G119" s="21">
        <v>3</v>
      </c>
      <c r="H119" s="19">
        <v>3</v>
      </c>
      <c r="I119" s="19">
        <v>2</v>
      </c>
      <c r="J119" s="19">
        <v>0</v>
      </c>
      <c r="K119" s="17">
        <f t="shared" si="52"/>
        <v>0</v>
      </c>
      <c r="L119" s="19">
        <f t="shared" si="53"/>
        <v>0</v>
      </c>
      <c r="M119" s="19">
        <f t="shared" si="54"/>
        <v>0</v>
      </c>
    </row>
    <row r="120" spans="1:13" ht="18" customHeight="1" x14ac:dyDescent="0.25">
      <c r="A120" s="14" t="s">
        <v>25</v>
      </c>
      <c r="B120" s="20" t="s">
        <v>26</v>
      </c>
      <c r="C120" s="21">
        <v>231.2</v>
      </c>
      <c r="D120" s="21">
        <f t="shared" si="55"/>
        <v>231.2</v>
      </c>
      <c r="E120" s="16">
        <f t="shared" si="56"/>
        <v>123</v>
      </c>
      <c r="F120" s="21">
        <v>90</v>
      </c>
      <c r="G120" s="21">
        <v>33</v>
      </c>
      <c r="H120" s="19">
        <v>33</v>
      </c>
      <c r="I120" s="19">
        <v>75.2</v>
      </c>
      <c r="J120" s="19">
        <v>31.5</v>
      </c>
      <c r="K120" s="17">
        <f t="shared" si="52"/>
        <v>25.609756097560975</v>
      </c>
      <c r="L120" s="19">
        <f t="shared" si="53"/>
        <v>13.624567474048444</v>
      </c>
      <c r="M120" s="19">
        <f t="shared" si="54"/>
        <v>13.624567474048444</v>
      </c>
    </row>
    <row r="121" spans="1:13" ht="17.25" customHeight="1" x14ac:dyDescent="0.25">
      <c r="A121" s="14" t="s">
        <v>27</v>
      </c>
      <c r="B121" s="20" t="s">
        <v>28</v>
      </c>
      <c r="C121" s="21">
        <v>13.5</v>
      </c>
      <c r="D121" s="21">
        <f t="shared" si="55"/>
        <v>13.5</v>
      </c>
      <c r="E121" s="16">
        <f t="shared" si="56"/>
        <v>6</v>
      </c>
      <c r="F121" s="21">
        <v>3</v>
      </c>
      <c r="G121" s="21">
        <v>3</v>
      </c>
      <c r="H121" s="19">
        <v>3</v>
      </c>
      <c r="I121" s="19">
        <v>4.5</v>
      </c>
      <c r="J121" s="19">
        <v>4</v>
      </c>
      <c r="K121" s="17">
        <f t="shared" si="52"/>
        <v>66.666666666666671</v>
      </c>
      <c r="L121" s="19">
        <f t="shared" si="53"/>
        <v>29.62962962962963</v>
      </c>
      <c r="M121" s="19">
        <f t="shared" si="54"/>
        <v>29.62962962962963</v>
      </c>
    </row>
    <row r="122" spans="1:13" ht="41.25" customHeight="1" x14ac:dyDescent="0.25">
      <c r="A122" s="23" t="s">
        <v>31</v>
      </c>
      <c r="B122" s="20" t="s">
        <v>32</v>
      </c>
      <c r="C122" s="21">
        <v>763.2</v>
      </c>
      <c r="D122" s="21">
        <f t="shared" si="55"/>
        <v>763.2</v>
      </c>
      <c r="E122" s="16">
        <f t="shared" si="56"/>
        <v>360</v>
      </c>
      <c r="F122" s="21">
        <v>175</v>
      </c>
      <c r="G122" s="21">
        <v>185</v>
      </c>
      <c r="H122" s="19">
        <v>185</v>
      </c>
      <c r="I122" s="19">
        <v>218.2</v>
      </c>
      <c r="J122" s="19">
        <v>277.10000000000002</v>
      </c>
      <c r="K122" s="17">
        <f t="shared" si="52"/>
        <v>76.972222222222229</v>
      </c>
      <c r="L122" s="19">
        <f t="shared" si="53"/>
        <v>36.307651991614257</v>
      </c>
      <c r="M122" s="19">
        <f t="shared" si="54"/>
        <v>36.307651991614257</v>
      </c>
    </row>
    <row r="123" spans="1:13" ht="28.5" customHeight="1" x14ac:dyDescent="0.25">
      <c r="A123" s="25" t="s">
        <v>35</v>
      </c>
      <c r="B123" s="20" t="s">
        <v>36</v>
      </c>
      <c r="C123" s="21">
        <v>0</v>
      </c>
      <c r="D123" s="21">
        <f t="shared" si="55"/>
        <v>0</v>
      </c>
      <c r="E123" s="16">
        <f t="shared" si="56"/>
        <v>0</v>
      </c>
      <c r="F123" s="21"/>
      <c r="G123" s="21"/>
      <c r="H123" s="19"/>
      <c r="I123" s="19"/>
      <c r="J123" s="19"/>
      <c r="K123" s="17"/>
      <c r="L123" s="19"/>
      <c r="M123" s="19"/>
    </row>
    <row r="124" spans="1:13" ht="27.75" customHeight="1" x14ac:dyDescent="0.25">
      <c r="A124" s="24" t="s">
        <v>37</v>
      </c>
      <c r="B124" s="20" t="s">
        <v>38</v>
      </c>
      <c r="C124" s="21"/>
      <c r="D124" s="21">
        <f t="shared" si="55"/>
        <v>0</v>
      </c>
      <c r="E124" s="16">
        <f t="shared" si="56"/>
        <v>0</v>
      </c>
      <c r="F124" s="21"/>
      <c r="G124" s="21"/>
      <c r="H124" s="19"/>
      <c r="I124" s="19"/>
      <c r="J124" s="19"/>
      <c r="K124" s="17"/>
      <c r="L124" s="19"/>
      <c r="M124" s="19"/>
    </row>
    <row r="125" spans="1:13" ht="17.25" customHeight="1" x14ac:dyDescent="0.25">
      <c r="A125" s="26" t="s">
        <v>41</v>
      </c>
      <c r="B125" s="20" t="s">
        <v>42</v>
      </c>
      <c r="C125" s="21"/>
      <c r="D125" s="21">
        <f t="shared" si="55"/>
        <v>0</v>
      </c>
      <c r="E125" s="16">
        <f t="shared" si="56"/>
        <v>0</v>
      </c>
      <c r="F125" s="21"/>
      <c r="G125" s="21"/>
      <c r="H125" s="19"/>
      <c r="I125" s="19"/>
      <c r="J125" s="19"/>
      <c r="K125" s="32" t="e">
        <f>J125*100/E125</f>
        <v>#DIV/0!</v>
      </c>
      <c r="L125" s="13" t="e">
        <f>J125*100/D125</f>
        <v>#DIV/0!</v>
      </c>
      <c r="M125" s="19" t="e">
        <f>J125*100/C125</f>
        <v>#DIV/0!</v>
      </c>
    </row>
    <row r="126" spans="1:13" ht="18.75" customHeight="1" x14ac:dyDescent="0.25">
      <c r="A126" s="24" t="s">
        <v>43</v>
      </c>
      <c r="B126" s="28" t="s">
        <v>44</v>
      </c>
      <c r="C126" s="21"/>
      <c r="D126" s="21">
        <f t="shared" si="55"/>
        <v>0</v>
      </c>
      <c r="E126" s="16">
        <f t="shared" si="56"/>
        <v>0</v>
      </c>
      <c r="F126" s="21"/>
      <c r="G126" s="21"/>
      <c r="H126" s="19"/>
      <c r="I126" s="19"/>
      <c r="J126" s="19">
        <v>160.30000000000001</v>
      </c>
      <c r="K126" s="32"/>
      <c r="L126" s="13"/>
      <c r="M126" s="19"/>
    </row>
    <row r="127" spans="1:13" ht="14.25" customHeight="1" x14ac:dyDescent="0.25">
      <c r="A127" s="29" t="s">
        <v>45</v>
      </c>
      <c r="B127" s="30" t="s">
        <v>46</v>
      </c>
      <c r="C127" s="31">
        <f t="shared" ref="C127:J127" si="57">C128</f>
        <v>29441.3</v>
      </c>
      <c r="D127" s="31">
        <f t="shared" si="57"/>
        <v>39413.5</v>
      </c>
      <c r="E127" s="53">
        <f t="shared" si="57"/>
        <v>24853.1</v>
      </c>
      <c r="F127" s="53">
        <f t="shared" si="57"/>
        <v>9959</v>
      </c>
      <c r="G127" s="53">
        <f t="shared" si="57"/>
        <v>14894.1</v>
      </c>
      <c r="H127" s="53">
        <f t="shared" si="57"/>
        <v>8203.5</v>
      </c>
      <c r="I127" s="31">
        <f t="shared" si="57"/>
        <v>6356.9</v>
      </c>
      <c r="J127" s="31">
        <f t="shared" si="57"/>
        <v>14519.7</v>
      </c>
      <c r="K127" s="32">
        <f>J127*100/E127</f>
        <v>58.422088190205649</v>
      </c>
      <c r="L127" s="13">
        <f>J127*100/D127</f>
        <v>36.839407817118499</v>
      </c>
      <c r="M127" s="13">
        <f>J127*100/C127</f>
        <v>49.317455411276001</v>
      </c>
    </row>
    <row r="128" spans="1:13" ht="43.5" customHeight="1" x14ac:dyDescent="0.25">
      <c r="A128" s="33" t="s">
        <v>47</v>
      </c>
      <c r="B128" s="34" t="s">
        <v>48</v>
      </c>
      <c r="C128" s="35">
        <v>29441.3</v>
      </c>
      <c r="D128" s="21">
        <f>F128+G128+H128+I128</f>
        <v>39413.5</v>
      </c>
      <c r="E128" s="16">
        <f>F128+G128</f>
        <v>24853.1</v>
      </c>
      <c r="F128" s="21">
        <f>9938.9+20.1</f>
        <v>9959</v>
      </c>
      <c r="G128" s="21">
        <f>14661.1+233</f>
        <v>14894.1</v>
      </c>
      <c r="H128" s="19">
        <v>8203.5</v>
      </c>
      <c r="I128" s="19">
        <v>6356.9</v>
      </c>
      <c r="J128" s="19">
        <v>14519.7</v>
      </c>
      <c r="K128" s="17">
        <f>J128*100/E128</f>
        <v>58.422088190205649</v>
      </c>
      <c r="L128" s="19">
        <f>J128*100/D128</f>
        <v>36.839407817118499</v>
      </c>
      <c r="M128" s="19">
        <f>J128*100/C128</f>
        <v>49.317455411276001</v>
      </c>
    </row>
    <row r="129" spans="1:13" ht="15.75" customHeight="1" x14ac:dyDescent="0.25">
      <c r="A129" s="26"/>
      <c r="B129" s="40" t="s">
        <v>55</v>
      </c>
      <c r="C129" s="13">
        <f t="shared" ref="C129:J129" si="58">C127+C115</f>
        <v>34675.1</v>
      </c>
      <c r="D129" s="13">
        <f t="shared" si="58"/>
        <v>44647.3</v>
      </c>
      <c r="E129" s="13">
        <f t="shared" si="58"/>
        <v>27441.1</v>
      </c>
      <c r="F129" s="13">
        <f t="shared" si="58"/>
        <v>11276</v>
      </c>
      <c r="G129" s="13">
        <f t="shared" si="58"/>
        <v>16165.1</v>
      </c>
      <c r="H129" s="13">
        <f t="shared" si="58"/>
        <v>9474.5</v>
      </c>
      <c r="I129" s="13">
        <f t="shared" si="58"/>
        <v>7731.7</v>
      </c>
      <c r="J129" s="13">
        <f t="shared" si="58"/>
        <v>16631.900000000001</v>
      </c>
      <c r="K129" s="32">
        <f>J129*100/E129</f>
        <v>60.609450787322679</v>
      </c>
      <c r="L129" s="13">
        <f>J129*100/D129</f>
        <v>37.251748705968787</v>
      </c>
      <c r="M129" s="13">
        <f>J129*100/C129</f>
        <v>47.964966214949641</v>
      </c>
    </row>
    <row r="130" spans="1:13" x14ac:dyDescent="0.25">
      <c r="A130" s="146"/>
      <c r="B130" s="147"/>
      <c r="C130" s="147"/>
      <c r="D130" s="147"/>
      <c r="E130" s="147"/>
      <c r="F130" s="147"/>
      <c r="G130" s="147"/>
      <c r="H130" s="147"/>
      <c r="I130" s="147"/>
      <c r="J130" s="147"/>
      <c r="K130" s="32"/>
      <c r="L130" s="13"/>
      <c r="M130" s="19"/>
    </row>
    <row r="131" spans="1:13" x14ac:dyDescent="0.25">
      <c r="A131" s="143" t="s">
        <v>65</v>
      </c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5"/>
    </row>
    <row r="132" spans="1:13" ht="12.75" customHeight="1" x14ac:dyDescent="0.25">
      <c r="A132" s="29" t="s">
        <v>17</v>
      </c>
      <c r="B132" s="42" t="s">
        <v>18</v>
      </c>
      <c r="C132" s="32">
        <f t="shared" ref="C132:I132" si="59">C133+C135+C136+C137+C139+C141+C138+C140+C134</f>
        <v>9968.5</v>
      </c>
      <c r="D132" s="32">
        <f t="shared" si="59"/>
        <v>9968.5</v>
      </c>
      <c r="E132" s="32">
        <f t="shared" si="59"/>
        <v>4694.5</v>
      </c>
      <c r="F132" s="32">
        <f t="shared" si="59"/>
        <v>1877</v>
      </c>
      <c r="G132" s="32">
        <f t="shared" si="59"/>
        <v>2817.5</v>
      </c>
      <c r="H132" s="32">
        <f t="shared" si="59"/>
        <v>2583.6</v>
      </c>
      <c r="I132" s="32">
        <f t="shared" si="59"/>
        <v>2690.4</v>
      </c>
      <c r="J132" s="32">
        <f>J133+J135+J136+J137+J139+J141+J138+J140+J134</f>
        <v>3806.9</v>
      </c>
      <c r="K132" s="32">
        <f t="shared" ref="K132:K137" si="60">J132*100/E132</f>
        <v>81.092768132921506</v>
      </c>
      <c r="L132" s="13">
        <f t="shared" ref="L132:L137" si="61">J132*100/D132</f>
        <v>38.189296283292371</v>
      </c>
      <c r="M132" s="13">
        <f t="shared" ref="M132:M137" si="62">J132*100/C132</f>
        <v>38.189296283292371</v>
      </c>
    </row>
    <row r="133" spans="1:13" ht="14.25" customHeight="1" x14ac:dyDescent="0.25">
      <c r="A133" s="26" t="s">
        <v>19</v>
      </c>
      <c r="B133" s="20" t="s">
        <v>20</v>
      </c>
      <c r="C133" s="21">
        <v>2675</v>
      </c>
      <c r="D133" s="21">
        <f t="shared" ref="D133:D141" si="63">F133+G133+H133+I133</f>
        <v>2675</v>
      </c>
      <c r="E133" s="16">
        <f t="shared" ref="E133:E141" si="64">F133+G133</f>
        <v>1503.7</v>
      </c>
      <c r="F133" s="35">
        <v>605.6</v>
      </c>
      <c r="G133" s="35">
        <v>898.1</v>
      </c>
      <c r="H133" s="22">
        <v>607.5</v>
      </c>
      <c r="I133" s="19">
        <v>563.79999999999995</v>
      </c>
      <c r="J133" s="19">
        <v>1145.9000000000001</v>
      </c>
      <c r="K133" s="17">
        <f t="shared" si="60"/>
        <v>76.205360111724417</v>
      </c>
      <c r="L133" s="19">
        <f t="shared" si="61"/>
        <v>42.837383177570096</v>
      </c>
      <c r="M133" s="19">
        <f t="shared" si="62"/>
        <v>42.837383177570096</v>
      </c>
    </row>
    <row r="134" spans="1:13" ht="40.5" customHeight="1" x14ac:dyDescent="0.25">
      <c r="A134" s="14" t="s">
        <v>21</v>
      </c>
      <c r="B134" s="20" t="s">
        <v>22</v>
      </c>
      <c r="C134" s="21">
        <v>6546.6</v>
      </c>
      <c r="D134" s="21">
        <f t="shared" si="63"/>
        <v>6546.5999999999995</v>
      </c>
      <c r="E134" s="16">
        <f t="shared" si="64"/>
        <v>2930.6</v>
      </c>
      <c r="F134" s="35">
        <v>1174</v>
      </c>
      <c r="G134" s="35">
        <v>1756.6</v>
      </c>
      <c r="H134" s="22">
        <v>1738.3</v>
      </c>
      <c r="I134" s="19">
        <v>1877.7</v>
      </c>
      <c r="J134" s="19">
        <v>2497.6</v>
      </c>
      <c r="K134" s="17">
        <f t="shared" si="60"/>
        <v>85.224868627584797</v>
      </c>
      <c r="L134" s="19">
        <f t="shared" si="61"/>
        <v>38.151101335044146</v>
      </c>
      <c r="M134" s="19">
        <f t="shared" si="62"/>
        <v>38.151101335044146</v>
      </c>
    </row>
    <row r="135" spans="1:13" ht="13.5" customHeight="1" x14ac:dyDescent="0.25">
      <c r="A135" s="14" t="s">
        <v>25</v>
      </c>
      <c r="B135" s="20" t="s">
        <v>26</v>
      </c>
      <c r="C135" s="21">
        <v>506.9</v>
      </c>
      <c r="D135" s="21">
        <f t="shared" si="63"/>
        <v>506.9</v>
      </c>
      <c r="E135" s="16">
        <f t="shared" si="64"/>
        <v>186.7</v>
      </c>
      <c r="F135" s="35">
        <v>75.400000000000006</v>
      </c>
      <c r="G135" s="35">
        <v>111.3</v>
      </c>
      <c r="H135" s="22">
        <v>160.80000000000001</v>
      </c>
      <c r="I135" s="19">
        <v>159.4</v>
      </c>
      <c r="J135" s="19">
        <v>149.4</v>
      </c>
      <c r="K135" s="17">
        <f t="shared" si="60"/>
        <v>80.021424745581157</v>
      </c>
      <c r="L135" s="19">
        <f t="shared" si="61"/>
        <v>29.473268889327287</v>
      </c>
      <c r="M135" s="19">
        <f t="shared" si="62"/>
        <v>29.473268889327287</v>
      </c>
    </row>
    <row r="136" spans="1:13" ht="16.5" customHeight="1" x14ac:dyDescent="0.25">
      <c r="A136" s="14" t="s">
        <v>27</v>
      </c>
      <c r="B136" s="20" t="s">
        <v>28</v>
      </c>
      <c r="C136" s="21">
        <v>20</v>
      </c>
      <c r="D136" s="21">
        <f t="shared" si="63"/>
        <v>20</v>
      </c>
      <c r="E136" s="16">
        <f t="shared" si="64"/>
        <v>9</v>
      </c>
      <c r="F136" s="35">
        <v>2.5</v>
      </c>
      <c r="G136" s="35">
        <v>6.5</v>
      </c>
      <c r="H136" s="22">
        <v>9</v>
      </c>
      <c r="I136" s="19">
        <v>2</v>
      </c>
      <c r="J136" s="19">
        <v>8.1999999999999993</v>
      </c>
      <c r="K136" s="17">
        <f t="shared" si="60"/>
        <v>91.1111111111111</v>
      </c>
      <c r="L136" s="19">
        <f t="shared" si="61"/>
        <v>40.999999999999993</v>
      </c>
      <c r="M136" s="19">
        <f t="shared" si="62"/>
        <v>40.999999999999993</v>
      </c>
    </row>
    <row r="137" spans="1:13" ht="42" customHeight="1" x14ac:dyDescent="0.25">
      <c r="A137" s="23" t="s">
        <v>31</v>
      </c>
      <c r="B137" s="20" t="s">
        <v>32</v>
      </c>
      <c r="C137" s="21">
        <v>220</v>
      </c>
      <c r="D137" s="21">
        <f t="shared" si="63"/>
        <v>220</v>
      </c>
      <c r="E137" s="16">
        <f t="shared" si="64"/>
        <v>64.5</v>
      </c>
      <c r="F137" s="35">
        <v>19.5</v>
      </c>
      <c r="G137" s="35">
        <v>45</v>
      </c>
      <c r="H137" s="22">
        <v>68</v>
      </c>
      <c r="I137" s="19">
        <v>87.5</v>
      </c>
      <c r="J137" s="19">
        <v>5.8</v>
      </c>
      <c r="K137" s="17">
        <f t="shared" si="60"/>
        <v>8.9922480620155039</v>
      </c>
      <c r="L137" s="19">
        <f t="shared" si="61"/>
        <v>2.6363636363636362</v>
      </c>
      <c r="M137" s="19">
        <f t="shared" si="62"/>
        <v>2.6363636363636362</v>
      </c>
    </row>
    <row r="138" spans="1:13" ht="30.75" customHeight="1" x14ac:dyDescent="0.25">
      <c r="A138" s="25" t="s">
        <v>35</v>
      </c>
      <c r="B138" s="20" t="s">
        <v>36</v>
      </c>
      <c r="C138" s="21">
        <v>0</v>
      </c>
      <c r="D138" s="21">
        <f t="shared" si="63"/>
        <v>0</v>
      </c>
      <c r="E138" s="16">
        <f t="shared" si="64"/>
        <v>0</v>
      </c>
      <c r="F138" s="35"/>
      <c r="G138" s="35"/>
      <c r="H138" s="22"/>
      <c r="I138" s="19"/>
      <c r="J138" s="19"/>
      <c r="K138" s="17"/>
      <c r="L138" s="19"/>
      <c r="M138" s="19"/>
    </row>
    <row r="139" spans="1:13" ht="30" customHeight="1" x14ac:dyDescent="0.25">
      <c r="A139" s="25" t="s">
        <v>37</v>
      </c>
      <c r="B139" s="20" t="s">
        <v>38</v>
      </c>
      <c r="C139" s="21">
        <v>0</v>
      </c>
      <c r="D139" s="21">
        <f t="shared" si="63"/>
        <v>0</v>
      </c>
      <c r="E139" s="16">
        <f t="shared" si="64"/>
        <v>0</v>
      </c>
      <c r="F139" s="35"/>
      <c r="G139" s="35"/>
      <c r="H139" s="22"/>
      <c r="I139" s="19"/>
      <c r="J139" s="19"/>
      <c r="K139" s="17" t="e">
        <f>J139*100/E139</f>
        <v>#DIV/0!</v>
      </c>
      <c r="L139" s="19" t="e">
        <f>J139*100/D139</f>
        <v>#DIV/0!</v>
      </c>
      <c r="M139" s="19"/>
    </row>
    <row r="140" spans="1:13" ht="15.75" customHeight="1" x14ac:dyDescent="0.25">
      <c r="A140" s="26" t="s">
        <v>41</v>
      </c>
      <c r="B140" s="20" t="s">
        <v>42</v>
      </c>
      <c r="C140" s="21"/>
      <c r="D140" s="21">
        <f t="shared" si="63"/>
        <v>0</v>
      </c>
      <c r="E140" s="16">
        <f t="shared" si="64"/>
        <v>0</v>
      </c>
      <c r="F140" s="35"/>
      <c r="G140" s="35"/>
      <c r="H140" s="22"/>
      <c r="I140" s="19"/>
      <c r="J140" s="19"/>
      <c r="K140" s="17"/>
      <c r="L140" s="19"/>
      <c r="M140" s="19"/>
    </row>
    <row r="141" spans="1:13" ht="20.25" customHeight="1" x14ac:dyDescent="0.25">
      <c r="A141" s="25" t="s">
        <v>43</v>
      </c>
      <c r="B141" s="28" t="s">
        <v>44</v>
      </c>
      <c r="C141" s="21"/>
      <c r="D141" s="21">
        <f t="shared" si="63"/>
        <v>0</v>
      </c>
      <c r="E141" s="16">
        <f t="shared" si="64"/>
        <v>0</v>
      </c>
      <c r="F141" s="35"/>
      <c r="G141" s="35"/>
      <c r="H141" s="22"/>
      <c r="I141" s="19"/>
      <c r="J141" s="22"/>
      <c r="K141" s="17"/>
      <c r="L141" s="19"/>
      <c r="M141" s="19"/>
    </row>
    <row r="142" spans="1:13" ht="15.75" customHeight="1" x14ac:dyDescent="0.25">
      <c r="A142" s="10" t="s">
        <v>45</v>
      </c>
      <c r="B142" s="30" t="s">
        <v>46</v>
      </c>
      <c r="C142" s="31">
        <f t="shared" ref="C142:I142" si="65">C143+C144+C145</f>
        <v>46888.3</v>
      </c>
      <c r="D142" s="31">
        <f>D143+D144+D146</f>
        <v>84458.099999999991</v>
      </c>
      <c r="E142" s="31">
        <f t="shared" si="65"/>
        <v>57368.399999999994</v>
      </c>
      <c r="F142" s="31">
        <f>F143+F144+F145+F146</f>
        <v>43411.7</v>
      </c>
      <c r="G142" s="31">
        <f t="shared" si="65"/>
        <v>13981.7</v>
      </c>
      <c r="H142" s="31">
        <f t="shared" si="65"/>
        <v>12298.7</v>
      </c>
      <c r="I142" s="31">
        <f t="shared" si="65"/>
        <v>14766</v>
      </c>
      <c r="J142" s="31">
        <f>J143+J144+J145+J146</f>
        <v>20818.2</v>
      </c>
      <c r="K142" s="32">
        <f t="shared" ref="K142:K147" si="66">J142*100/E142</f>
        <v>36.288618821511498</v>
      </c>
      <c r="L142" s="13">
        <f t="shared" ref="L142:L147" si="67">J142*100/D142</f>
        <v>24.649145552646818</v>
      </c>
      <c r="M142" s="13">
        <f>J142*100/C142</f>
        <v>44.399562364171871</v>
      </c>
    </row>
    <row r="143" spans="1:13" ht="41.25" customHeight="1" x14ac:dyDescent="0.25">
      <c r="A143" s="33" t="s">
        <v>47</v>
      </c>
      <c r="B143" s="34" t="s">
        <v>48</v>
      </c>
      <c r="C143" s="35">
        <v>46888.3</v>
      </c>
      <c r="D143" s="21">
        <f>F143+G143+H143+I143</f>
        <v>84433.099999999991</v>
      </c>
      <c r="E143" s="16">
        <f>F143+G143</f>
        <v>57368.399999999994</v>
      </c>
      <c r="F143" s="35">
        <v>43386.7</v>
      </c>
      <c r="G143" s="35">
        <v>13981.7</v>
      </c>
      <c r="H143" s="22">
        <v>12298.7</v>
      </c>
      <c r="I143" s="19">
        <v>14766</v>
      </c>
      <c r="J143" s="19">
        <v>20793.2</v>
      </c>
      <c r="K143" s="17">
        <f t="shared" si="66"/>
        <v>36.245040823868194</v>
      </c>
      <c r="L143" s="19">
        <f t="shared" si="67"/>
        <v>24.626834736613961</v>
      </c>
      <c r="M143" s="19">
        <f>J143*100/C143</f>
        <v>44.346244158990622</v>
      </c>
    </row>
    <row r="144" spans="1:13" ht="15" customHeight="1" x14ac:dyDescent="0.25">
      <c r="A144" s="33" t="s">
        <v>63</v>
      </c>
      <c r="B144" s="36" t="s">
        <v>50</v>
      </c>
      <c r="C144" s="36"/>
      <c r="D144" s="21">
        <f>F144+G144+H144+I144</f>
        <v>0</v>
      </c>
      <c r="E144" s="16">
        <f>F144+G144</f>
        <v>0</v>
      </c>
      <c r="F144" s="51"/>
      <c r="G144" s="51"/>
      <c r="H144" s="22"/>
      <c r="I144" s="19"/>
      <c r="J144" s="19"/>
      <c r="K144" s="17" t="e">
        <f t="shared" si="66"/>
        <v>#DIV/0!</v>
      </c>
      <c r="L144" s="19" t="e">
        <f t="shared" si="67"/>
        <v>#DIV/0!</v>
      </c>
      <c r="M144" s="19" t="e">
        <f>J144*100/C144</f>
        <v>#DIV/0!</v>
      </c>
    </row>
    <row r="145" spans="1:13" ht="40.5" customHeight="1" x14ac:dyDescent="0.25">
      <c r="A145" s="33" t="s">
        <v>53</v>
      </c>
      <c r="B145" s="38" t="s">
        <v>54</v>
      </c>
      <c r="C145" s="36"/>
      <c r="D145" s="21">
        <f>F145+G145+H145+I145</f>
        <v>0</v>
      </c>
      <c r="E145" s="16">
        <f>F145+G145</f>
        <v>0</v>
      </c>
      <c r="F145" s="51"/>
      <c r="G145" s="51"/>
      <c r="H145" s="22"/>
      <c r="I145" s="19"/>
      <c r="J145" s="19"/>
      <c r="K145" s="17" t="e">
        <f t="shared" si="66"/>
        <v>#DIV/0!</v>
      </c>
      <c r="L145" s="19" t="e">
        <f t="shared" si="67"/>
        <v>#DIV/0!</v>
      </c>
      <c r="M145" s="19" t="e">
        <f>J145*100/C145</f>
        <v>#DIV/0!</v>
      </c>
    </row>
    <row r="146" spans="1:13" ht="15.75" customHeight="1" x14ac:dyDescent="0.25">
      <c r="A146" s="33" t="s">
        <v>49</v>
      </c>
      <c r="B146" s="36" t="s">
        <v>50</v>
      </c>
      <c r="C146" s="36"/>
      <c r="D146" s="21">
        <f>F146+G146+H146+I146</f>
        <v>25</v>
      </c>
      <c r="E146" s="16">
        <f>F146+G146</f>
        <v>25</v>
      </c>
      <c r="F146" s="51">
        <v>25</v>
      </c>
      <c r="G146" s="51"/>
      <c r="H146" s="22"/>
      <c r="I146" s="19"/>
      <c r="J146" s="19">
        <v>25</v>
      </c>
      <c r="K146" s="17">
        <f t="shared" si="66"/>
        <v>100</v>
      </c>
      <c r="L146" s="19">
        <f t="shared" si="67"/>
        <v>100</v>
      </c>
      <c r="M146" s="19"/>
    </row>
    <row r="147" spans="1:13" ht="15.75" customHeight="1" x14ac:dyDescent="0.25">
      <c r="A147" s="26"/>
      <c r="B147" s="40" t="s">
        <v>55</v>
      </c>
      <c r="C147" s="13">
        <f t="shared" ref="C147:I147" si="68">C142+C132</f>
        <v>56856.800000000003</v>
      </c>
      <c r="D147" s="13">
        <f t="shared" si="68"/>
        <v>94426.599999999991</v>
      </c>
      <c r="E147" s="13">
        <f t="shared" si="68"/>
        <v>62062.899999999994</v>
      </c>
      <c r="F147" s="12">
        <f t="shared" si="68"/>
        <v>45288.7</v>
      </c>
      <c r="G147" s="12">
        <f t="shared" si="68"/>
        <v>16799.2</v>
      </c>
      <c r="H147" s="12">
        <f t="shared" si="68"/>
        <v>14882.300000000001</v>
      </c>
      <c r="I147" s="13">
        <f t="shared" si="68"/>
        <v>17456.400000000001</v>
      </c>
      <c r="J147" s="13">
        <f>J142+J132</f>
        <v>24625.100000000002</v>
      </c>
      <c r="K147" s="32">
        <f t="shared" si="66"/>
        <v>39.677649610314702</v>
      </c>
      <c r="L147" s="13">
        <f t="shared" si="67"/>
        <v>26.078562608417545</v>
      </c>
      <c r="M147" s="13">
        <f>J147*100/C147</f>
        <v>43.310738557217427</v>
      </c>
    </row>
    <row r="148" spans="1:13" x14ac:dyDescent="0.25">
      <c r="A148" s="148"/>
      <c r="B148" s="149"/>
      <c r="C148" s="149"/>
      <c r="D148" s="149"/>
      <c r="E148" s="149"/>
      <c r="F148" s="149"/>
      <c r="G148" s="149"/>
      <c r="H148" s="149"/>
      <c r="I148" s="149"/>
      <c r="J148" s="149"/>
      <c r="K148" s="32"/>
      <c r="L148" s="13"/>
      <c r="M148" s="19"/>
    </row>
    <row r="149" spans="1:13" x14ac:dyDescent="0.25">
      <c r="A149" s="143" t="s">
        <v>66</v>
      </c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5"/>
    </row>
    <row r="150" spans="1:13" ht="12" customHeight="1" x14ac:dyDescent="0.25">
      <c r="A150" s="29" t="s">
        <v>17</v>
      </c>
      <c r="B150" s="42" t="s">
        <v>18</v>
      </c>
      <c r="C150" s="32">
        <f t="shared" ref="C150:I150" si="69">C151+C154+C156+C158+C155+C159+C157+C160+C153+C152</f>
        <v>21387.699999999997</v>
      </c>
      <c r="D150" s="32">
        <f t="shared" si="69"/>
        <v>21387.699999999997</v>
      </c>
      <c r="E150" s="32">
        <f t="shared" si="69"/>
        <v>10468.099999999999</v>
      </c>
      <c r="F150" s="32">
        <f t="shared" si="69"/>
        <v>5146.6000000000004</v>
      </c>
      <c r="G150" s="32">
        <f t="shared" si="69"/>
        <v>5321.4999999999991</v>
      </c>
      <c r="H150" s="32">
        <f t="shared" si="69"/>
        <v>5801.8</v>
      </c>
      <c r="I150" s="32">
        <f t="shared" si="69"/>
        <v>5117.8</v>
      </c>
      <c r="J150" s="32">
        <f>J151+J154+J156+J158+J155+J159+J157+J160+J153+J152</f>
        <v>7915.2000000000007</v>
      </c>
      <c r="K150" s="32">
        <f t="shared" ref="K150:K156" si="70">J150*100/E150</f>
        <v>75.612575347961922</v>
      </c>
      <c r="L150" s="13">
        <f t="shared" ref="L150:L156" si="71">J150*100/D150</f>
        <v>37.008186948573254</v>
      </c>
      <c r="M150" s="13">
        <f t="shared" ref="M150:M156" si="72">J150*100/C150</f>
        <v>37.008186948573254</v>
      </c>
    </row>
    <row r="151" spans="1:13" ht="16.5" customHeight="1" x14ac:dyDescent="0.25">
      <c r="A151" s="26" t="s">
        <v>19</v>
      </c>
      <c r="B151" s="20" t="s">
        <v>20</v>
      </c>
      <c r="C151" s="21">
        <v>13460</v>
      </c>
      <c r="D151" s="35">
        <f t="shared" ref="D151:D160" si="73">F151+G151+H151+I151</f>
        <v>13460</v>
      </c>
      <c r="E151" s="16">
        <f t="shared" ref="E151:E160" si="74">F151+G151</f>
        <v>6765.7999999999993</v>
      </c>
      <c r="F151" s="35">
        <v>3322.1</v>
      </c>
      <c r="G151" s="35">
        <v>3443.7</v>
      </c>
      <c r="H151" s="22">
        <v>3779.5</v>
      </c>
      <c r="I151" s="19">
        <v>2914.7</v>
      </c>
      <c r="J151" s="19">
        <v>5856.6</v>
      </c>
      <c r="K151" s="17">
        <f t="shared" si="70"/>
        <v>86.561825652546645</v>
      </c>
      <c r="L151" s="19">
        <f t="shared" si="71"/>
        <v>43.511144130757799</v>
      </c>
      <c r="M151" s="19">
        <f t="shared" si="72"/>
        <v>43.511144130757799</v>
      </c>
    </row>
    <row r="152" spans="1:13" ht="38.25" customHeight="1" x14ac:dyDescent="0.25">
      <c r="A152" s="14" t="s">
        <v>21</v>
      </c>
      <c r="B152" s="20" t="s">
        <v>22</v>
      </c>
      <c r="C152" s="21">
        <v>4923.1000000000004</v>
      </c>
      <c r="D152" s="35">
        <f t="shared" si="73"/>
        <v>4923.0999999999995</v>
      </c>
      <c r="E152" s="16">
        <f t="shared" si="74"/>
        <v>2402.6999999999998</v>
      </c>
      <c r="F152" s="35">
        <v>1180</v>
      </c>
      <c r="G152" s="35">
        <v>1222.7</v>
      </c>
      <c r="H152" s="22">
        <v>1342.2</v>
      </c>
      <c r="I152" s="19">
        <v>1178.2</v>
      </c>
      <c r="J152" s="19">
        <v>1878.2</v>
      </c>
      <c r="K152" s="17">
        <f t="shared" si="70"/>
        <v>78.170391642735268</v>
      </c>
      <c r="L152" s="19">
        <f t="shared" si="71"/>
        <v>38.150758668318744</v>
      </c>
      <c r="M152" s="19">
        <f t="shared" si="72"/>
        <v>38.150758668318737</v>
      </c>
    </row>
    <row r="153" spans="1:13" ht="12.75" customHeight="1" x14ac:dyDescent="0.25">
      <c r="A153" s="14" t="s">
        <v>23</v>
      </c>
      <c r="B153" s="20" t="s">
        <v>24</v>
      </c>
      <c r="C153" s="21">
        <v>15</v>
      </c>
      <c r="D153" s="35">
        <f t="shared" si="73"/>
        <v>14.999999999999998</v>
      </c>
      <c r="E153" s="16">
        <f t="shared" si="74"/>
        <v>10.1</v>
      </c>
      <c r="F153" s="35">
        <v>4.5</v>
      </c>
      <c r="G153" s="35">
        <v>5.6</v>
      </c>
      <c r="H153" s="22">
        <v>2.8</v>
      </c>
      <c r="I153" s="19">
        <v>2.1</v>
      </c>
      <c r="J153" s="19">
        <v>2.6</v>
      </c>
      <c r="K153" s="17">
        <f t="shared" si="70"/>
        <v>25.742574257425744</v>
      </c>
      <c r="L153" s="19">
        <f t="shared" si="71"/>
        <v>17.333333333333336</v>
      </c>
      <c r="M153" s="19">
        <f t="shared" si="72"/>
        <v>17.333333333333332</v>
      </c>
    </row>
    <row r="154" spans="1:13" ht="18.75" customHeight="1" x14ac:dyDescent="0.25">
      <c r="A154" s="14" t="s">
        <v>25</v>
      </c>
      <c r="B154" s="20" t="s">
        <v>26</v>
      </c>
      <c r="C154" s="21">
        <v>1987</v>
      </c>
      <c r="D154" s="35">
        <f t="shared" si="73"/>
        <v>1987</v>
      </c>
      <c r="E154" s="16">
        <f t="shared" si="74"/>
        <v>790.7</v>
      </c>
      <c r="F154" s="35">
        <v>392</v>
      </c>
      <c r="G154" s="35">
        <v>398.7</v>
      </c>
      <c r="H154" s="22">
        <v>416.4</v>
      </c>
      <c r="I154" s="19">
        <v>779.9</v>
      </c>
      <c r="J154" s="19">
        <v>-203.2</v>
      </c>
      <c r="K154" s="17">
        <f t="shared" si="70"/>
        <v>-25.698747944858983</v>
      </c>
      <c r="L154" s="19">
        <f t="shared" si="71"/>
        <v>-10.226472068444892</v>
      </c>
      <c r="M154" s="19">
        <f t="shared" si="72"/>
        <v>-10.226472068444892</v>
      </c>
    </row>
    <row r="155" spans="1:13" ht="14.25" customHeight="1" x14ac:dyDescent="0.25">
      <c r="A155" s="14" t="s">
        <v>27</v>
      </c>
      <c r="B155" s="20" t="s">
        <v>28</v>
      </c>
      <c r="C155" s="21">
        <v>148.6</v>
      </c>
      <c r="D155" s="35">
        <f t="shared" si="73"/>
        <v>148.6</v>
      </c>
      <c r="E155" s="16">
        <f t="shared" si="74"/>
        <v>73.900000000000006</v>
      </c>
      <c r="F155" s="35">
        <v>35.799999999999997</v>
      </c>
      <c r="G155" s="35">
        <v>38.1</v>
      </c>
      <c r="H155" s="22">
        <v>40.799999999999997</v>
      </c>
      <c r="I155" s="19">
        <v>33.9</v>
      </c>
      <c r="J155" s="19">
        <v>23</v>
      </c>
      <c r="K155" s="17">
        <f t="shared" si="70"/>
        <v>31.12313937753721</v>
      </c>
      <c r="L155" s="19">
        <f t="shared" si="71"/>
        <v>15.477792732166892</v>
      </c>
      <c r="M155" s="19">
        <f t="shared" si="72"/>
        <v>15.477792732166892</v>
      </c>
    </row>
    <row r="156" spans="1:13" ht="38.25" customHeight="1" x14ac:dyDescent="0.25">
      <c r="A156" s="23" t="s">
        <v>31</v>
      </c>
      <c r="B156" s="20" t="s">
        <v>32</v>
      </c>
      <c r="C156" s="21">
        <v>854</v>
      </c>
      <c r="D156" s="35">
        <f t="shared" si="73"/>
        <v>854</v>
      </c>
      <c r="E156" s="16">
        <f t="shared" si="74"/>
        <v>424.9</v>
      </c>
      <c r="F156" s="35">
        <v>212.2</v>
      </c>
      <c r="G156" s="35">
        <v>212.7</v>
      </c>
      <c r="H156" s="22">
        <v>220.1</v>
      </c>
      <c r="I156" s="19">
        <v>209</v>
      </c>
      <c r="J156" s="19">
        <v>26.6</v>
      </c>
      <c r="K156" s="17">
        <f t="shared" si="70"/>
        <v>6.2602965403624387</v>
      </c>
      <c r="L156" s="19">
        <f t="shared" si="71"/>
        <v>3.1147540983606556</v>
      </c>
      <c r="M156" s="19">
        <f t="shared" si="72"/>
        <v>3.1147540983606556</v>
      </c>
    </row>
    <row r="157" spans="1:13" ht="27.75" customHeight="1" x14ac:dyDescent="0.25">
      <c r="A157" s="25" t="s">
        <v>35</v>
      </c>
      <c r="B157" s="20" t="s">
        <v>36</v>
      </c>
      <c r="C157" s="21"/>
      <c r="D157" s="35">
        <f t="shared" si="73"/>
        <v>0</v>
      </c>
      <c r="E157" s="16">
        <f t="shared" si="74"/>
        <v>0</v>
      </c>
      <c r="F157" s="35"/>
      <c r="G157" s="35"/>
      <c r="H157" s="22"/>
      <c r="I157" s="19"/>
      <c r="J157" s="19">
        <v>331.4</v>
      </c>
      <c r="K157" s="17"/>
      <c r="L157" s="19"/>
      <c r="M157" s="19"/>
    </row>
    <row r="158" spans="1:13" ht="27.75" customHeight="1" x14ac:dyDescent="0.25">
      <c r="A158" s="24" t="s">
        <v>37</v>
      </c>
      <c r="B158" s="20" t="s">
        <v>38</v>
      </c>
      <c r="C158" s="21"/>
      <c r="D158" s="35">
        <f t="shared" si="73"/>
        <v>0</v>
      </c>
      <c r="E158" s="16">
        <f t="shared" si="74"/>
        <v>0</v>
      </c>
      <c r="F158" s="35"/>
      <c r="G158" s="35"/>
      <c r="H158" s="22"/>
      <c r="I158" s="19"/>
      <c r="J158" s="19"/>
      <c r="K158" s="17"/>
      <c r="L158" s="19"/>
      <c r="M158" s="19"/>
    </row>
    <row r="159" spans="1:13" ht="17.25" customHeight="1" x14ac:dyDescent="0.25">
      <c r="A159" s="26" t="s">
        <v>41</v>
      </c>
      <c r="B159" s="20" t="s">
        <v>42</v>
      </c>
      <c r="C159" s="21"/>
      <c r="D159" s="35">
        <f t="shared" si="73"/>
        <v>0</v>
      </c>
      <c r="E159" s="16">
        <f t="shared" si="74"/>
        <v>0</v>
      </c>
      <c r="F159" s="35"/>
      <c r="G159" s="35"/>
      <c r="H159" s="22"/>
      <c r="I159" s="19"/>
      <c r="J159" s="19"/>
      <c r="K159" s="17"/>
      <c r="L159" s="19"/>
      <c r="M159" s="19"/>
    </row>
    <row r="160" spans="1:13" ht="15" customHeight="1" x14ac:dyDescent="0.25">
      <c r="A160" s="24" t="s">
        <v>43</v>
      </c>
      <c r="B160" s="28" t="s">
        <v>44</v>
      </c>
      <c r="C160" s="21"/>
      <c r="D160" s="35">
        <f t="shared" si="73"/>
        <v>0</v>
      </c>
      <c r="E160" s="16">
        <f t="shared" si="74"/>
        <v>0</v>
      </c>
      <c r="F160" s="35"/>
      <c r="G160" s="35"/>
      <c r="H160" s="22"/>
      <c r="I160" s="19"/>
      <c r="J160" s="19"/>
      <c r="K160" s="32"/>
      <c r="L160" s="13"/>
      <c r="M160" s="19"/>
    </row>
    <row r="161" spans="1:13" ht="16.5" customHeight="1" x14ac:dyDescent="0.25">
      <c r="A161" s="29" t="s">
        <v>45</v>
      </c>
      <c r="B161" s="30" t="s">
        <v>46</v>
      </c>
      <c r="C161" s="31">
        <f>C162+C163</f>
        <v>32823.699999999997</v>
      </c>
      <c r="D161" s="31">
        <f>D162+D163</f>
        <v>83321.099999999991</v>
      </c>
      <c r="E161" s="31">
        <f t="shared" ref="E161:J161" si="75">E162+E163</f>
        <v>66349.3</v>
      </c>
      <c r="F161" s="31">
        <f t="shared" si="75"/>
        <v>52909.9</v>
      </c>
      <c r="G161" s="31">
        <f t="shared" si="75"/>
        <v>13439.4</v>
      </c>
      <c r="H161" s="31">
        <f t="shared" si="75"/>
        <v>9874.4</v>
      </c>
      <c r="I161" s="31">
        <f t="shared" si="75"/>
        <v>7097.4</v>
      </c>
      <c r="J161" s="31">
        <f t="shared" si="75"/>
        <v>12280.5</v>
      </c>
      <c r="K161" s="32">
        <f>J161*100/E161</f>
        <v>18.508861434860652</v>
      </c>
      <c r="L161" s="13">
        <f>J161*100/D161</f>
        <v>14.738763650503895</v>
      </c>
      <c r="M161" s="13">
        <f>J161*100/C161</f>
        <v>37.413515234419037</v>
      </c>
    </row>
    <row r="162" spans="1:13" ht="39" customHeight="1" x14ac:dyDescent="0.25">
      <c r="A162" s="33" t="s">
        <v>47</v>
      </c>
      <c r="B162" s="34" t="s">
        <v>48</v>
      </c>
      <c r="C162" s="35">
        <v>32823.699999999997</v>
      </c>
      <c r="D162" s="35">
        <f>F162+G162+H162+I162</f>
        <v>83321.099999999991</v>
      </c>
      <c r="E162" s="16">
        <f>F162+G162</f>
        <v>66349.3</v>
      </c>
      <c r="F162" s="35">
        <v>52909.9</v>
      </c>
      <c r="G162" s="35">
        <v>13439.4</v>
      </c>
      <c r="H162" s="22">
        <v>9874.4</v>
      </c>
      <c r="I162" s="19">
        <v>7097.4</v>
      </c>
      <c r="J162" s="19">
        <v>11799.5</v>
      </c>
      <c r="K162" s="17">
        <f>J162*100/E162</f>
        <v>17.783910305006984</v>
      </c>
      <c r="L162" s="19">
        <f>J162*100/D162</f>
        <v>14.161478905103271</v>
      </c>
      <c r="M162" s="19">
        <f>J162*100/C162</f>
        <v>35.948110663940994</v>
      </c>
    </row>
    <row r="163" spans="1:13" ht="15.75" customHeight="1" x14ac:dyDescent="0.25">
      <c r="A163" s="33" t="s">
        <v>49</v>
      </c>
      <c r="B163" s="36" t="s">
        <v>50</v>
      </c>
      <c r="C163" s="36"/>
      <c r="D163" s="35">
        <f>F163+G163+H163+I163</f>
        <v>0</v>
      </c>
      <c r="E163" s="16">
        <f>F163+G163</f>
        <v>0</v>
      </c>
      <c r="F163" s="35"/>
      <c r="G163" s="35"/>
      <c r="H163" s="22"/>
      <c r="I163" s="19"/>
      <c r="J163" s="19">
        <v>481</v>
      </c>
      <c r="K163" s="17"/>
      <c r="L163" s="19"/>
      <c r="M163" s="19"/>
    </row>
    <row r="164" spans="1:13" ht="18" customHeight="1" x14ac:dyDescent="0.25">
      <c r="A164" s="26"/>
      <c r="B164" s="40" t="s">
        <v>55</v>
      </c>
      <c r="C164" s="13">
        <f t="shared" ref="C164:I164" si="76">C161+C150</f>
        <v>54211.399999999994</v>
      </c>
      <c r="D164" s="13">
        <f t="shared" si="76"/>
        <v>104708.79999999999</v>
      </c>
      <c r="E164" s="13">
        <f t="shared" si="76"/>
        <v>76817.399999999994</v>
      </c>
      <c r="F164" s="13">
        <f t="shared" si="76"/>
        <v>58056.5</v>
      </c>
      <c r="G164" s="13">
        <f t="shared" si="76"/>
        <v>18760.899999999998</v>
      </c>
      <c r="H164" s="13">
        <f t="shared" si="76"/>
        <v>15676.2</v>
      </c>
      <c r="I164" s="13">
        <f t="shared" si="76"/>
        <v>12215.2</v>
      </c>
      <c r="J164" s="13">
        <f>J161+J150-0.1</f>
        <v>20195.600000000002</v>
      </c>
      <c r="K164" s="32">
        <f>J164*100/E164</f>
        <v>26.290397748426795</v>
      </c>
      <c r="L164" s="13">
        <f>J164*100/D164</f>
        <v>19.287395137753471</v>
      </c>
      <c r="M164" s="13">
        <f>J164*100/C164</f>
        <v>37.253419022567215</v>
      </c>
    </row>
    <row r="165" spans="1:13" x14ac:dyDescent="0.25">
      <c r="A165" s="146"/>
      <c r="B165" s="147"/>
      <c r="C165" s="147"/>
      <c r="D165" s="147"/>
      <c r="E165" s="147"/>
      <c r="F165" s="147"/>
      <c r="G165" s="147"/>
      <c r="H165" s="147"/>
      <c r="I165" s="147"/>
      <c r="J165" s="147"/>
      <c r="K165" s="32"/>
      <c r="L165" s="13"/>
      <c r="M165" s="19"/>
    </row>
    <row r="166" spans="1:13" x14ac:dyDescent="0.25">
      <c r="A166" s="143" t="s">
        <v>67</v>
      </c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5"/>
    </row>
    <row r="167" spans="1:13" ht="16.5" customHeight="1" x14ac:dyDescent="0.25">
      <c r="A167" s="29" t="s">
        <v>17</v>
      </c>
      <c r="B167" s="42" t="s">
        <v>18</v>
      </c>
      <c r="C167" s="32">
        <f>C168+C171+C172+C173+C175+C176+C177+C174+C169+C170</f>
        <v>7081.1</v>
      </c>
      <c r="D167" s="32">
        <f>D168+D171+D172+D173+D175+D176+D177+D174+D169+D170</f>
        <v>7178.6</v>
      </c>
      <c r="E167" s="32">
        <f t="shared" ref="E167:J167" si="77">E168+E171+E172+E173+E175+E176+E177+E174+E169+E170</f>
        <v>3259.6000000000004</v>
      </c>
      <c r="F167" s="32">
        <f t="shared" si="77"/>
        <v>1542.9</v>
      </c>
      <c r="G167" s="32">
        <f t="shared" si="77"/>
        <v>1716.7</v>
      </c>
      <c r="H167" s="32">
        <f t="shared" si="77"/>
        <v>1549.8000000000002</v>
      </c>
      <c r="I167" s="32">
        <f t="shared" si="77"/>
        <v>2369.1999999999998</v>
      </c>
      <c r="J167" s="32">
        <f t="shared" si="77"/>
        <v>2995.2000000000003</v>
      </c>
      <c r="K167" s="32">
        <f>J167*100/E167</f>
        <v>91.888575285311077</v>
      </c>
      <c r="L167" s="13">
        <f>J167*100/D167</f>
        <v>41.724013038754073</v>
      </c>
      <c r="M167" s="13">
        <f>J167*100/C167</f>
        <v>42.298512942904345</v>
      </c>
    </row>
    <row r="168" spans="1:13" ht="18.75" customHeight="1" x14ac:dyDescent="0.25">
      <c r="A168" s="26" t="s">
        <v>19</v>
      </c>
      <c r="B168" s="20" t="s">
        <v>20</v>
      </c>
      <c r="C168" s="21">
        <v>2930</v>
      </c>
      <c r="D168" s="35">
        <f t="shared" ref="D168:D177" si="78">F168+G168+H168+I168</f>
        <v>2930</v>
      </c>
      <c r="E168" s="16">
        <f t="shared" ref="E168:E177" si="79">F168+G168</f>
        <v>1521.7</v>
      </c>
      <c r="F168" s="21">
        <v>730</v>
      </c>
      <c r="G168" s="21">
        <v>791.7</v>
      </c>
      <c r="H168" s="22">
        <v>625</v>
      </c>
      <c r="I168" s="19">
        <v>783.3</v>
      </c>
      <c r="J168" s="19">
        <v>1226.2</v>
      </c>
      <c r="K168" s="17">
        <f>J168*100/E168</f>
        <v>80.58092922389433</v>
      </c>
      <c r="L168" s="19">
        <f>J168*100/D168</f>
        <v>41.849829351535838</v>
      </c>
      <c r="M168" s="19">
        <f>J168*100/C168</f>
        <v>41.849829351535838</v>
      </c>
    </row>
    <row r="169" spans="1:13" ht="38.25" customHeight="1" x14ac:dyDescent="0.25">
      <c r="A169" s="14" t="s">
        <v>21</v>
      </c>
      <c r="B169" s="20" t="s">
        <v>22</v>
      </c>
      <c r="C169" s="21">
        <v>2826.6</v>
      </c>
      <c r="D169" s="35">
        <f t="shared" si="78"/>
        <v>2826.6</v>
      </c>
      <c r="E169" s="16">
        <f t="shared" si="79"/>
        <v>1413.4</v>
      </c>
      <c r="F169" s="21">
        <v>706.7</v>
      </c>
      <c r="G169" s="21">
        <v>706.7</v>
      </c>
      <c r="H169" s="22">
        <v>706.6</v>
      </c>
      <c r="I169" s="19">
        <v>706.6</v>
      </c>
      <c r="J169" s="19">
        <v>1078.3</v>
      </c>
      <c r="K169" s="17">
        <f>J169*100/E169</f>
        <v>76.291212678647227</v>
      </c>
      <c r="L169" s="19">
        <f>J169*100/D169</f>
        <v>38.148305384560956</v>
      </c>
      <c r="M169" s="19">
        <f>J169*100/C169</f>
        <v>38.148305384560956</v>
      </c>
    </row>
    <row r="170" spans="1:13" ht="14.25" customHeight="1" x14ac:dyDescent="0.25">
      <c r="A170" s="14" t="s">
        <v>23</v>
      </c>
      <c r="B170" s="20" t="s">
        <v>24</v>
      </c>
      <c r="C170" s="21">
        <v>0</v>
      </c>
      <c r="D170" s="35">
        <f t="shared" si="78"/>
        <v>0</v>
      </c>
      <c r="E170" s="16">
        <f t="shared" si="79"/>
        <v>0</v>
      </c>
      <c r="F170" s="21"/>
      <c r="G170" s="21"/>
      <c r="H170" s="22"/>
      <c r="I170" s="19"/>
      <c r="J170" s="19">
        <v>1.6</v>
      </c>
      <c r="K170" s="17"/>
      <c r="L170" s="19"/>
      <c r="M170" s="19"/>
    </row>
    <row r="171" spans="1:13" ht="14.25" customHeight="1" x14ac:dyDescent="0.25">
      <c r="A171" s="14" t="s">
        <v>25</v>
      </c>
      <c r="B171" s="20" t="s">
        <v>26</v>
      </c>
      <c r="C171" s="21">
        <v>875.5</v>
      </c>
      <c r="D171" s="35">
        <f t="shared" si="78"/>
        <v>875.5</v>
      </c>
      <c r="E171" s="16">
        <f t="shared" si="79"/>
        <v>106</v>
      </c>
      <c r="F171" s="21"/>
      <c r="G171" s="21">
        <v>106</v>
      </c>
      <c r="H171" s="22">
        <v>106</v>
      </c>
      <c r="I171" s="19">
        <v>663.5</v>
      </c>
      <c r="J171" s="19">
        <v>262.3</v>
      </c>
      <c r="K171" s="17">
        <f>J171*100/E171</f>
        <v>247.45283018867926</v>
      </c>
      <c r="L171" s="19">
        <f>J171*100/D171</f>
        <v>29.960022844089092</v>
      </c>
      <c r="M171" s="19">
        <f>J171*100/C171</f>
        <v>29.960022844089092</v>
      </c>
    </row>
    <row r="172" spans="1:13" ht="17.25" customHeight="1" x14ac:dyDescent="0.25">
      <c r="A172" s="14" t="s">
        <v>27</v>
      </c>
      <c r="B172" s="20" t="s">
        <v>28</v>
      </c>
      <c r="C172" s="21">
        <v>35</v>
      </c>
      <c r="D172" s="35">
        <f t="shared" si="78"/>
        <v>35</v>
      </c>
      <c r="E172" s="16">
        <f t="shared" si="79"/>
        <v>17.5</v>
      </c>
      <c r="F172" s="21">
        <v>8.6999999999999993</v>
      </c>
      <c r="G172" s="21">
        <v>8.8000000000000007</v>
      </c>
      <c r="H172" s="22">
        <v>8.6999999999999993</v>
      </c>
      <c r="I172" s="19">
        <v>8.8000000000000007</v>
      </c>
      <c r="J172" s="19">
        <v>3.3</v>
      </c>
      <c r="K172" s="17">
        <f>J172*100/E172</f>
        <v>18.857142857142858</v>
      </c>
      <c r="L172" s="19">
        <f>J172*100/D172</f>
        <v>9.4285714285714288</v>
      </c>
      <c r="M172" s="19">
        <f>J172*100/C172</f>
        <v>9.4285714285714288</v>
      </c>
    </row>
    <row r="173" spans="1:13" ht="42" customHeight="1" x14ac:dyDescent="0.25">
      <c r="A173" s="23" t="s">
        <v>31</v>
      </c>
      <c r="B173" s="20" t="s">
        <v>32</v>
      </c>
      <c r="C173" s="21">
        <v>414</v>
      </c>
      <c r="D173" s="35">
        <f t="shared" si="78"/>
        <v>511.5</v>
      </c>
      <c r="E173" s="16">
        <f t="shared" si="79"/>
        <v>201</v>
      </c>
      <c r="F173" s="21">
        <v>97.5</v>
      </c>
      <c r="G173" s="21">
        <v>103.5</v>
      </c>
      <c r="H173" s="22">
        <v>103.5</v>
      </c>
      <c r="I173" s="19">
        <v>207</v>
      </c>
      <c r="J173" s="19">
        <v>406.1</v>
      </c>
      <c r="K173" s="17">
        <f>J173*100/E173</f>
        <v>202.03980099502488</v>
      </c>
      <c r="L173" s="19">
        <f>J173*100/D173</f>
        <v>79.393939393939391</v>
      </c>
      <c r="M173" s="19">
        <f>J173*100/C173</f>
        <v>98.091787439613526</v>
      </c>
    </row>
    <row r="174" spans="1:13" ht="28.5" customHeight="1" x14ac:dyDescent="0.25">
      <c r="A174" s="25" t="s">
        <v>35</v>
      </c>
      <c r="B174" s="20" t="s">
        <v>36</v>
      </c>
      <c r="C174" s="21">
        <v>0</v>
      </c>
      <c r="D174" s="35">
        <f t="shared" si="78"/>
        <v>0</v>
      </c>
      <c r="E174" s="16">
        <f t="shared" si="79"/>
        <v>0</v>
      </c>
      <c r="F174" s="21"/>
      <c r="G174" s="21"/>
      <c r="H174" s="22"/>
      <c r="I174" s="19"/>
      <c r="J174" s="19">
        <v>7.4</v>
      </c>
      <c r="K174" s="17"/>
      <c r="L174" s="19"/>
      <c r="M174" s="19"/>
    </row>
    <row r="175" spans="1:13" ht="27" customHeight="1" x14ac:dyDescent="0.25">
      <c r="A175" s="24" t="s">
        <v>37</v>
      </c>
      <c r="B175" s="20" t="s">
        <v>38</v>
      </c>
      <c r="C175" s="21"/>
      <c r="D175" s="35">
        <f t="shared" si="78"/>
        <v>0</v>
      </c>
      <c r="E175" s="16">
        <f t="shared" si="79"/>
        <v>0</v>
      </c>
      <c r="F175" s="21"/>
      <c r="G175" s="21"/>
      <c r="H175" s="22"/>
      <c r="I175" s="19"/>
      <c r="J175" s="19"/>
      <c r="K175" s="17"/>
      <c r="L175" s="19"/>
      <c r="M175" s="19"/>
    </row>
    <row r="176" spans="1:13" ht="17.25" customHeight="1" x14ac:dyDescent="0.25">
      <c r="A176" s="26" t="s">
        <v>41</v>
      </c>
      <c r="B176" s="20" t="s">
        <v>42</v>
      </c>
      <c r="C176" s="21"/>
      <c r="D176" s="35">
        <f t="shared" si="78"/>
        <v>0</v>
      </c>
      <c r="E176" s="16">
        <f t="shared" si="79"/>
        <v>0</v>
      </c>
      <c r="F176" s="21"/>
      <c r="G176" s="21"/>
      <c r="H176" s="22"/>
      <c r="I176" s="19"/>
      <c r="J176" s="19">
        <v>10</v>
      </c>
      <c r="K176" s="32"/>
      <c r="L176" s="13"/>
      <c r="M176" s="19"/>
    </row>
    <row r="177" spans="1:13" ht="15.75" customHeight="1" x14ac:dyDescent="0.25">
      <c r="A177" s="45" t="s">
        <v>43</v>
      </c>
      <c r="B177" s="28" t="s">
        <v>44</v>
      </c>
      <c r="C177" s="21"/>
      <c r="D177" s="35">
        <f t="shared" si="78"/>
        <v>0</v>
      </c>
      <c r="E177" s="16">
        <f t="shared" si="79"/>
        <v>0</v>
      </c>
      <c r="F177" s="21"/>
      <c r="G177" s="21"/>
      <c r="H177" s="22"/>
      <c r="I177" s="19"/>
      <c r="J177" s="19"/>
      <c r="K177" s="32"/>
      <c r="L177" s="13"/>
      <c r="M177" s="19"/>
    </row>
    <row r="178" spans="1:13" ht="15.75" customHeight="1" x14ac:dyDescent="0.25">
      <c r="A178" s="29" t="s">
        <v>45</v>
      </c>
      <c r="B178" s="30" t="s">
        <v>46</v>
      </c>
      <c r="C178" s="31">
        <f t="shared" ref="C178:J178" si="80">C179+C180</f>
        <v>28800.9</v>
      </c>
      <c r="D178" s="31">
        <f t="shared" si="80"/>
        <v>33593.699999999997</v>
      </c>
      <c r="E178" s="53">
        <f t="shared" si="80"/>
        <v>19760.7</v>
      </c>
      <c r="F178" s="53">
        <f t="shared" si="80"/>
        <v>11213</v>
      </c>
      <c r="G178" s="53">
        <f t="shared" si="80"/>
        <v>8547.7000000000007</v>
      </c>
      <c r="H178" s="31">
        <f t="shared" si="80"/>
        <v>6883.9</v>
      </c>
      <c r="I178" s="31">
        <f t="shared" si="80"/>
        <v>6949.1</v>
      </c>
      <c r="J178" s="31">
        <f t="shared" si="80"/>
        <v>12558.4</v>
      </c>
      <c r="K178" s="32">
        <f>J178*100/E178</f>
        <v>63.552404520082789</v>
      </c>
      <c r="L178" s="13">
        <f>J178*100/D178</f>
        <v>37.383199826157885</v>
      </c>
      <c r="M178" s="13">
        <f>J178*100/C178</f>
        <v>43.604192924526664</v>
      </c>
    </row>
    <row r="179" spans="1:13" ht="39.75" customHeight="1" x14ac:dyDescent="0.25">
      <c r="A179" s="33" t="s">
        <v>47</v>
      </c>
      <c r="B179" s="34" t="s">
        <v>48</v>
      </c>
      <c r="C179" s="35">
        <v>28800.9</v>
      </c>
      <c r="D179" s="35">
        <f>F179+G179+H179+I179</f>
        <v>33593.699999999997</v>
      </c>
      <c r="E179" s="16">
        <f>F179+G179</f>
        <v>19760.7</v>
      </c>
      <c r="F179" s="21">
        <v>11213</v>
      </c>
      <c r="G179" s="21">
        <v>8547.7000000000007</v>
      </c>
      <c r="H179" s="22">
        <v>6883.9</v>
      </c>
      <c r="I179" s="19">
        <v>6949.1</v>
      </c>
      <c r="J179" s="19">
        <v>12558.4</v>
      </c>
      <c r="K179" s="17">
        <f>J179*100/E179</f>
        <v>63.552404520082789</v>
      </c>
      <c r="L179" s="19">
        <f>J179*100/D179</f>
        <v>37.383199826157885</v>
      </c>
      <c r="M179" s="19">
        <f>J179*100/C179</f>
        <v>43.604192924526664</v>
      </c>
    </row>
    <row r="180" spans="1:13" ht="15" customHeight="1" x14ac:dyDescent="0.25">
      <c r="A180" s="33" t="s">
        <v>63</v>
      </c>
      <c r="B180" s="36" t="s">
        <v>50</v>
      </c>
      <c r="C180" s="37"/>
      <c r="D180" s="35">
        <f>F180+G180+H180+I180</f>
        <v>0</v>
      </c>
      <c r="E180" s="16">
        <f>F180+G180</f>
        <v>0</v>
      </c>
      <c r="F180" s="37"/>
      <c r="G180" s="37"/>
      <c r="H180" s="22"/>
      <c r="I180" s="19"/>
      <c r="J180" s="19"/>
      <c r="K180" s="17"/>
      <c r="L180" s="19"/>
      <c r="M180" s="19"/>
    </row>
    <row r="181" spans="1:13" ht="15.75" customHeight="1" x14ac:dyDescent="0.25">
      <c r="A181" s="26"/>
      <c r="B181" s="40" t="s">
        <v>55</v>
      </c>
      <c r="C181" s="13">
        <f t="shared" ref="C181:J181" si="81">C178+C167</f>
        <v>35882</v>
      </c>
      <c r="D181" s="13">
        <f t="shared" si="81"/>
        <v>40772.299999999996</v>
      </c>
      <c r="E181" s="13">
        <f t="shared" si="81"/>
        <v>23020.300000000003</v>
      </c>
      <c r="F181" s="13">
        <f t="shared" si="81"/>
        <v>12755.9</v>
      </c>
      <c r="G181" s="13">
        <f t="shared" si="81"/>
        <v>10264.400000000001</v>
      </c>
      <c r="H181" s="13">
        <f t="shared" si="81"/>
        <v>8433.7000000000007</v>
      </c>
      <c r="I181" s="13">
        <f t="shared" si="81"/>
        <v>9318.2999999999993</v>
      </c>
      <c r="J181" s="13">
        <f t="shared" si="81"/>
        <v>15553.6</v>
      </c>
      <c r="K181" s="32">
        <f>J181*100/E181</f>
        <v>67.564714621442803</v>
      </c>
      <c r="L181" s="13">
        <f>J181*100/D181</f>
        <v>38.147467766105912</v>
      </c>
      <c r="M181" s="13">
        <f>J181*100/C181</f>
        <v>43.34652471991528</v>
      </c>
    </row>
    <row r="182" spans="1:13" x14ac:dyDescent="0.25">
      <c r="A182" s="146"/>
      <c r="B182" s="147"/>
      <c r="C182" s="147"/>
      <c r="D182" s="147"/>
      <c r="E182" s="147"/>
      <c r="F182" s="147"/>
      <c r="G182" s="147"/>
      <c r="H182" s="147"/>
      <c r="I182" s="147"/>
      <c r="J182" s="147"/>
      <c r="K182" s="32"/>
      <c r="L182" s="13"/>
      <c r="M182" s="19"/>
    </row>
    <row r="183" spans="1:13" x14ac:dyDescent="0.25">
      <c r="A183" s="143" t="s">
        <v>68</v>
      </c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5"/>
    </row>
    <row r="184" spans="1:13" ht="16.5" customHeight="1" x14ac:dyDescent="0.25">
      <c r="A184" s="29" t="s">
        <v>17</v>
      </c>
      <c r="B184" s="42" t="s">
        <v>18</v>
      </c>
      <c r="C184" s="32">
        <f t="shared" ref="C184:I184" si="82">C185+C187+C188+C189+C190+C192+C194+C193+C191+C186</f>
        <v>25890.9</v>
      </c>
      <c r="D184" s="32">
        <f t="shared" si="82"/>
        <v>25890.9</v>
      </c>
      <c r="E184" s="32">
        <f t="shared" si="82"/>
        <v>11290</v>
      </c>
      <c r="F184" s="32">
        <f t="shared" si="82"/>
        <v>5517.5</v>
      </c>
      <c r="G184" s="32">
        <f t="shared" si="82"/>
        <v>5772.5</v>
      </c>
      <c r="H184" s="32">
        <f t="shared" si="82"/>
        <v>5772.5</v>
      </c>
      <c r="I184" s="32">
        <f t="shared" si="82"/>
        <v>8828.4</v>
      </c>
      <c r="J184" s="32">
        <f>J185+J187+J188+J189+J190+J192+J194+J193+J191+J186</f>
        <v>10261.299999999999</v>
      </c>
      <c r="K184" s="32">
        <f>J184*100/E184</f>
        <v>90.888396811337458</v>
      </c>
      <c r="L184" s="13">
        <f t="shared" ref="L184:L190" si="83">J184*100/D184</f>
        <v>39.632843972206445</v>
      </c>
      <c r="M184" s="13">
        <f t="shared" ref="M184:M190" si="84">J184*100/C184</f>
        <v>39.632843972206445</v>
      </c>
    </row>
    <row r="185" spans="1:13" ht="15" customHeight="1" x14ac:dyDescent="0.25">
      <c r="A185" s="26" t="s">
        <v>19</v>
      </c>
      <c r="B185" s="20" t="s">
        <v>20</v>
      </c>
      <c r="C185" s="21">
        <v>17800</v>
      </c>
      <c r="D185" s="35">
        <f t="shared" ref="D185:D194" si="85">F185+G185+H185+I185</f>
        <v>17800</v>
      </c>
      <c r="E185" s="16">
        <f t="shared" ref="E185:E194" si="86">F185+G185</f>
        <v>8400</v>
      </c>
      <c r="F185" s="35">
        <v>4200</v>
      </c>
      <c r="G185" s="35">
        <v>4200</v>
      </c>
      <c r="H185" s="22">
        <v>4200</v>
      </c>
      <c r="I185" s="19">
        <v>5200</v>
      </c>
      <c r="J185" s="19">
        <v>7811.7</v>
      </c>
      <c r="K185" s="17">
        <f>J185*100/E185</f>
        <v>92.996428571428567</v>
      </c>
      <c r="L185" s="19">
        <f t="shared" si="83"/>
        <v>43.885955056179775</v>
      </c>
      <c r="M185" s="19">
        <f t="shared" si="84"/>
        <v>43.885955056179775</v>
      </c>
    </row>
    <row r="186" spans="1:13" ht="40.5" customHeight="1" x14ac:dyDescent="0.25">
      <c r="A186" s="14" t="s">
        <v>21</v>
      </c>
      <c r="B186" s="20" t="s">
        <v>22</v>
      </c>
      <c r="C186" s="21">
        <v>4590.2</v>
      </c>
      <c r="D186" s="35">
        <f t="shared" si="85"/>
        <v>4590.2</v>
      </c>
      <c r="E186" s="16">
        <f t="shared" si="86"/>
        <v>2298</v>
      </c>
      <c r="F186" s="35">
        <v>1149</v>
      </c>
      <c r="G186" s="35">
        <v>1149</v>
      </c>
      <c r="H186" s="22">
        <v>1149</v>
      </c>
      <c r="I186" s="19">
        <v>1143.2</v>
      </c>
      <c r="J186" s="19">
        <v>1751.2</v>
      </c>
      <c r="K186" s="17">
        <f>J186*100/E186</f>
        <v>76.205395996518718</v>
      </c>
      <c r="L186" s="19">
        <f t="shared" si="83"/>
        <v>38.1508431005185</v>
      </c>
      <c r="M186" s="19">
        <f t="shared" si="84"/>
        <v>38.1508431005185</v>
      </c>
    </row>
    <row r="187" spans="1:13" ht="18" customHeight="1" x14ac:dyDescent="0.25">
      <c r="A187" s="14" t="s">
        <v>23</v>
      </c>
      <c r="B187" s="20" t="s">
        <v>24</v>
      </c>
      <c r="C187" s="21">
        <v>1</v>
      </c>
      <c r="D187" s="35">
        <f t="shared" si="85"/>
        <v>1</v>
      </c>
      <c r="E187" s="16">
        <f t="shared" si="86"/>
        <v>0</v>
      </c>
      <c r="F187" s="35"/>
      <c r="G187" s="35"/>
      <c r="H187" s="22"/>
      <c r="I187" s="19">
        <v>1</v>
      </c>
      <c r="J187" s="19">
        <v>2.8</v>
      </c>
      <c r="K187" s="17"/>
      <c r="L187" s="19">
        <f t="shared" si="83"/>
        <v>280</v>
      </c>
      <c r="M187" s="19">
        <f t="shared" si="84"/>
        <v>280</v>
      </c>
    </row>
    <row r="188" spans="1:13" ht="20.25" customHeight="1" x14ac:dyDescent="0.25">
      <c r="A188" s="14" t="s">
        <v>25</v>
      </c>
      <c r="B188" s="20" t="s">
        <v>26</v>
      </c>
      <c r="C188" s="21">
        <v>3084.7</v>
      </c>
      <c r="D188" s="35">
        <f t="shared" si="85"/>
        <v>3084.7</v>
      </c>
      <c r="E188" s="16">
        <f t="shared" si="86"/>
        <v>360</v>
      </c>
      <c r="F188" s="35">
        <v>27.5</v>
      </c>
      <c r="G188" s="35">
        <v>332.5</v>
      </c>
      <c r="H188" s="22">
        <v>332.5</v>
      </c>
      <c r="I188" s="19">
        <v>2392.1999999999998</v>
      </c>
      <c r="J188" s="19">
        <v>508.3</v>
      </c>
      <c r="K188" s="17">
        <f>J188*100/E188</f>
        <v>141.19444444444446</v>
      </c>
      <c r="L188" s="19">
        <f t="shared" si="83"/>
        <v>16.478101598210525</v>
      </c>
      <c r="M188" s="19">
        <f t="shared" si="84"/>
        <v>16.478101598210525</v>
      </c>
    </row>
    <row r="189" spans="1:13" ht="19.5" customHeight="1" x14ac:dyDescent="0.25">
      <c r="A189" s="14" t="s">
        <v>27</v>
      </c>
      <c r="B189" s="20" t="s">
        <v>28</v>
      </c>
      <c r="C189" s="21">
        <v>165</v>
      </c>
      <c r="D189" s="35">
        <f t="shared" si="85"/>
        <v>165</v>
      </c>
      <c r="E189" s="16">
        <f t="shared" si="86"/>
        <v>82</v>
      </c>
      <c r="F189" s="35">
        <v>41</v>
      </c>
      <c r="G189" s="35">
        <v>41</v>
      </c>
      <c r="H189" s="22">
        <v>41</v>
      </c>
      <c r="I189" s="19">
        <v>42</v>
      </c>
      <c r="J189" s="19">
        <v>45.4</v>
      </c>
      <c r="K189" s="17">
        <f>J189*100/E189</f>
        <v>55.365853658536587</v>
      </c>
      <c r="L189" s="19">
        <f t="shared" si="83"/>
        <v>27.515151515151516</v>
      </c>
      <c r="M189" s="19">
        <f t="shared" si="84"/>
        <v>27.515151515151516</v>
      </c>
    </row>
    <row r="190" spans="1:13" ht="39" customHeight="1" x14ac:dyDescent="0.25">
      <c r="A190" s="23" t="s">
        <v>31</v>
      </c>
      <c r="B190" s="20" t="s">
        <v>32</v>
      </c>
      <c r="C190" s="21">
        <v>250</v>
      </c>
      <c r="D190" s="35">
        <f t="shared" si="85"/>
        <v>250</v>
      </c>
      <c r="E190" s="16">
        <f t="shared" si="86"/>
        <v>150</v>
      </c>
      <c r="F190" s="35">
        <v>100</v>
      </c>
      <c r="G190" s="35">
        <v>50</v>
      </c>
      <c r="H190" s="22">
        <v>50</v>
      </c>
      <c r="I190" s="19">
        <v>50</v>
      </c>
      <c r="J190" s="19">
        <v>141.9</v>
      </c>
      <c r="K190" s="17">
        <f>J190*100/E190</f>
        <v>94.6</v>
      </c>
      <c r="L190" s="19">
        <f t="shared" si="83"/>
        <v>56.76</v>
      </c>
      <c r="M190" s="19">
        <f t="shared" si="84"/>
        <v>56.76</v>
      </c>
    </row>
    <row r="191" spans="1:13" ht="28.5" customHeight="1" x14ac:dyDescent="0.25">
      <c r="A191" s="24" t="s">
        <v>35</v>
      </c>
      <c r="B191" s="20" t="s">
        <v>36</v>
      </c>
      <c r="C191" s="21">
        <v>0</v>
      </c>
      <c r="D191" s="35">
        <f t="shared" si="85"/>
        <v>0</v>
      </c>
      <c r="E191" s="16">
        <f t="shared" si="86"/>
        <v>0</v>
      </c>
      <c r="F191" s="35"/>
      <c r="G191" s="35"/>
      <c r="H191" s="22"/>
      <c r="I191" s="19"/>
      <c r="J191" s="19"/>
      <c r="K191" s="17"/>
      <c r="L191" s="19"/>
      <c r="M191" s="19"/>
    </row>
    <row r="192" spans="1:13" ht="25.5" customHeight="1" x14ac:dyDescent="0.25">
      <c r="A192" s="24" t="s">
        <v>37</v>
      </c>
      <c r="B192" s="20" t="s">
        <v>38</v>
      </c>
      <c r="C192" s="21"/>
      <c r="D192" s="35">
        <f t="shared" si="85"/>
        <v>0</v>
      </c>
      <c r="E192" s="16">
        <f t="shared" si="86"/>
        <v>0</v>
      </c>
      <c r="F192" s="35"/>
      <c r="G192" s="35"/>
      <c r="H192" s="22"/>
      <c r="I192" s="19"/>
      <c r="J192" s="19"/>
      <c r="K192" s="17"/>
      <c r="L192" s="19"/>
      <c r="M192" s="19"/>
    </row>
    <row r="193" spans="1:13" ht="18" customHeight="1" x14ac:dyDescent="0.25">
      <c r="A193" s="26" t="s">
        <v>41</v>
      </c>
      <c r="B193" s="20" t="s">
        <v>42</v>
      </c>
      <c r="C193" s="21"/>
      <c r="D193" s="35">
        <f t="shared" si="85"/>
        <v>0</v>
      </c>
      <c r="E193" s="16">
        <f t="shared" si="86"/>
        <v>0</v>
      </c>
      <c r="F193" s="35"/>
      <c r="G193" s="35"/>
      <c r="H193" s="22"/>
      <c r="I193" s="19"/>
      <c r="J193" s="19"/>
      <c r="K193" s="17"/>
      <c r="L193" s="19"/>
      <c r="M193" s="19"/>
    </row>
    <row r="194" spans="1:13" ht="18" customHeight="1" x14ac:dyDescent="0.25">
      <c r="A194" s="45" t="s">
        <v>43</v>
      </c>
      <c r="B194" s="28" t="s">
        <v>44</v>
      </c>
      <c r="C194" s="21"/>
      <c r="D194" s="35">
        <f t="shared" si="85"/>
        <v>0</v>
      </c>
      <c r="E194" s="16">
        <f t="shared" si="86"/>
        <v>0</v>
      </c>
      <c r="F194" s="35"/>
      <c r="G194" s="35"/>
      <c r="H194" s="22"/>
      <c r="I194" s="19"/>
      <c r="J194" s="19"/>
      <c r="K194" s="32"/>
      <c r="L194" s="13"/>
      <c r="M194" s="19"/>
    </row>
    <row r="195" spans="1:13" ht="20.25" customHeight="1" x14ac:dyDescent="0.25">
      <c r="A195" s="10" t="s">
        <v>45</v>
      </c>
      <c r="B195" s="30" t="s">
        <v>46</v>
      </c>
      <c r="C195" s="12">
        <f t="shared" ref="C195:I195" si="87">C196</f>
        <v>29655.7</v>
      </c>
      <c r="D195" s="12">
        <f>D196+D197</f>
        <v>35347.1</v>
      </c>
      <c r="E195" s="12">
        <f>E196</f>
        <v>22144.6</v>
      </c>
      <c r="F195" s="12">
        <f t="shared" si="87"/>
        <v>11478.2</v>
      </c>
      <c r="G195" s="12">
        <f t="shared" si="87"/>
        <v>10666.4</v>
      </c>
      <c r="H195" s="12">
        <f t="shared" si="87"/>
        <v>6492.3</v>
      </c>
      <c r="I195" s="12">
        <f t="shared" si="87"/>
        <v>6464.4</v>
      </c>
      <c r="J195" s="12">
        <f>J196+J197</f>
        <v>17314</v>
      </c>
      <c r="K195" s="32">
        <f>J195*100/E195</f>
        <v>78.186104061486773</v>
      </c>
      <c r="L195" s="13">
        <f>J195*100/D195</f>
        <v>48.982801983755387</v>
      </c>
      <c r="M195" s="13">
        <f>J195*100/C195</f>
        <v>58.383379923589729</v>
      </c>
    </row>
    <row r="196" spans="1:13" ht="40.5" customHeight="1" x14ac:dyDescent="0.25">
      <c r="A196" s="54" t="s">
        <v>47</v>
      </c>
      <c r="B196" s="34" t="s">
        <v>48</v>
      </c>
      <c r="C196" s="35">
        <v>29655.7</v>
      </c>
      <c r="D196" s="35">
        <f>F196+G196+H196+I196</f>
        <v>35101.299999999996</v>
      </c>
      <c r="E196" s="16">
        <f>F196+G196</f>
        <v>22144.6</v>
      </c>
      <c r="F196" s="35">
        <f>11378.2+100</f>
        <v>11478.2</v>
      </c>
      <c r="G196" s="35">
        <v>10666.4</v>
      </c>
      <c r="H196" s="22">
        <v>6492.3</v>
      </c>
      <c r="I196" s="19">
        <v>6464.4</v>
      </c>
      <c r="J196" s="19">
        <v>17068.2</v>
      </c>
      <c r="K196" s="17">
        <f>J196*100/E196</f>
        <v>77.076126911301174</v>
      </c>
      <c r="L196" s="19">
        <f>J196*100/D196</f>
        <v>48.625549481073357</v>
      </c>
      <c r="M196" s="19">
        <f>J196*100/C196</f>
        <v>57.554534204217063</v>
      </c>
    </row>
    <row r="197" spans="1:13" ht="17.25" customHeight="1" x14ac:dyDescent="0.25">
      <c r="A197" s="33" t="s">
        <v>49</v>
      </c>
      <c r="B197" s="36" t="s">
        <v>50</v>
      </c>
      <c r="C197" s="35"/>
      <c r="D197" s="35">
        <f>F197+G197+H197+I197</f>
        <v>245.8</v>
      </c>
      <c r="E197" s="16">
        <f>F197+G197</f>
        <v>245.8</v>
      </c>
      <c r="F197" s="35"/>
      <c r="G197" s="35">
        <v>245.8</v>
      </c>
      <c r="H197" s="22"/>
      <c r="I197" s="19"/>
      <c r="J197" s="19">
        <v>245.8</v>
      </c>
      <c r="K197" s="17">
        <f>J197*100/E197</f>
        <v>100</v>
      </c>
      <c r="L197" s="19">
        <f>J197*100/D197</f>
        <v>100</v>
      </c>
      <c r="M197" s="19"/>
    </row>
    <row r="198" spans="1:13" ht="18" customHeight="1" x14ac:dyDescent="0.25">
      <c r="A198" s="26"/>
      <c r="B198" s="40" t="s">
        <v>55</v>
      </c>
      <c r="C198" s="13">
        <f t="shared" ref="C198:J198" si="88">C195+C184</f>
        <v>55546.600000000006</v>
      </c>
      <c r="D198" s="13">
        <f t="shared" si="88"/>
        <v>61238</v>
      </c>
      <c r="E198" s="13">
        <f t="shared" si="88"/>
        <v>33434.6</v>
      </c>
      <c r="F198" s="13">
        <f t="shared" si="88"/>
        <v>16995.7</v>
      </c>
      <c r="G198" s="13">
        <f t="shared" si="88"/>
        <v>16438.900000000001</v>
      </c>
      <c r="H198" s="13">
        <f t="shared" si="88"/>
        <v>12264.8</v>
      </c>
      <c r="I198" s="13">
        <f t="shared" si="88"/>
        <v>15292.8</v>
      </c>
      <c r="J198" s="13">
        <f t="shared" si="88"/>
        <v>27575.3</v>
      </c>
      <c r="K198" s="32">
        <f>J198*100/E198</f>
        <v>82.475339917331155</v>
      </c>
      <c r="L198" s="13">
        <f>J198*100/D198</f>
        <v>45.029720108429409</v>
      </c>
      <c r="M198" s="13">
        <f>J198*100/C198</f>
        <v>49.643542539057293</v>
      </c>
    </row>
    <row r="199" spans="1:13" x14ac:dyDescent="0.25">
      <c r="A199" s="146"/>
      <c r="B199" s="147"/>
      <c r="C199" s="147"/>
      <c r="D199" s="147"/>
      <c r="E199" s="147"/>
      <c r="F199" s="147"/>
      <c r="G199" s="147"/>
      <c r="H199" s="147"/>
      <c r="I199" s="147"/>
      <c r="J199" s="147"/>
      <c r="K199" s="32"/>
      <c r="L199" s="13"/>
      <c r="M199" s="19"/>
    </row>
    <row r="200" spans="1:13" x14ac:dyDescent="0.25">
      <c r="A200" s="143" t="s">
        <v>69</v>
      </c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5"/>
    </row>
    <row r="201" spans="1:13" ht="15.75" customHeight="1" x14ac:dyDescent="0.25">
      <c r="A201" s="29" t="s">
        <v>17</v>
      </c>
      <c r="B201" s="42" t="s">
        <v>18</v>
      </c>
      <c r="C201" s="32">
        <f>C202+C205+C207+C208+C206+C209+C210+C204+C203</f>
        <v>5268.6</v>
      </c>
      <c r="D201" s="32">
        <f>D202+D205+D207+D208+D206+D209+D210+D204+D203</f>
        <v>5268.6</v>
      </c>
      <c r="E201" s="32">
        <f>E202+E205+E207+E208+E206+E209+E210+E204+E203</f>
        <v>2451.5</v>
      </c>
      <c r="F201" s="32">
        <f t="shared" ref="F201:J201" si="89">F202+F205+F207+F208+F206+F209+F210+F204+F203</f>
        <v>1182.2</v>
      </c>
      <c r="G201" s="32">
        <f t="shared" si="89"/>
        <v>1269.3</v>
      </c>
      <c r="H201" s="32">
        <f t="shared" si="89"/>
        <v>1318.3000000000002</v>
      </c>
      <c r="I201" s="32">
        <f t="shared" si="89"/>
        <v>1498.8</v>
      </c>
      <c r="J201" s="32">
        <f t="shared" si="89"/>
        <v>1910.9</v>
      </c>
      <c r="K201" s="32">
        <f>J201*100/E201</f>
        <v>77.948194982663679</v>
      </c>
      <c r="L201" s="13">
        <f t="shared" ref="L201:L207" si="90">J201*100/D201</f>
        <v>36.2695972364575</v>
      </c>
      <c r="M201" s="13">
        <f t="shared" ref="M201:M209" si="91">J201*100/C201</f>
        <v>36.2695972364575</v>
      </c>
    </row>
    <row r="202" spans="1:13" ht="20.25" customHeight="1" x14ac:dyDescent="0.25">
      <c r="A202" s="26" t="s">
        <v>19</v>
      </c>
      <c r="B202" s="20" t="s">
        <v>20</v>
      </c>
      <c r="C202" s="21">
        <v>1320</v>
      </c>
      <c r="D202" s="35">
        <f t="shared" ref="D202:D210" si="92">F202+G202+H202+I202</f>
        <v>1320</v>
      </c>
      <c r="E202" s="16">
        <f t="shared" ref="E202:E210" si="93">F202+G202</f>
        <v>575</v>
      </c>
      <c r="F202" s="35">
        <v>245</v>
      </c>
      <c r="G202" s="35">
        <v>330</v>
      </c>
      <c r="H202" s="22">
        <v>330</v>
      </c>
      <c r="I202" s="22">
        <v>415</v>
      </c>
      <c r="J202" s="19">
        <v>464.5</v>
      </c>
      <c r="K202" s="17">
        <f>J202*100/E202</f>
        <v>80.782608695652172</v>
      </c>
      <c r="L202" s="19">
        <f t="shared" si="90"/>
        <v>35.189393939393938</v>
      </c>
      <c r="M202" s="19">
        <f t="shared" si="91"/>
        <v>35.189393939393938</v>
      </c>
    </row>
    <row r="203" spans="1:13" ht="37.5" customHeight="1" x14ac:dyDescent="0.25">
      <c r="A203" s="14" t="s">
        <v>21</v>
      </c>
      <c r="B203" s="20" t="s">
        <v>22</v>
      </c>
      <c r="C203" s="21">
        <v>3521.6</v>
      </c>
      <c r="D203" s="35">
        <f t="shared" si="92"/>
        <v>3521.6</v>
      </c>
      <c r="E203" s="16">
        <f t="shared" si="93"/>
        <v>1759.5</v>
      </c>
      <c r="F203" s="35">
        <v>879.7</v>
      </c>
      <c r="G203" s="35">
        <v>879.8</v>
      </c>
      <c r="H203" s="22">
        <v>879.7</v>
      </c>
      <c r="I203" s="22">
        <v>882.4</v>
      </c>
      <c r="J203" s="19">
        <v>1343.5</v>
      </c>
      <c r="K203" s="17">
        <f>J203*100/E203</f>
        <v>76.356919579425977</v>
      </c>
      <c r="L203" s="19">
        <f t="shared" si="90"/>
        <v>38.150272603362112</v>
      </c>
      <c r="M203" s="19">
        <f t="shared" si="91"/>
        <v>38.150272603362112</v>
      </c>
    </row>
    <row r="204" spans="1:13" ht="18" customHeight="1" x14ac:dyDescent="0.25">
      <c r="A204" s="14" t="s">
        <v>23</v>
      </c>
      <c r="B204" s="20" t="s">
        <v>24</v>
      </c>
      <c r="C204" s="21">
        <v>16</v>
      </c>
      <c r="D204" s="35">
        <f t="shared" si="92"/>
        <v>16</v>
      </c>
      <c r="E204" s="16">
        <f t="shared" si="93"/>
        <v>16</v>
      </c>
      <c r="F204" s="35"/>
      <c r="G204" s="35">
        <v>16</v>
      </c>
      <c r="H204" s="22"/>
      <c r="I204" s="22"/>
      <c r="J204" s="19">
        <v>0</v>
      </c>
      <c r="K204" s="17"/>
      <c r="L204" s="19">
        <f t="shared" si="90"/>
        <v>0</v>
      </c>
      <c r="M204" s="19">
        <f t="shared" si="91"/>
        <v>0</v>
      </c>
    </row>
    <row r="205" spans="1:13" ht="21" customHeight="1" x14ac:dyDescent="0.25">
      <c r="A205" s="14" t="s">
        <v>25</v>
      </c>
      <c r="B205" s="20" t="s">
        <v>26</v>
      </c>
      <c r="C205" s="21">
        <v>256.89999999999998</v>
      </c>
      <c r="D205" s="35">
        <f t="shared" si="92"/>
        <v>256.89999999999998</v>
      </c>
      <c r="E205" s="16">
        <f t="shared" si="93"/>
        <v>37.700000000000003</v>
      </c>
      <c r="F205" s="35">
        <v>30</v>
      </c>
      <c r="G205" s="35">
        <v>7.7</v>
      </c>
      <c r="H205" s="22">
        <v>70.8</v>
      </c>
      <c r="I205" s="22">
        <v>148.4</v>
      </c>
      <c r="J205" s="19">
        <v>44</v>
      </c>
      <c r="K205" s="17">
        <f>J205*100/E205</f>
        <v>116.71087533156498</v>
      </c>
      <c r="L205" s="19">
        <f t="shared" si="90"/>
        <v>17.127286882055277</v>
      </c>
      <c r="M205" s="19">
        <f t="shared" si="91"/>
        <v>17.127286882055277</v>
      </c>
    </row>
    <row r="206" spans="1:13" ht="16.5" customHeight="1" x14ac:dyDescent="0.25">
      <c r="A206" s="14" t="s">
        <v>27</v>
      </c>
      <c r="B206" s="20" t="s">
        <v>28</v>
      </c>
      <c r="C206" s="21">
        <v>19</v>
      </c>
      <c r="D206" s="35">
        <f t="shared" si="92"/>
        <v>19</v>
      </c>
      <c r="E206" s="16">
        <f t="shared" si="93"/>
        <v>4</v>
      </c>
      <c r="F206" s="35">
        <v>2</v>
      </c>
      <c r="G206" s="35">
        <v>2</v>
      </c>
      <c r="H206" s="22">
        <v>4</v>
      </c>
      <c r="I206" s="22">
        <v>11</v>
      </c>
      <c r="J206" s="19">
        <v>3.9</v>
      </c>
      <c r="K206" s="17">
        <f>J206*100/E206</f>
        <v>97.5</v>
      </c>
      <c r="L206" s="19">
        <f t="shared" si="90"/>
        <v>20.526315789473685</v>
      </c>
      <c r="M206" s="19">
        <f t="shared" si="91"/>
        <v>20.526315789473685</v>
      </c>
    </row>
    <row r="207" spans="1:13" ht="41.25" customHeight="1" x14ac:dyDescent="0.25">
      <c r="A207" s="23" t="s">
        <v>31</v>
      </c>
      <c r="B207" s="20" t="s">
        <v>32</v>
      </c>
      <c r="C207" s="21">
        <v>135.1</v>
      </c>
      <c r="D207" s="35">
        <f t="shared" si="92"/>
        <v>135.1</v>
      </c>
      <c r="E207" s="16">
        <f t="shared" si="93"/>
        <v>59.3</v>
      </c>
      <c r="F207" s="35">
        <v>25.5</v>
      </c>
      <c r="G207" s="35">
        <v>33.799999999999997</v>
      </c>
      <c r="H207" s="22">
        <v>33.799999999999997</v>
      </c>
      <c r="I207" s="22">
        <v>42</v>
      </c>
      <c r="J207" s="19">
        <v>55</v>
      </c>
      <c r="K207" s="17">
        <f>J207*100/E207</f>
        <v>92.748735244519395</v>
      </c>
      <c r="L207" s="19">
        <f t="shared" si="90"/>
        <v>40.71058475203553</v>
      </c>
      <c r="M207" s="19">
        <f t="shared" si="91"/>
        <v>40.71058475203553</v>
      </c>
    </row>
    <row r="208" spans="1:13" ht="28.5" customHeight="1" x14ac:dyDescent="0.25">
      <c r="A208" s="24" t="s">
        <v>37</v>
      </c>
      <c r="B208" s="20" t="s">
        <v>38</v>
      </c>
      <c r="C208" s="21"/>
      <c r="D208" s="35">
        <f t="shared" si="92"/>
        <v>0</v>
      </c>
      <c r="E208" s="16">
        <f t="shared" si="93"/>
        <v>0</v>
      </c>
      <c r="F208" s="35"/>
      <c r="G208" s="35"/>
      <c r="H208" s="22"/>
      <c r="I208" s="22"/>
      <c r="J208" s="19"/>
      <c r="K208" s="17"/>
      <c r="L208" s="19"/>
      <c r="M208" s="19" t="e">
        <f t="shared" si="91"/>
        <v>#DIV/0!</v>
      </c>
    </row>
    <row r="209" spans="1:13" ht="20.25" customHeight="1" x14ac:dyDescent="0.25">
      <c r="A209" s="24" t="s">
        <v>41</v>
      </c>
      <c r="B209" s="20" t="s">
        <v>42</v>
      </c>
      <c r="C209" s="21"/>
      <c r="D209" s="35">
        <f t="shared" si="92"/>
        <v>0</v>
      </c>
      <c r="E209" s="16">
        <f t="shared" si="93"/>
        <v>0</v>
      </c>
      <c r="F209" s="35"/>
      <c r="G209" s="35"/>
      <c r="H209" s="22"/>
      <c r="I209" s="22"/>
      <c r="J209" s="19"/>
      <c r="K209" s="17"/>
      <c r="L209" s="19"/>
      <c r="M209" s="19" t="e">
        <f t="shared" si="91"/>
        <v>#DIV/0!</v>
      </c>
    </row>
    <row r="210" spans="1:13" ht="18.75" customHeight="1" x14ac:dyDescent="0.25">
      <c r="A210" s="45" t="s">
        <v>43</v>
      </c>
      <c r="B210" s="28" t="s">
        <v>44</v>
      </c>
      <c r="C210" s="21"/>
      <c r="D210" s="35">
        <f t="shared" si="92"/>
        <v>0</v>
      </c>
      <c r="E210" s="16">
        <f t="shared" si="93"/>
        <v>0</v>
      </c>
      <c r="F210" s="35"/>
      <c r="G210" s="35"/>
      <c r="H210" s="22"/>
      <c r="I210" s="22"/>
      <c r="J210" s="19"/>
      <c r="K210" s="17"/>
      <c r="L210" s="19"/>
      <c r="M210" s="19"/>
    </row>
    <row r="211" spans="1:13" ht="19.5" customHeight="1" x14ac:dyDescent="0.25">
      <c r="A211" s="29" t="s">
        <v>45</v>
      </c>
      <c r="B211" s="30" t="s">
        <v>46</v>
      </c>
      <c r="C211" s="31">
        <f t="shared" ref="C211:I211" si="94">C212</f>
        <v>25685.5</v>
      </c>
      <c r="D211" s="31">
        <f t="shared" si="94"/>
        <v>35228.200000000004</v>
      </c>
      <c r="E211" s="31">
        <f t="shared" si="94"/>
        <v>22108.9</v>
      </c>
      <c r="F211" s="31">
        <f t="shared" si="94"/>
        <v>14870.8</v>
      </c>
      <c r="G211" s="31">
        <f t="shared" si="94"/>
        <v>7238.1</v>
      </c>
      <c r="H211" s="31">
        <f t="shared" si="94"/>
        <v>7192.2</v>
      </c>
      <c r="I211" s="31">
        <f t="shared" si="94"/>
        <v>5927.1</v>
      </c>
      <c r="J211" s="31">
        <f>J212+J213</f>
        <v>10449.699999999999</v>
      </c>
      <c r="K211" s="32">
        <f>J211*100/E211</f>
        <v>47.264676216365345</v>
      </c>
      <c r="L211" s="13">
        <f>J211*100/D211</f>
        <v>29.662883712480337</v>
      </c>
      <c r="M211" s="13">
        <f>J211*100/C211</f>
        <v>40.683264877070719</v>
      </c>
    </row>
    <row r="212" spans="1:13" ht="39" customHeight="1" x14ac:dyDescent="0.25">
      <c r="A212" s="33" t="s">
        <v>47</v>
      </c>
      <c r="B212" s="34" t="s">
        <v>48</v>
      </c>
      <c r="C212" s="35">
        <v>25685.5</v>
      </c>
      <c r="D212" s="35">
        <f>F212+G212+H212+I212</f>
        <v>35228.200000000004</v>
      </c>
      <c r="E212" s="16">
        <f>F212+G212</f>
        <v>22108.9</v>
      </c>
      <c r="F212" s="35">
        <v>14870.8</v>
      </c>
      <c r="G212" s="35">
        <v>7238.1</v>
      </c>
      <c r="H212" s="22">
        <v>7192.2</v>
      </c>
      <c r="I212" s="22">
        <v>5927.1</v>
      </c>
      <c r="J212" s="19">
        <v>10449.4</v>
      </c>
      <c r="K212" s="17">
        <f>J212*100/E212</f>
        <v>47.263319296753792</v>
      </c>
      <c r="L212" s="19">
        <f>J212*100/D212</f>
        <v>29.662032121993171</v>
      </c>
      <c r="M212" s="19">
        <f>J212*100/C212</f>
        <v>40.682096902921884</v>
      </c>
    </row>
    <row r="213" spans="1:13" ht="18" customHeight="1" x14ac:dyDescent="0.25">
      <c r="A213" s="33" t="s">
        <v>49</v>
      </c>
      <c r="B213" s="36" t="s">
        <v>50</v>
      </c>
      <c r="C213" s="35"/>
      <c r="D213" s="35"/>
      <c r="E213" s="16">
        <f>F213+G213</f>
        <v>0</v>
      </c>
      <c r="F213" s="35"/>
      <c r="G213" s="35"/>
      <c r="H213" s="22"/>
      <c r="I213" s="22"/>
      <c r="J213" s="19">
        <v>0.3</v>
      </c>
      <c r="K213" s="17"/>
      <c r="L213" s="19"/>
      <c r="M213" s="19"/>
    </row>
    <row r="214" spans="1:13" ht="19.5" customHeight="1" x14ac:dyDescent="0.25">
      <c r="A214" s="26"/>
      <c r="B214" s="40" t="s">
        <v>55</v>
      </c>
      <c r="C214" s="13">
        <f t="shared" ref="C214:I214" si="95">C211+C201</f>
        <v>30954.1</v>
      </c>
      <c r="D214" s="13">
        <f t="shared" si="95"/>
        <v>40496.800000000003</v>
      </c>
      <c r="E214" s="13">
        <f t="shared" si="95"/>
        <v>24560.400000000001</v>
      </c>
      <c r="F214" s="12">
        <f t="shared" si="95"/>
        <v>16053</v>
      </c>
      <c r="G214" s="12">
        <f t="shared" si="95"/>
        <v>8507.4</v>
      </c>
      <c r="H214" s="12">
        <f t="shared" si="95"/>
        <v>8510.5</v>
      </c>
      <c r="I214" s="12">
        <f t="shared" si="95"/>
        <v>7425.9000000000005</v>
      </c>
      <c r="J214" s="13">
        <f>J211+J201</f>
        <v>12360.599999999999</v>
      </c>
      <c r="K214" s="32">
        <f>J214*100/E214</f>
        <v>50.327356231983181</v>
      </c>
      <c r="L214" s="13">
        <f>J214*100/D214</f>
        <v>30.522411647340029</v>
      </c>
      <c r="M214" s="13">
        <f>J214*100/C214</f>
        <v>39.932028390423234</v>
      </c>
    </row>
    <row r="215" spans="1:13" x14ac:dyDescent="0.25">
      <c r="A215" s="146"/>
      <c r="B215" s="147"/>
      <c r="C215" s="147"/>
      <c r="D215" s="147"/>
      <c r="E215" s="147"/>
      <c r="F215" s="147"/>
      <c r="G215" s="147"/>
      <c r="H215" s="147"/>
      <c r="I215" s="147"/>
      <c r="J215" s="147"/>
      <c r="K215" s="32"/>
      <c r="L215" s="13"/>
      <c r="M215" s="19"/>
    </row>
    <row r="216" spans="1:13" x14ac:dyDescent="0.25">
      <c r="A216" s="143" t="s">
        <v>70</v>
      </c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5"/>
    </row>
    <row r="217" spans="1:13" ht="15" customHeight="1" x14ac:dyDescent="0.25">
      <c r="A217" s="29" t="s">
        <v>17</v>
      </c>
      <c r="B217" s="42" t="s">
        <v>18</v>
      </c>
      <c r="C217" s="32">
        <f t="shared" ref="C217:I217" si="96">C218+C220+C221+C222+C224+C225+C227+C229+C226+C223+C230+C228+C219</f>
        <v>1078319.6000000001</v>
      </c>
      <c r="D217" s="32">
        <f t="shared" si="96"/>
        <v>1095287.3</v>
      </c>
      <c r="E217" s="32">
        <f t="shared" si="96"/>
        <v>557745.1</v>
      </c>
      <c r="F217" s="32">
        <f t="shared" si="96"/>
        <v>276357.19999999995</v>
      </c>
      <c r="G217" s="32">
        <f t="shared" si="96"/>
        <v>281387.90000000002</v>
      </c>
      <c r="H217" s="32">
        <f t="shared" si="96"/>
        <v>236477.9</v>
      </c>
      <c r="I217" s="32">
        <f t="shared" si="96"/>
        <v>301064.3</v>
      </c>
      <c r="J217" s="32">
        <f>J218+J220+J221+J222+J224+J225+J227+J229+J226+J223+J230+J228+J219</f>
        <v>447221.59999999992</v>
      </c>
      <c r="K217" s="32">
        <f t="shared" ref="K217:K222" si="97">J217*100/E217</f>
        <v>80.183868939413358</v>
      </c>
      <c r="L217" s="13">
        <f t="shared" ref="L217:L222" si="98">J217*100/D217</f>
        <v>40.83144212481966</v>
      </c>
      <c r="M217" s="13">
        <f t="shared" ref="M217:M228" si="99">J217*100/C217</f>
        <v>41.473937782453355</v>
      </c>
    </row>
    <row r="218" spans="1:13" ht="18.75" customHeight="1" x14ac:dyDescent="0.25">
      <c r="A218" s="26" t="s">
        <v>19</v>
      </c>
      <c r="B218" s="20" t="s">
        <v>20</v>
      </c>
      <c r="C218" s="19">
        <f>C9+C31+C47+C65+C82+C100+C116+C133+C151+C168+C185+C202</f>
        <v>788632.3</v>
      </c>
      <c r="D218" s="35">
        <f t="shared" ref="D218:D230" si="100">F218+G218+H218+I218</f>
        <v>788632.3</v>
      </c>
      <c r="E218" s="16">
        <f t="shared" ref="E218:E230" si="101">F218+G218</f>
        <v>399186.30000000005</v>
      </c>
      <c r="F218" s="19">
        <f>F9+F31+F47+F65+F82+F100+F116+F133+F151+F168+F185+F202</f>
        <v>194197.7</v>
      </c>
      <c r="G218" s="19">
        <f>G9+G31+G47+G65+G82+G100+G116+G133+G151+G168+G185+G202</f>
        <v>204988.60000000003</v>
      </c>
      <c r="H218" s="19">
        <f>H9+H31+H47+H65+H82+H100+H116+H133+H151+H168+H185+H202</f>
        <v>173120.5</v>
      </c>
      <c r="I218" s="19">
        <f>I9+I31+I47+I65+I82+I100+I116+I133+I151+I168+I185+I202</f>
        <v>216325.5</v>
      </c>
      <c r="J218" s="19">
        <f>J9+J31+J47+J65+J82+J100+J116+J133+J151+J168+J185+J202+0.1</f>
        <v>311411.39999999997</v>
      </c>
      <c r="K218" s="17">
        <f t="shared" si="97"/>
        <v>78.011544985386507</v>
      </c>
      <c r="L218" s="19">
        <f t="shared" si="98"/>
        <v>39.487527964553308</v>
      </c>
      <c r="M218" s="19">
        <f t="shared" si="99"/>
        <v>39.487527964553308</v>
      </c>
    </row>
    <row r="219" spans="1:13" ht="39" customHeight="1" x14ac:dyDescent="0.25">
      <c r="A219" s="14" t="s">
        <v>21</v>
      </c>
      <c r="B219" s="20" t="s">
        <v>22</v>
      </c>
      <c r="C219" s="19">
        <f>C10+C32+C48+C66+C83+C101+C118+C134+C152+C169+C186+C203</f>
        <v>48723.299999999996</v>
      </c>
      <c r="D219" s="35">
        <f t="shared" si="100"/>
        <v>48723.30000000001</v>
      </c>
      <c r="E219" s="16">
        <f t="shared" si="101"/>
        <v>23867.100000000006</v>
      </c>
      <c r="F219" s="19">
        <f>F10+F32+F48+F66+F83+F101+F118+F134+F152+F169+F186+F203</f>
        <v>11838.600000000002</v>
      </c>
      <c r="G219" s="19">
        <f>G10+G32+G48+G66+G83+G101+G118+G134+G152+G169+G186+G203</f>
        <v>12028.500000000002</v>
      </c>
      <c r="H219" s="19">
        <f>H10+H32+H48+H66+H83+H101+H118+H134+H152+H169+H186+H203</f>
        <v>12214.400000000001</v>
      </c>
      <c r="I219" s="19">
        <f>I10+I32+I48+I66+I83+I101+I118+I134+I152+I169+I186+I203</f>
        <v>12641.800000000003</v>
      </c>
      <c r="J219" s="19">
        <f>J10+J32+J48+J66+J83+J101+J118+J134+J152+J169+J186+J203</f>
        <v>18588.099999999999</v>
      </c>
      <c r="K219" s="17">
        <f t="shared" si="97"/>
        <v>77.881686505691903</v>
      </c>
      <c r="L219" s="19">
        <f t="shared" si="98"/>
        <v>38.150330540008568</v>
      </c>
      <c r="M219" s="19">
        <f t="shared" si="99"/>
        <v>38.150330540008575</v>
      </c>
    </row>
    <row r="220" spans="1:13" ht="14.25" customHeight="1" x14ac:dyDescent="0.25">
      <c r="A220" s="14" t="s">
        <v>23</v>
      </c>
      <c r="B220" s="20" t="s">
        <v>24</v>
      </c>
      <c r="C220" s="19">
        <f>C11+C49+C67+C204+C153+C117+C187+C84+C102+C170+C119</f>
        <v>44696</v>
      </c>
      <c r="D220" s="35">
        <f t="shared" si="100"/>
        <v>44696</v>
      </c>
      <c r="E220" s="16">
        <f t="shared" si="101"/>
        <v>26558.199999999997</v>
      </c>
      <c r="F220" s="19">
        <f>F11+F49+F67+F204+F153+F187+F84+F102+F170+F119</f>
        <v>13416.3</v>
      </c>
      <c r="G220" s="19">
        <f>G11+G49+G67+G204+G153+G187+G84+G102+G170+G119</f>
        <v>13141.9</v>
      </c>
      <c r="H220" s="19">
        <f>H11+H49+H67+H204+H153+H187+H84+H102+H170+H119</f>
        <v>8521.9</v>
      </c>
      <c r="I220" s="19">
        <f>I11+I49+I67+I204+I153+I187+I84+I102+I170+I119</f>
        <v>9615.9</v>
      </c>
      <c r="J220" s="19">
        <f>J11+J49+J67+J204+J153+J117+J187+J84+J102+J170+J119</f>
        <v>23832.399999999994</v>
      </c>
      <c r="K220" s="17">
        <f t="shared" si="97"/>
        <v>89.736503226875314</v>
      </c>
      <c r="L220" s="19">
        <f t="shared" si="98"/>
        <v>53.321102559513143</v>
      </c>
      <c r="M220" s="19">
        <f t="shared" si="99"/>
        <v>53.321102559513143</v>
      </c>
    </row>
    <row r="221" spans="1:13" ht="15.75" customHeight="1" x14ac:dyDescent="0.25">
      <c r="A221" s="14" t="s">
        <v>25</v>
      </c>
      <c r="B221" s="20" t="s">
        <v>26</v>
      </c>
      <c r="C221" s="19">
        <f>C12+C33+C50+C68+C85+C103+C120+C135+C154+C171+C188+C205</f>
        <v>31354.900000000005</v>
      </c>
      <c r="D221" s="35">
        <f t="shared" si="100"/>
        <v>31354.9</v>
      </c>
      <c r="E221" s="16">
        <f t="shared" si="101"/>
        <v>8281.0999999999985</v>
      </c>
      <c r="F221" s="19">
        <f>F12+F33+F50+F68+F85+F103+F120+F135+F154+F171+F188+F205</f>
        <v>4406.2</v>
      </c>
      <c r="G221" s="19">
        <f>G12+G33+G50+G68+G85+G103+G120+G135+G154+G171+G188+G205</f>
        <v>3874.8999999999996</v>
      </c>
      <c r="H221" s="19">
        <f>H12+H33+H50+H68+H85+H103+H120+H135+H154+H171+H188+H205</f>
        <v>6016.3</v>
      </c>
      <c r="I221" s="19">
        <f>I12+I33+I50+I68+I85+I103+I120+I135+I154+I171+I188+I205</f>
        <v>17057.500000000004</v>
      </c>
      <c r="J221" s="19">
        <f>J12+J33+J50+J68+J85+J103+J120+J135+J154+J171+J188+J205</f>
        <v>7468.0000000000009</v>
      </c>
      <c r="K221" s="17">
        <f t="shared" si="97"/>
        <v>90.181256113318312</v>
      </c>
      <c r="L221" s="19">
        <f t="shared" si="98"/>
        <v>23.817648916118376</v>
      </c>
      <c r="M221" s="19">
        <f t="shared" si="99"/>
        <v>23.817648916118372</v>
      </c>
    </row>
    <row r="222" spans="1:13" ht="16.5" customHeight="1" x14ac:dyDescent="0.25">
      <c r="A222" s="14" t="s">
        <v>27</v>
      </c>
      <c r="B222" s="20" t="s">
        <v>28</v>
      </c>
      <c r="C222" s="19">
        <f>C13+C34+C51+C69+C86+C104+C121+C136+C155+C172+C189+C206</f>
        <v>3813.7</v>
      </c>
      <c r="D222" s="35">
        <f t="shared" si="100"/>
        <v>3808.7</v>
      </c>
      <c r="E222" s="16">
        <f t="shared" si="101"/>
        <v>1986</v>
      </c>
      <c r="F222" s="19">
        <f>F13+F34+F69+F86+F104+F121+F136+F155+F172+F189+F206</f>
        <v>1204.9000000000001</v>
      </c>
      <c r="G222" s="19">
        <f>G13+G34+G69+G86+G104+G121+G136+G155+G172+G189+G206</f>
        <v>781.09999999999991</v>
      </c>
      <c r="H222" s="19">
        <f>H13+H34+H69+H86+H104+H121+H136+H155+H172+H189+H206</f>
        <v>877.1</v>
      </c>
      <c r="I222" s="19">
        <f>I13+I34+I69+I86+I104+I121+I136+I155+I172+I189+I206</f>
        <v>945.59999999999991</v>
      </c>
      <c r="J222" s="19">
        <f>J13+J34+J51+J69+J86+J104+J121+J136+J155+J172+J189+J206</f>
        <v>1707.2000000000003</v>
      </c>
      <c r="K222" s="17">
        <f t="shared" si="97"/>
        <v>85.961732124874132</v>
      </c>
      <c r="L222" s="19">
        <f t="shared" si="98"/>
        <v>44.823693123637995</v>
      </c>
      <c r="M222" s="19">
        <f t="shared" si="99"/>
        <v>44.764926449379878</v>
      </c>
    </row>
    <row r="223" spans="1:13" ht="37.5" customHeight="1" x14ac:dyDescent="0.25">
      <c r="A223" s="14" t="s">
        <v>29</v>
      </c>
      <c r="B223" s="20" t="s">
        <v>30</v>
      </c>
      <c r="C223" s="55">
        <f>C14</f>
        <v>0</v>
      </c>
      <c r="D223" s="35">
        <f t="shared" si="100"/>
        <v>0</v>
      </c>
      <c r="E223" s="16">
        <f t="shared" si="101"/>
        <v>0</v>
      </c>
      <c r="F223" s="55">
        <f>F14</f>
        <v>0</v>
      </c>
      <c r="G223" s="55">
        <f>G14</f>
        <v>0</v>
      </c>
      <c r="H223" s="55">
        <f>H14</f>
        <v>0</v>
      </c>
      <c r="I223" s="55">
        <f>I14</f>
        <v>0</v>
      </c>
      <c r="J223" s="55">
        <f>J14</f>
        <v>0</v>
      </c>
      <c r="K223" s="17"/>
      <c r="L223" s="19"/>
      <c r="M223" s="19" t="e">
        <f t="shared" si="99"/>
        <v>#DIV/0!</v>
      </c>
    </row>
    <row r="224" spans="1:13" ht="36.75" customHeight="1" x14ac:dyDescent="0.25">
      <c r="A224" s="23" t="s">
        <v>31</v>
      </c>
      <c r="B224" s="20" t="s">
        <v>32</v>
      </c>
      <c r="C224" s="19">
        <f>C15+C35+C52+C70+C87+C105+C122+C137+C156+C173+C190+C207</f>
        <v>122481.50000000001</v>
      </c>
      <c r="D224" s="35">
        <f t="shared" si="100"/>
        <v>122328.09999999998</v>
      </c>
      <c r="E224" s="16">
        <f t="shared" si="101"/>
        <v>57607.299999999988</v>
      </c>
      <c r="F224" s="19">
        <f>F15+F35+F52+F70+F87+F105+F122+F137+F156+F173+F190+F207</f>
        <v>27257.299999999996</v>
      </c>
      <c r="G224" s="19">
        <f>G15+G35+G52+G70+G87+G105+G122+G137+G156+G173+G190+G207</f>
        <v>30349.999999999996</v>
      </c>
      <c r="H224" s="19">
        <f>H15+H35+H52+H70+H87+H105+H122+H137+H156+H173+H190+H207</f>
        <v>30954.599999999995</v>
      </c>
      <c r="I224" s="19">
        <f>I15+I35+I52+I70+I87+I105+I122+I137+I156+I173+I190+I207</f>
        <v>33766.199999999997</v>
      </c>
      <c r="J224" s="19">
        <f>J15+J35+J52+J70+J87+J105+J122+J137+J156+J173+J190+J207</f>
        <v>35319.5</v>
      </c>
      <c r="K224" s="17">
        <f>J224*100/E224</f>
        <v>61.31080609575524</v>
      </c>
      <c r="L224" s="19">
        <f>J224*100/D224</f>
        <v>28.872761041821139</v>
      </c>
      <c r="M224" s="19">
        <f t="shared" si="99"/>
        <v>28.836599813032986</v>
      </c>
    </row>
    <row r="225" spans="1:13" ht="26.25" customHeight="1" x14ac:dyDescent="0.25">
      <c r="A225" s="24" t="s">
        <v>33</v>
      </c>
      <c r="B225" s="20" t="s">
        <v>34</v>
      </c>
      <c r="C225" s="19">
        <f>C16</f>
        <v>9593.1</v>
      </c>
      <c r="D225" s="35">
        <f t="shared" si="100"/>
        <v>17317.599999999999</v>
      </c>
      <c r="E225" s="16">
        <f t="shared" si="101"/>
        <v>17317.599999999999</v>
      </c>
      <c r="F225" s="19">
        <f>F16</f>
        <v>10874.1</v>
      </c>
      <c r="G225" s="19">
        <f>G16</f>
        <v>6443.5</v>
      </c>
      <c r="H225" s="19">
        <f>H16</f>
        <v>0</v>
      </c>
      <c r="I225" s="19">
        <f>I16</f>
        <v>0</v>
      </c>
      <c r="J225" s="19">
        <f>J16</f>
        <v>17408.3</v>
      </c>
      <c r="K225" s="17">
        <f>J225*100/E225</f>
        <v>100.52374462974085</v>
      </c>
      <c r="L225" s="19">
        <f>J225*100/D225</f>
        <v>100.52374462974085</v>
      </c>
      <c r="M225" s="19">
        <f t="shared" si="99"/>
        <v>181.46688765883812</v>
      </c>
    </row>
    <row r="226" spans="1:13" ht="26.25" customHeight="1" x14ac:dyDescent="0.25">
      <c r="A226" s="25" t="s">
        <v>35</v>
      </c>
      <c r="B226" s="20" t="s">
        <v>36</v>
      </c>
      <c r="C226" s="56">
        <f>C17+C88+C53+C106+C138+C157+C174+C191+C123+C71+C36</f>
        <v>15967.8</v>
      </c>
      <c r="D226" s="35">
        <f t="shared" si="100"/>
        <v>15967.8</v>
      </c>
      <c r="E226" s="16">
        <f t="shared" si="101"/>
        <v>7527.6</v>
      </c>
      <c r="F226" s="56">
        <f t="shared" ref="F226:J226" si="102">F17+F88+F53+F106+F138+F157+F174+F191+F123+F71+F36</f>
        <v>5313.2</v>
      </c>
      <c r="G226" s="56">
        <f t="shared" si="102"/>
        <v>2214.4</v>
      </c>
      <c r="H226" s="56">
        <f t="shared" si="102"/>
        <v>1913.9</v>
      </c>
      <c r="I226" s="56">
        <f t="shared" si="102"/>
        <v>6526.3</v>
      </c>
      <c r="J226" s="56">
        <f t="shared" si="102"/>
        <v>8085.9</v>
      </c>
      <c r="K226" s="17">
        <f>J226*100/E226</f>
        <v>107.41670652000637</v>
      </c>
      <c r="L226" s="19">
        <f>J226*100/D226</f>
        <v>50.638785555931314</v>
      </c>
      <c r="M226" s="19">
        <f t="shared" si="99"/>
        <v>50.638785555931314</v>
      </c>
    </row>
    <row r="227" spans="1:13" ht="29.25" customHeight="1" x14ac:dyDescent="0.25">
      <c r="A227" s="25" t="s">
        <v>37</v>
      </c>
      <c r="B227" s="20" t="s">
        <v>38</v>
      </c>
      <c r="C227" s="19">
        <f>C18+C37+C54+C72+C89+C124+C158+C175+C192+C208+C139</f>
        <v>13051</v>
      </c>
      <c r="D227" s="35">
        <f t="shared" si="100"/>
        <v>15946</v>
      </c>
      <c r="E227" s="16">
        <f t="shared" si="101"/>
        <v>9370.2999999999993</v>
      </c>
      <c r="F227" s="19">
        <f>F18+F37+F54+F72+F89+F107+F124+F158+F175+F192+F208+F139</f>
        <v>4579.0999999999995</v>
      </c>
      <c r="G227" s="19">
        <f>G18+G37+G54+G72+G89+G107+G124+G158+G175+G192+G208+G139</f>
        <v>4791.2</v>
      </c>
      <c r="H227" s="19">
        <f>H18+H37+H54+H72+H89+H107+H124+H158+H175+H192+H208+H139</f>
        <v>2848.6</v>
      </c>
      <c r="I227" s="19">
        <f>I18+I37+I54+I72+I89+I107+I124+I158+I175+I192+I208+I139</f>
        <v>3727.1</v>
      </c>
      <c r="J227" s="19">
        <f>J18+J37+J54+J72+J89+J124+J158+J175+J192+J208+J139+0.1</f>
        <v>6392.9000000000015</v>
      </c>
      <c r="K227" s="17">
        <f>J227*100/E227</f>
        <v>68.225136868616815</v>
      </c>
      <c r="L227" s="19">
        <f>J227*100/D227</f>
        <v>40.090931895146127</v>
      </c>
      <c r="M227" s="19">
        <f t="shared" si="99"/>
        <v>48.983985901463498</v>
      </c>
    </row>
    <row r="228" spans="1:13" ht="15.75" customHeight="1" x14ac:dyDescent="0.25">
      <c r="A228" s="25" t="s">
        <v>39</v>
      </c>
      <c r="B228" s="20" t="s">
        <v>40</v>
      </c>
      <c r="C228" s="19">
        <f>C19</f>
        <v>6</v>
      </c>
      <c r="D228" s="35">
        <f t="shared" si="100"/>
        <v>4.5999999999999996</v>
      </c>
      <c r="E228" s="16">
        <f t="shared" si="101"/>
        <v>2.6</v>
      </c>
      <c r="F228" s="19">
        <f>F19</f>
        <v>2.6</v>
      </c>
      <c r="G228" s="19">
        <f>G19</f>
        <v>0</v>
      </c>
      <c r="H228" s="19">
        <f>H19</f>
        <v>2</v>
      </c>
      <c r="I228" s="19">
        <f>I19</f>
        <v>0</v>
      </c>
      <c r="J228" s="19">
        <f>J19</f>
        <v>11.6</v>
      </c>
      <c r="K228" s="17">
        <f>J228*100/E228</f>
        <v>446.15384615384613</v>
      </c>
      <c r="L228" s="19">
        <f>J228*100/D228</f>
        <v>252.17391304347828</v>
      </c>
      <c r="M228" s="19">
        <f t="shared" si="99"/>
        <v>193.33333333333334</v>
      </c>
    </row>
    <row r="229" spans="1:13" ht="17.25" customHeight="1" x14ac:dyDescent="0.25">
      <c r="A229" s="26" t="s">
        <v>41</v>
      </c>
      <c r="B229" s="20" t="s">
        <v>42</v>
      </c>
      <c r="C229" s="19">
        <f>C20+C193+C209+C73+C140+C55+C159+C90+C176+C107</f>
        <v>0</v>
      </c>
      <c r="D229" s="35">
        <f t="shared" si="100"/>
        <v>6508</v>
      </c>
      <c r="E229" s="16">
        <f t="shared" si="101"/>
        <v>6041</v>
      </c>
      <c r="F229" s="19">
        <f>F20+F193+F209+F73+F140+F55+F159+F90+F176</f>
        <v>3267.2</v>
      </c>
      <c r="G229" s="19">
        <f>G20+G193+G209+G73+G140+G55+G159+G90+G176</f>
        <v>2773.8</v>
      </c>
      <c r="H229" s="19">
        <f>H20+H193+H209+H73+H140+H55+H159+H90+H176</f>
        <v>8.6</v>
      </c>
      <c r="I229" s="19">
        <f>I20+I193+I209+I73+I140+I55+I159+I90+I176</f>
        <v>458.4</v>
      </c>
      <c r="J229" s="19">
        <f>J20+J193+J209+J73+J140+J55+J159+J90+J176+J107+J38-0.1</f>
        <v>16778.500000000004</v>
      </c>
      <c r="K229" s="17"/>
      <c r="L229" s="19"/>
      <c r="M229" s="19"/>
    </row>
    <row r="230" spans="1:13" ht="18.75" customHeight="1" x14ac:dyDescent="0.25">
      <c r="A230" s="27" t="s">
        <v>43</v>
      </c>
      <c r="B230" s="28" t="s">
        <v>44</v>
      </c>
      <c r="C230" s="19">
        <f>C21+C39+C56+C74+C91+C108+C126+C141+C160+C177+C194+C210</f>
        <v>0</v>
      </c>
      <c r="D230" s="35">
        <f t="shared" si="100"/>
        <v>0</v>
      </c>
      <c r="E230" s="16">
        <f t="shared" si="101"/>
        <v>0</v>
      </c>
      <c r="F230" s="19">
        <v>0</v>
      </c>
      <c r="G230" s="19">
        <f>G21+G39+G56+G74+G91+G108+G126+G141+G160+G177+G194+G210</f>
        <v>0</v>
      </c>
      <c r="H230" s="19">
        <f>H21+H39+H56+H74+H91+H108+H126+H141+H160+H177+H194+H210</f>
        <v>0</v>
      </c>
      <c r="I230" s="19">
        <f>I21+I39+I56+I74+I91+I108+I126+I141+I160+I177+I194+I210</f>
        <v>0</v>
      </c>
      <c r="J230" s="19">
        <f>J21+J39+J56+J74+J91+J108+J126+J141+J160+J177+J194+J210+0.1</f>
        <v>217.8</v>
      </c>
      <c r="K230" s="17"/>
      <c r="L230" s="19"/>
      <c r="M230" s="19"/>
    </row>
    <row r="231" spans="1:13" ht="18.75" customHeight="1" x14ac:dyDescent="0.25">
      <c r="A231" s="29" t="s">
        <v>45</v>
      </c>
      <c r="B231" s="30" t="s">
        <v>46</v>
      </c>
      <c r="C231" s="31">
        <f t="shared" ref="C231:I231" si="103">C232+C233+C234</f>
        <v>3294234.4</v>
      </c>
      <c r="D231" s="31">
        <f t="shared" si="103"/>
        <v>3531212.4999999995</v>
      </c>
      <c r="E231" s="31">
        <f t="shared" si="103"/>
        <v>1957632.8</v>
      </c>
      <c r="F231" s="31">
        <f t="shared" si="103"/>
        <v>1064868.0999999999</v>
      </c>
      <c r="G231" s="31">
        <f t="shared" si="103"/>
        <v>892764.7</v>
      </c>
      <c r="H231" s="31">
        <f t="shared" si="103"/>
        <v>796512.29999999993</v>
      </c>
      <c r="I231" s="31">
        <f t="shared" si="103"/>
        <v>777039.4</v>
      </c>
      <c r="J231" s="31">
        <f>J232+J233+J234</f>
        <v>1334049.2</v>
      </c>
      <c r="K231" s="32">
        <f>J231*100/E231</f>
        <v>68.146038419462528</v>
      </c>
      <c r="L231" s="13">
        <f>J231*100/D231</f>
        <v>37.778785615422471</v>
      </c>
      <c r="M231" s="13">
        <f>J231*100/C231</f>
        <v>40.496486831659581</v>
      </c>
    </row>
    <row r="232" spans="1:13" ht="41.25" customHeight="1" x14ac:dyDescent="0.25">
      <c r="A232" s="33" t="s">
        <v>47</v>
      </c>
      <c r="B232" s="34" t="s">
        <v>48</v>
      </c>
      <c r="C232" s="22">
        <f>C23-26864.5</f>
        <v>3294234.4</v>
      </c>
      <c r="D232" s="35">
        <f>F232+G232+H232+I232</f>
        <v>3506731.1999999997</v>
      </c>
      <c r="E232" s="16">
        <f>F232+G232</f>
        <v>1956979.5</v>
      </c>
      <c r="F232" s="22">
        <f>F23</f>
        <v>1065792.3999999999</v>
      </c>
      <c r="G232" s="22">
        <f>G23-5372.9-73</f>
        <v>891187.1</v>
      </c>
      <c r="H232" s="22">
        <f>H23-10745.8</f>
        <v>775212.29999999993</v>
      </c>
      <c r="I232" s="22">
        <f>I23-10949.7-33</f>
        <v>774539.4</v>
      </c>
      <c r="J232" s="22">
        <f>J23-6336.8</f>
        <v>1332876.5999999999</v>
      </c>
      <c r="K232" s="17">
        <f>J232*100/E232</f>
        <v>68.108868794997591</v>
      </c>
      <c r="L232" s="19">
        <f>J232*100/D232</f>
        <v>38.009089490520402</v>
      </c>
      <c r="M232" s="19">
        <f>J232*100/C232</f>
        <v>40.460891307552366</v>
      </c>
    </row>
    <row r="233" spans="1:13" ht="15.75" customHeight="1" x14ac:dyDescent="0.25">
      <c r="A233" s="33" t="s">
        <v>49</v>
      </c>
      <c r="B233" s="36" t="s">
        <v>50</v>
      </c>
      <c r="C233" s="19">
        <f>C24+C95+C180+C77</f>
        <v>0</v>
      </c>
      <c r="D233" s="35">
        <f>F233+G233+H233+I233</f>
        <v>28327</v>
      </c>
      <c r="E233" s="16">
        <f>F233+G233</f>
        <v>4527</v>
      </c>
      <c r="F233" s="19">
        <f>F24+F95+F180+F77+F146+F197</f>
        <v>2949.4</v>
      </c>
      <c r="G233" s="19">
        <f>G24+G95+G180+G77+G146+G197</f>
        <v>1577.6</v>
      </c>
      <c r="H233" s="19">
        <f>H24+H95+H180+H77+H146+H197</f>
        <v>21300</v>
      </c>
      <c r="I233" s="19">
        <f>I24+I95+I163+I197+I213+I146+I77</f>
        <v>2500</v>
      </c>
      <c r="J233" s="19">
        <f>J24+J95+J163+J197+J213+J146+J77</f>
        <v>5018.3</v>
      </c>
      <c r="K233" s="17">
        <f>J233*100/E233</f>
        <v>110.85266180693615</v>
      </c>
      <c r="L233" s="19">
        <f>J233*100/D233</f>
        <v>17.715607018039325</v>
      </c>
      <c r="M233" s="19"/>
    </row>
    <row r="234" spans="1:13" ht="38.25" customHeight="1" x14ac:dyDescent="0.25">
      <c r="A234" s="33" t="s">
        <v>53</v>
      </c>
      <c r="B234" s="38" t="s">
        <v>54</v>
      </c>
      <c r="C234" s="19">
        <f>C26</f>
        <v>0</v>
      </c>
      <c r="D234" s="35">
        <f>F234+G234+H234+I234+28</f>
        <v>-3845.7</v>
      </c>
      <c r="E234" s="16">
        <f>F234+G234</f>
        <v>-3873.7</v>
      </c>
      <c r="F234" s="19">
        <f>F26</f>
        <v>-3873.7</v>
      </c>
      <c r="G234" s="19">
        <f>G26</f>
        <v>0</v>
      </c>
      <c r="H234" s="19">
        <f>H26</f>
        <v>0</v>
      </c>
      <c r="I234" s="19">
        <f>I26</f>
        <v>0</v>
      </c>
      <c r="J234" s="19">
        <f>J26+28</f>
        <v>-3845.7</v>
      </c>
      <c r="K234" s="17">
        <f>J234*100/E234</f>
        <v>99.277176859333451</v>
      </c>
      <c r="L234" s="19">
        <f>J234*100/D234</f>
        <v>100</v>
      </c>
      <c r="M234" s="19"/>
    </row>
    <row r="235" spans="1:13" ht="17.25" customHeight="1" x14ac:dyDescent="0.25">
      <c r="A235" s="26"/>
      <c r="B235" s="40" t="s">
        <v>55</v>
      </c>
      <c r="C235" s="13">
        <f t="shared" ref="C235:J235" si="104">C231+C217</f>
        <v>4372554</v>
      </c>
      <c r="D235" s="13">
        <f t="shared" si="104"/>
        <v>4626499.8</v>
      </c>
      <c r="E235" s="13">
        <f t="shared" si="104"/>
        <v>2515377.9</v>
      </c>
      <c r="F235" s="13">
        <f t="shared" si="104"/>
        <v>1341225.2999999998</v>
      </c>
      <c r="G235" s="13">
        <f t="shared" si="104"/>
        <v>1174152.6000000001</v>
      </c>
      <c r="H235" s="13">
        <f t="shared" si="104"/>
        <v>1032990.2</v>
      </c>
      <c r="I235" s="13">
        <f t="shared" si="104"/>
        <v>1078103.7</v>
      </c>
      <c r="J235" s="13">
        <f t="shared" si="104"/>
        <v>1781270.7999999998</v>
      </c>
      <c r="K235" s="32">
        <f>J235*100/E235</f>
        <v>70.815236151991314</v>
      </c>
      <c r="L235" s="13">
        <f>J235*100/D235</f>
        <v>38.501477942352871</v>
      </c>
      <c r="M235" s="13">
        <f>J235*100/C235</f>
        <v>40.737536917783054</v>
      </c>
    </row>
  </sheetData>
  <mergeCells count="38">
    <mergeCell ref="B44:J44"/>
    <mergeCell ref="K4:K6"/>
    <mergeCell ref="A1:M1"/>
    <mergeCell ref="A2:J2"/>
    <mergeCell ref="C4:C6"/>
    <mergeCell ref="D4:D6"/>
    <mergeCell ref="E4:E6"/>
    <mergeCell ref="F4:F6"/>
    <mergeCell ref="G4:G6"/>
    <mergeCell ref="H4:H6"/>
    <mergeCell ref="I4:I6"/>
    <mergeCell ref="J4:J6"/>
    <mergeCell ref="L4:L6"/>
    <mergeCell ref="M4:M6"/>
    <mergeCell ref="A7:M7"/>
    <mergeCell ref="A28:J28"/>
    <mergeCell ref="A29:M29"/>
    <mergeCell ref="A148:J148"/>
    <mergeCell ref="A45:M45"/>
    <mergeCell ref="A62:J62"/>
    <mergeCell ref="A63:M63"/>
    <mergeCell ref="A79:J79"/>
    <mergeCell ref="A80:M80"/>
    <mergeCell ref="A97:J97"/>
    <mergeCell ref="A98:M98"/>
    <mergeCell ref="A113:J113"/>
    <mergeCell ref="A114:M114"/>
    <mergeCell ref="A130:J130"/>
    <mergeCell ref="A131:M131"/>
    <mergeCell ref="A200:M200"/>
    <mergeCell ref="A215:J215"/>
    <mergeCell ref="A216:M216"/>
    <mergeCell ref="A149:M149"/>
    <mergeCell ref="A165:J165"/>
    <mergeCell ref="A166:M166"/>
    <mergeCell ref="A182:J182"/>
    <mergeCell ref="A183:M183"/>
    <mergeCell ref="A199:J1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tabSelected="1" topLeftCell="A107" workbookViewId="0">
      <selection activeCell="A114" sqref="A114:XFD114"/>
    </sheetView>
  </sheetViews>
  <sheetFormatPr defaultRowHeight="15" x14ac:dyDescent="0.25"/>
  <cols>
    <col min="2" max="2" width="35.85546875" customWidth="1"/>
    <col min="3" max="3" width="14.140625" customWidth="1"/>
    <col min="4" max="4" width="14" customWidth="1"/>
    <col min="6" max="6" width="14.5703125" customWidth="1"/>
    <col min="7" max="7" width="15" customWidth="1"/>
    <col min="9" max="9" width="14.28515625" customWidth="1"/>
    <col min="10" max="10" width="14.7109375" customWidth="1"/>
  </cols>
  <sheetData>
    <row r="1" spans="1:11" ht="15.75" x14ac:dyDescent="0.25">
      <c r="A1" s="176" t="s">
        <v>71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5.75" thickBot="1" x14ac:dyDescent="0.3">
      <c r="A2" s="57"/>
      <c r="B2" s="58"/>
      <c r="C2" s="59"/>
      <c r="D2" s="60"/>
      <c r="E2" s="61"/>
      <c r="F2" s="62"/>
      <c r="G2" s="62"/>
      <c r="H2" s="63"/>
      <c r="I2" s="64"/>
      <c r="J2" s="65"/>
      <c r="K2" s="66"/>
    </row>
    <row r="3" spans="1:11" x14ac:dyDescent="0.25">
      <c r="A3" s="177" t="s">
        <v>72</v>
      </c>
      <c r="B3" s="179" t="s">
        <v>73</v>
      </c>
      <c r="C3" s="181" t="s">
        <v>74</v>
      </c>
      <c r="D3" s="181"/>
      <c r="E3" s="181"/>
      <c r="F3" s="182" t="s">
        <v>75</v>
      </c>
      <c r="G3" s="182"/>
      <c r="H3" s="182"/>
      <c r="I3" s="183" t="s">
        <v>76</v>
      </c>
      <c r="J3" s="183"/>
      <c r="K3" s="184"/>
    </row>
    <row r="4" spans="1:11" x14ac:dyDescent="0.25">
      <c r="A4" s="178"/>
      <c r="B4" s="180"/>
      <c r="C4" s="166" t="s">
        <v>77</v>
      </c>
      <c r="D4" s="166" t="s">
        <v>78</v>
      </c>
      <c r="E4" s="186" t="s">
        <v>79</v>
      </c>
      <c r="F4" s="166" t="s">
        <v>77</v>
      </c>
      <c r="G4" s="166" t="s">
        <v>78</v>
      </c>
      <c r="H4" s="167" t="s">
        <v>79</v>
      </c>
      <c r="I4" s="169" t="s">
        <v>77</v>
      </c>
      <c r="J4" s="171" t="s">
        <v>80</v>
      </c>
      <c r="K4" s="172" t="s">
        <v>79</v>
      </c>
    </row>
    <row r="5" spans="1:11" ht="39.75" customHeight="1" x14ac:dyDescent="0.25">
      <c r="A5" s="178"/>
      <c r="B5" s="180"/>
      <c r="C5" s="185"/>
      <c r="D5" s="166"/>
      <c r="E5" s="187"/>
      <c r="F5" s="185"/>
      <c r="G5" s="166"/>
      <c r="H5" s="168"/>
      <c r="I5" s="170"/>
      <c r="J5" s="171"/>
      <c r="K5" s="173"/>
    </row>
    <row r="6" spans="1:11" x14ac:dyDescent="0.25">
      <c r="A6" s="178"/>
      <c r="B6" s="174" t="s">
        <v>81</v>
      </c>
      <c r="C6" s="174"/>
      <c r="D6" s="174"/>
      <c r="E6" s="174"/>
      <c r="F6" s="174"/>
      <c r="G6" s="174"/>
      <c r="H6" s="174"/>
      <c r="I6" s="174"/>
      <c r="J6" s="174"/>
      <c r="K6" s="175"/>
    </row>
    <row r="7" spans="1:11" ht="7.5" customHeight="1" x14ac:dyDescent="0.25">
      <c r="A7" s="178"/>
      <c r="B7" s="174"/>
      <c r="C7" s="174"/>
      <c r="D7" s="174"/>
      <c r="E7" s="174"/>
      <c r="F7" s="174"/>
      <c r="G7" s="174"/>
      <c r="H7" s="174"/>
      <c r="I7" s="174"/>
      <c r="J7" s="174"/>
      <c r="K7" s="175"/>
    </row>
    <row r="8" spans="1:11" hidden="1" x14ac:dyDescent="0.25">
      <c r="A8" s="178"/>
      <c r="B8" s="174"/>
      <c r="C8" s="174"/>
      <c r="D8" s="174"/>
      <c r="E8" s="174"/>
      <c r="F8" s="174"/>
      <c r="G8" s="174"/>
      <c r="H8" s="174"/>
      <c r="I8" s="174"/>
      <c r="J8" s="174"/>
      <c r="K8" s="175"/>
    </row>
    <row r="9" spans="1:11" x14ac:dyDescent="0.25">
      <c r="A9" s="67" t="s">
        <v>82</v>
      </c>
      <c r="B9" s="68" t="s">
        <v>83</v>
      </c>
      <c r="C9" s="69">
        <f>SUM(C10:C17)</f>
        <v>493332.9</v>
      </c>
      <c r="D9" s="69">
        <f>SUM(D10:D17)</f>
        <v>168669.8</v>
      </c>
      <c r="E9" s="69">
        <f>D9/C9*100</f>
        <v>34.189854355953145</v>
      </c>
      <c r="F9" s="69">
        <f>F10+F11+F12+F13+F14+F16+F17+F15</f>
        <v>216181.1</v>
      </c>
      <c r="G9" s="69">
        <f>SUM(G10:G17)</f>
        <v>88123.200000000012</v>
      </c>
      <c r="H9" s="70">
        <f>G9/F9*100</f>
        <v>40.763600518269179</v>
      </c>
      <c r="I9" s="69">
        <f>SUM(I10:I17)</f>
        <v>689244.1</v>
      </c>
      <c r="J9" s="69">
        <f>SUM(J10:J17)</f>
        <v>253632.3</v>
      </c>
      <c r="K9" s="71">
        <f>J9/I9*100</f>
        <v>36.798617499953934</v>
      </c>
    </row>
    <row r="10" spans="1:11" ht="29.25" customHeight="1" x14ac:dyDescent="0.25">
      <c r="A10" s="72" t="s">
        <v>84</v>
      </c>
      <c r="B10" s="73" t="s">
        <v>85</v>
      </c>
      <c r="C10" s="74">
        <v>4678.7</v>
      </c>
      <c r="D10" s="74">
        <v>1668.6</v>
      </c>
      <c r="E10" s="75">
        <f>D10/C10*100</f>
        <v>35.663752751832774</v>
      </c>
      <c r="F10" s="76">
        <v>45672.1</v>
      </c>
      <c r="G10" s="76">
        <v>20699</v>
      </c>
      <c r="H10" s="77">
        <f>G10/F10*100</f>
        <v>45.320885179354576</v>
      </c>
      <c r="I10" s="78">
        <f t="shared" ref="I10:J102" si="0">C10+F10</f>
        <v>50350.799999999996</v>
      </c>
      <c r="J10" s="79">
        <f t="shared" si="0"/>
        <v>22367.599999999999</v>
      </c>
      <c r="K10" s="80">
        <f t="shared" ref="K10:K104" si="1">J10/I10*100</f>
        <v>44.423524551744961</v>
      </c>
    </row>
    <row r="11" spans="1:11" ht="45" customHeight="1" x14ac:dyDescent="0.25">
      <c r="A11" s="72" t="s">
        <v>86</v>
      </c>
      <c r="B11" s="73" t="s">
        <v>87</v>
      </c>
      <c r="C11" s="74">
        <v>8538.4</v>
      </c>
      <c r="D11" s="74">
        <v>3662.8</v>
      </c>
      <c r="E11" s="75">
        <f t="shared" ref="E11:E19" si="2">D11/C11*100</f>
        <v>42.89796683219339</v>
      </c>
      <c r="F11" s="76">
        <v>0</v>
      </c>
      <c r="G11" s="76"/>
      <c r="H11" s="77">
        <v>0</v>
      </c>
      <c r="I11" s="78">
        <f t="shared" si="0"/>
        <v>8538.4</v>
      </c>
      <c r="J11" s="79">
        <f t="shared" si="0"/>
        <v>3662.8</v>
      </c>
      <c r="K11" s="80">
        <f t="shared" si="1"/>
        <v>42.89796683219339</v>
      </c>
    </row>
    <row r="12" spans="1:11" ht="33.75" customHeight="1" x14ac:dyDescent="0.25">
      <c r="A12" s="72" t="s">
        <v>88</v>
      </c>
      <c r="B12" s="73" t="s">
        <v>89</v>
      </c>
      <c r="C12" s="74">
        <v>175485.6</v>
      </c>
      <c r="D12" s="74">
        <v>67818.7</v>
      </c>
      <c r="E12" s="75">
        <f t="shared" si="2"/>
        <v>38.646304881996016</v>
      </c>
      <c r="F12" s="76">
        <v>126844.1</v>
      </c>
      <c r="G12" s="76">
        <v>56102.6</v>
      </c>
      <c r="H12" s="77">
        <f>G12/F12*100</f>
        <v>44.229569999708303</v>
      </c>
      <c r="I12" s="81">
        <f>C12+F12-6300</f>
        <v>296029.7</v>
      </c>
      <c r="J12" s="81">
        <f>D12+G12-1575</f>
        <v>122346.29999999999</v>
      </c>
      <c r="K12" s="80">
        <f t="shared" si="1"/>
        <v>41.329062590679236</v>
      </c>
    </row>
    <row r="13" spans="1:11" ht="21" customHeight="1" x14ac:dyDescent="0.25">
      <c r="A13" s="72" t="s">
        <v>90</v>
      </c>
      <c r="B13" s="73" t="s">
        <v>91</v>
      </c>
      <c r="C13" s="74">
        <v>13.1</v>
      </c>
      <c r="D13" s="74"/>
      <c r="E13" s="75">
        <f t="shared" si="2"/>
        <v>0</v>
      </c>
      <c r="F13" s="76">
        <v>0</v>
      </c>
      <c r="G13" s="76"/>
      <c r="H13" s="77">
        <v>0</v>
      </c>
      <c r="I13" s="78">
        <f t="shared" si="0"/>
        <v>13.1</v>
      </c>
      <c r="J13" s="79">
        <f t="shared" si="0"/>
        <v>0</v>
      </c>
      <c r="K13" s="80">
        <f t="shared" si="1"/>
        <v>0</v>
      </c>
    </row>
    <row r="14" spans="1:11" ht="36" customHeight="1" x14ac:dyDescent="0.25">
      <c r="A14" s="72" t="s">
        <v>92</v>
      </c>
      <c r="B14" s="73" t="s">
        <v>93</v>
      </c>
      <c r="C14" s="74">
        <v>34572</v>
      </c>
      <c r="D14" s="74">
        <v>15027.2</v>
      </c>
      <c r="E14" s="75">
        <f t="shared" si="2"/>
        <v>43.466388985306033</v>
      </c>
      <c r="F14" s="76">
        <v>0</v>
      </c>
      <c r="G14" s="76"/>
      <c r="H14" s="77">
        <v>0</v>
      </c>
      <c r="I14" s="78">
        <f>C14+F14</f>
        <v>34572</v>
      </c>
      <c r="J14" s="82">
        <f>D14+G14</f>
        <v>15027.2</v>
      </c>
      <c r="K14" s="80">
        <f t="shared" si="1"/>
        <v>43.466388985306033</v>
      </c>
    </row>
    <row r="15" spans="1:11" ht="42.75" customHeight="1" x14ac:dyDescent="0.25">
      <c r="A15" s="72" t="s">
        <v>94</v>
      </c>
      <c r="B15" s="73" t="s">
        <v>95</v>
      </c>
      <c r="C15" s="74"/>
      <c r="D15" s="74"/>
      <c r="E15" s="75"/>
      <c r="F15" s="76">
        <v>1362.3</v>
      </c>
      <c r="G15" s="76"/>
      <c r="H15" s="77">
        <f>G15/F15*100</f>
        <v>0</v>
      </c>
      <c r="I15" s="78">
        <f>C15+F15</f>
        <v>1362.3</v>
      </c>
      <c r="J15" s="79">
        <f>D15+G15</f>
        <v>0</v>
      </c>
      <c r="K15" s="80">
        <f t="shared" si="1"/>
        <v>0</v>
      </c>
    </row>
    <row r="16" spans="1:11" ht="21.75" customHeight="1" x14ac:dyDescent="0.25">
      <c r="A16" s="83" t="s">
        <v>96</v>
      </c>
      <c r="B16" s="73" t="s">
        <v>97</v>
      </c>
      <c r="C16" s="74">
        <v>12726.3</v>
      </c>
      <c r="D16" s="74">
        <v>0</v>
      </c>
      <c r="E16" s="75">
        <f t="shared" si="2"/>
        <v>0</v>
      </c>
      <c r="F16" s="76">
        <v>438.7</v>
      </c>
      <c r="G16" s="76"/>
      <c r="H16" s="77">
        <f>G16/F16*100</f>
        <v>0</v>
      </c>
      <c r="I16" s="78">
        <f t="shared" si="0"/>
        <v>13165</v>
      </c>
      <c r="J16" s="79">
        <f t="shared" si="0"/>
        <v>0</v>
      </c>
      <c r="K16" s="80">
        <f t="shared" si="1"/>
        <v>0</v>
      </c>
    </row>
    <row r="17" spans="1:11" ht="37.5" customHeight="1" x14ac:dyDescent="0.25">
      <c r="A17" s="72" t="s">
        <v>98</v>
      </c>
      <c r="B17" s="73" t="s">
        <v>99</v>
      </c>
      <c r="C17" s="74">
        <v>257318.8</v>
      </c>
      <c r="D17" s="74">
        <v>80492.5</v>
      </c>
      <c r="E17" s="75">
        <f t="shared" si="2"/>
        <v>31.281235572371706</v>
      </c>
      <c r="F17" s="76">
        <v>41863.9</v>
      </c>
      <c r="G17" s="76">
        <v>11321.6</v>
      </c>
      <c r="H17" s="77">
        <f>G17/F17*100</f>
        <v>27.04382534833114</v>
      </c>
      <c r="I17" s="84">
        <f>C17+F17-13969.9</f>
        <v>285212.79999999999</v>
      </c>
      <c r="J17" s="81">
        <f>D17+G17-1585.7</f>
        <v>90228.400000000009</v>
      </c>
      <c r="K17" s="80">
        <f t="shared" si="1"/>
        <v>31.635466570925292</v>
      </c>
    </row>
    <row r="18" spans="1:11" ht="16.5" customHeight="1" x14ac:dyDescent="0.25">
      <c r="A18" s="67" t="s">
        <v>100</v>
      </c>
      <c r="B18" s="68" t="s">
        <v>101</v>
      </c>
      <c r="C18" s="69">
        <f t="shared" ref="C18:J18" si="3">C19</f>
        <v>3723</v>
      </c>
      <c r="D18" s="69">
        <f t="shared" si="3"/>
        <v>1341.8</v>
      </c>
      <c r="E18" s="69">
        <f t="shared" si="3"/>
        <v>36.040827289820037</v>
      </c>
      <c r="F18" s="69">
        <f t="shared" si="3"/>
        <v>3723</v>
      </c>
      <c r="G18" s="69">
        <f t="shared" si="3"/>
        <v>1341.1</v>
      </c>
      <c r="H18" s="85">
        <f t="shared" si="3"/>
        <v>36.022025248455542</v>
      </c>
      <c r="I18" s="69">
        <f>I19</f>
        <v>3723</v>
      </c>
      <c r="J18" s="69">
        <f t="shared" si="3"/>
        <v>1341.0999999999997</v>
      </c>
      <c r="K18" s="86">
        <f t="shared" si="1"/>
        <v>36.022025248455535</v>
      </c>
    </row>
    <row r="19" spans="1:11" ht="26.25" customHeight="1" x14ac:dyDescent="0.25">
      <c r="A19" s="72" t="s">
        <v>102</v>
      </c>
      <c r="B19" s="73" t="s">
        <v>103</v>
      </c>
      <c r="C19" s="74">
        <v>3723</v>
      </c>
      <c r="D19" s="74">
        <v>1341.8</v>
      </c>
      <c r="E19" s="75">
        <f t="shared" si="2"/>
        <v>36.040827289820037</v>
      </c>
      <c r="F19" s="76">
        <v>3723</v>
      </c>
      <c r="G19" s="76">
        <v>1341.1</v>
      </c>
      <c r="H19" s="77">
        <f>G19/F19*100</f>
        <v>36.022025248455542</v>
      </c>
      <c r="I19" s="81">
        <f>C19+F19-3723</f>
        <v>3723</v>
      </c>
      <c r="J19" s="81">
        <f>D19+G19-1341.8</f>
        <v>1341.0999999999997</v>
      </c>
      <c r="K19" s="80">
        <f t="shared" si="1"/>
        <v>36.022025248455535</v>
      </c>
    </row>
    <row r="20" spans="1:11" x14ac:dyDescent="0.25">
      <c r="A20" s="164" t="s">
        <v>104</v>
      </c>
      <c r="B20" s="165" t="s">
        <v>105</v>
      </c>
      <c r="C20" s="161">
        <f>C23+C24+C22</f>
        <v>29659.8</v>
      </c>
      <c r="D20" s="161">
        <f>D23+D24+D22</f>
        <v>8269</v>
      </c>
      <c r="E20" s="161">
        <f>D20/C20*100</f>
        <v>27.879486712654838</v>
      </c>
      <c r="F20" s="161">
        <f>F23+F24+F22</f>
        <v>17912.7</v>
      </c>
      <c r="G20" s="161">
        <f>G23+G24+G22</f>
        <v>5664.0000000000009</v>
      </c>
      <c r="H20" s="161">
        <f>G20/F20*100</f>
        <v>31.620023782009415</v>
      </c>
      <c r="I20" s="161">
        <f>I23+I24+I22</f>
        <v>33593.899999999994</v>
      </c>
      <c r="J20" s="161">
        <f>SUM(J22:J24)</f>
        <v>9294.1</v>
      </c>
      <c r="K20" s="161">
        <f>J20/I20*100</f>
        <v>27.666034607473389</v>
      </c>
    </row>
    <row r="21" spans="1:11" x14ac:dyDescent="0.25">
      <c r="A21" s="164"/>
      <c r="B21" s="165"/>
      <c r="C21" s="161"/>
      <c r="D21" s="161"/>
      <c r="E21" s="161"/>
      <c r="F21" s="161"/>
      <c r="G21" s="161"/>
      <c r="H21" s="161"/>
      <c r="I21" s="161"/>
      <c r="J21" s="161"/>
      <c r="K21" s="161"/>
    </row>
    <row r="22" spans="1:11" x14ac:dyDescent="0.25">
      <c r="A22" s="83" t="s">
        <v>106</v>
      </c>
      <c r="B22" s="73" t="s">
        <v>107</v>
      </c>
      <c r="C22" s="74">
        <v>4872.7</v>
      </c>
      <c r="D22" s="74">
        <v>2047.1</v>
      </c>
      <c r="E22" s="75">
        <f t="shared" ref="E22:E115" si="4">D22/C22*100</f>
        <v>42.011615736655244</v>
      </c>
      <c r="F22" s="76">
        <v>915.9</v>
      </c>
      <c r="G22" s="76">
        <v>220.6</v>
      </c>
      <c r="H22" s="77">
        <f>G22/F22*100</f>
        <v>24.08559886450486</v>
      </c>
      <c r="I22" s="81">
        <f>C22+F22-915.9</f>
        <v>4872.7</v>
      </c>
      <c r="J22" s="81">
        <f>D22+G22-220.6</f>
        <v>2047.1</v>
      </c>
      <c r="K22" s="80">
        <f>J22/I22*100</f>
        <v>42.011615736655244</v>
      </c>
    </row>
    <row r="23" spans="1:11" ht="37.5" customHeight="1" x14ac:dyDescent="0.25">
      <c r="A23" s="72" t="s">
        <v>108</v>
      </c>
      <c r="B23" s="73" t="s">
        <v>109</v>
      </c>
      <c r="C23" s="74">
        <v>23153</v>
      </c>
      <c r="D23" s="74">
        <v>6192.8</v>
      </c>
      <c r="E23" s="75">
        <f t="shared" si="4"/>
        <v>26.747289768064615</v>
      </c>
      <c r="F23" s="76">
        <v>16658.7</v>
      </c>
      <c r="G23" s="76">
        <v>5387.8</v>
      </c>
      <c r="H23" s="77">
        <f>G23/F23*100</f>
        <v>32.342259600088838</v>
      </c>
      <c r="I23" s="81">
        <f>C23+F23-12826.1</f>
        <v>26985.599999999999</v>
      </c>
      <c r="J23" s="81">
        <f>D23+G23-4389.2</f>
        <v>7191.4000000000005</v>
      </c>
      <c r="K23" s="80">
        <f t="shared" ref="K23:K24" si="5">J23/I23*100</f>
        <v>26.649027629550581</v>
      </c>
    </row>
    <row r="24" spans="1:11" ht="53.25" customHeight="1" x14ac:dyDescent="0.25">
      <c r="A24" s="83" t="s">
        <v>110</v>
      </c>
      <c r="B24" s="73" t="s">
        <v>111</v>
      </c>
      <c r="C24" s="74">
        <v>1634.1</v>
      </c>
      <c r="D24" s="74">
        <v>29.1</v>
      </c>
      <c r="E24" s="75">
        <f t="shared" si="4"/>
        <v>1.7807967688635948</v>
      </c>
      <c r="F24" s="76">
        <v>338.1</v>
      </c>
      <c r="G24" s="76">
        <v>55.6</v>
      </c>
      <c r="H24" s="77">
        <f>G24/F24*100</f>
        <v>16.444838805087254</v>
      </c>
      <c r="I24" s="81">
        <f>C24+F24-236.6</f>
        <v>1735.6</v>
      </c>
      <c r="J24" s="81">
        <f>D24+G24-29.1</f>
        <v>55.6</v>
      </c>
      <c r="K24" s="80">
        <f t="shared" si="5"/>
        <v>3.2035031113159715</v>
      </c>
    </row>
    <row r="25" spans="1:11" ht="22.5" customHeight="1" x14ac:dyDescent="0.25">
      <c r="A25" s="67" t="s">
        <v>112</v>
      </c>
      <c r="B25" s="68" t="s">
        <v>113</v>
      </c>
      <c r="C25" s="69">
        <f>SUM(C26:C49)</f>
        <v>163594.10000000003</v>
      </c>
      <c r="D25" s="69">
        <f>SUM(D26:D49)</f>
        <v>56906.999999999993</v>
      </c>
      <c r="E25" s="69">
        <f>D25/C25*100</f>
        <v>34.785484317588462</v>
      </c>
      <c r="F25" s="69">
        <f>SUM(F26:F49)</f>
        <v>104325.40000000001</v>
      </c>
      <c r="G25" s="69">
        <f>SUM(G26:G49)</f>
        <v>29399.7</v>
      </c>
      <c r="H25" s="70">
        <f>G25/F25*100</f>
        <v>28.18076901694122</v>
      </c>
      <c r="I25" s="69">
        <f>SUM(I26:I49)</f>
        <v>237450.60000000003</v>
      </c>
      <c r="J25" s="69">
        <f>SUM(J26:J49)</f>
        <v>76756</v>
      </c>
      <c r="K25" s="87">
        <f t="shared" si="1"/>
        <v>32.325039397668391</v>
      </c>
    </row>
    <row r="26" spans="1:11" ht="68.25" customHeight="1" x14ac:dyDescent="0.25">
      <c r="A26" s="83" t="s">
        <v>114</v>
      </c>
      <c r="B26" s="88" t="s">
        <v>115</v>
      </c>
      <c r="C26" s="74">
        <v>20148.2</v>
      </c>
      <c r="D26" s="74">
        <v>9049.6</v>
      </c>
      <c r="E26" s="75">
        <f t="shared" si="4"/>
        <v>44.915178527114087</v>
      </c>
      <c r="F26" s="74">
        <v>8270.9</v>
      </c>
      <c r="G26" s="76">
        <v>5807.5</v>
      </c>
      <c r="H26" s="77">
        <f>G26/F26*100</f>
        <v>70.216058711869337</v>
      </c>
      <c r="I26" s="81">
        <f>C26+F26-8270.9</f>
        <v>20148.199999999997</v>
      </c>
      <c r="J26" s="81">
        <f>D26+G26-8173.3</f>
        <v>6683.8</v>
      </c>
      <c r="K26" s="80">
        <f t="shared" si="1"/>
        <v>33.173186686651917</v>
      </c>
    </row>
    <row r="27" spans="1:11" ht="24.75" customHeight="1" x14ac:dyDescent="0.25">
      <c r="A27" s="72" t="s">
        <v>116</v>
      </c>
      <c r="B27" s="73" t="s">
        <v>117</v>
      </c>
      <c r="C27" s="74">
        <v>42873.4</v>
      </c>
      <c r="D27" s="74">
        <v>25416.6</v>
      </c>
      <c r="E27" s="75">
        <f t="shared" si="4"/>
        <v>59.282912015375501</v>
      </c>
      <c r="F27" s="76">
        <v>111</v>
      </c>
      <c r="G27" s="76"/>
      <c r="H27" s="77">
        <v>0</v>
      </c>
      <c r="I27" s="89">
        <f>C27+F27-111</f>
        <v>42873.4</v>
      </c>
      <c r="J27" s="79">
        <f t="shared" si="0"/>
        <v>25416.6</v>
      </c>
      <c r="K27" s="80">
        <f t="shared" si="1"/>
        <v>59.282912015375501</v>
      </c>
    </row>
    <row r="28" spans="1:11" ht="24.75" customHeight="1" x14ac:dyDescent="0.25">
      <c r="A28" s="72" t="s">
        <v>118</v>
      </c>
      <c r="B28" s="73" t="s">
        <v>119</v>
      </c>
      <c r="C28" s="74">
        <v>7000</v>
      </c>
      <c r="D28" s="74">
        <v>366.9</v>
      </c>
      <c r="E28" s="75">
        <f t="shared" si="4"/>
        <v>5.2414285714285711</v>
      </c>
      <c r="F28" s="76">
        <v>0</v>
      </c>
      <c r="G28" s="76"/>
      <c r="H28" s="77">
        <v>0</v>
      </c>
      <c r="I28" s="78">
        <f>C28+F28</f>
        <v>7000</v>
      </c>
      <c r="J28" s="79">
        <f>D28+G28</f>
        <v>366.9</v>
      </c>
      <c r="K28" s="80">
        <f t="shared" si="1"/>
        <v>5.2414285714285711</v>
      </c>
    </row>
    <row r="29" spans="1:11" ht="42.75" customHeight="1" x14ac:dyDescent="0.25">
      <c r="A29" s="72" t="s">
        <v>118</v>
      </c>
      <c r="B29" s="73" t="s">
        <v>120</v>
      </c>
      <c r="C29" s="74">
        <v>18607</v>
      </c>
      <c r="D29" s="74">
        <v>11283.9</v>
      </c>
      <c r="E29" s="75">
        <f t="shared" si="4"/>
        <v>60.643306282581818</v>
      </c>
      <c r="F29" s="76">
        <v>16364</v>
      </c>
      <c r="G29" s="76">
        <v>5600.2</v>
      </c>
      <c r="H29" s="77">
        <f>G29/F29*100</f>
        <v>34.22268394035688</v>
      </c>
      <c r="I29" s="81">
        <f>C29+F29-2107</f>
        <v>32864</v>
      </c>
      <c r="J29" s="81">
        <f>D29+G29-526.9</f>
        <v>16357.199999999999</v>
      </c>
      <c r="K29" s="80">
        <f t="shared" si="1"/>
        <v>49.772395326192793</v>
      </c>
    </row>
    <row r="30" spans="1:11" ht="24" customHeight="1" x14ac:dyDescent="0.25">
      <c r="A30" s="72" t="s">
        <v>118</v>
      </c>
      <c r="B30" s="73" t="s">
        <v>121</v>
      </c>
      <c r="C30" s="74">
        <v>21500</v>
      </c>
      <c r="D30" s="74"/>
      <c r="E30" s="75">
        <f t="shared" si="4"/>
        <v>0</v>
      </c>
      <c r="F30" s="76">
        <v>0</v>
      </c>
      <c r="G30" s="76"/>
      <c r="H30" s="77">
        <v>0</v>
      </c>
      <c r="I30" s="78">
        <f t="shared" si="0"/>
        <v>21500</v>
      </c>
      <c r="J30" s="79">
        <f t="shared" si="0"/>
        <v>0</v>
      </c>
      <c r="K30" s="80">
        <f t="shared" si="1"/>
        <v>0</v>
      </c>
    </row>
    <row r="31" spans="1:11" ht="62.25" hidden="1" customHeight="1" x14ac:dyDescent="0.25">
      <c r="A31" s="72" t="s">
        <v>122</v>
      </c>
      <c r="B31" s="90" t="s">
        <v>123</v>
      </c>
      <c r="C31" s="74"/>
      <c r="D31" s="74"/>
      <c r="E31" s="75" t="e">
        <f t="shared" si="4"/>
        <v>#DIV/0!</v>
      </c>
      <c r="F31" s="76"/>
      <c r="G31" s="76"/>
      <c r="H31" s="77" t="e">
        <f t="shared" ref="H31:H41" si="6">G31/F31*100</f>
        <v>#DIV/0!</v>
      </c>
      <c r="I31" s="78">
        <f t="shared" si="0"/>
        <v>0</v>
      </c>
      <c r="J31" s="79">
        <f t="shared" si="0"/>
        <v>0</v>
      </c>
      <c r="K31" s="80" t="e">
        <f t="shared" si="1"/>
        <v>#DIV/0!</v>
      </c>
    </row>
    <row r="32" spans="1:11" ht="84.75" hidden="1" customHeight="1" x14ac:dyDescent="0.25">
      <c r="A32" s="83" t="s">
        <v>122</v>
      </c>
      <c r="B32" s="90" t="s">
        <v>124</v>
      </c>
      <c r="C32" s="74"/>
      <c r="D32" s="74"/>
      <c r="E32" s="75" t="e">
        <f t="shared" si="4"/>
        <v>#DIV/0!</v>
      </c>
      <c r="F32" s="76"/>
      <c r="G32" s="76"/>
      <c r="H32" s="77" t="e">
        <f t="shared" si="6"/>
        <v>#DIV/0!</v>
      </c>
      <c r="I32" s="81">
        <f>C32+F32</f>
        <v>0</v>
      </c>
      <c r="J32" s="81">
        <f>D32+G32</f>
        <v>0</v>
      </c>
      <c r="K32" s="80" t="e">
        <f t="shared" si="1"/>
        <v>#DIV/0!</v>
      </c>
    </row>
    <row r="33" spans="1:11" ht="57" customHeight="1" x14ac:dyDescent="0.25">
      <c r="A33" s="83" t="s">
        <v>122</v>
      </c>
      <c r="B33" s="73" t="s">
        <v>125</v>
      </c>
      <c r="C33" s="74">
        <v>15718.5</v>
      </c>
      <c r="D33" s="74">
        <v>1057.0999999999999</v>
      </c>
      <c r="E33" s="75">
        <f t="shared" si="4"/>
        <v>6.7251964245952216</v>
      </c>
      <c r="F33" s="76">
        <v>15245</v>
      </c>
      <c r="G33" s="76">
        <v>760.9</v>
      </c>
      <c r="H33" s="77">
        <f t="shared" si="6"/>
        <v>4.9911446375860935</v>
      </c>
      <c r="I33" s="81">
        <f>C33+F33-15245</f>
        <v>15718.5</v>
      </c>
      <c r="J33" s="81">
        <f>D33+G33-760.9</f>
        <v>1057.0999999999999</v>
      </c>
      <c r="K33" s="80">
        <f t="shared" si="1"/>
        <v>6.7251964245952216</v>
      </c>
    </row>
    <row r="34" spans="1:11" ht="99" customHeight="1" x14ac:dyDescent="0.25">
      <c r="A34" s="83" t="s">
        <v>122</v>
      </c>
      <c r="B34" s="73" t="s">
        <v>126</v>
      </c>
      <c r="C34" s="74">
        <v>210</v>
      </c>
      <c r="D34" s="74">
        <v>40</v>
      </c>
      <c r="E34" s="75">
        <f t="shared" si="4"/>
        <v>19.047619047619047</v>
      </c>
      <c r="F34" s="76"/>
      <c r="G34" s="76"/>
      <c r="H34" s="77" t="e">
        <f t="shared" si="6"/>
        <v>#DIV/0!</v>
      </c>
      <c r="I34" s="81">
        <f>C34+F34</f>
        <v>210</v>
      </c>
      <c r="J34" s="81">
        <f>D34+G34</f>
        <v>40</v>
      </c>
      <c r="K34" s="80">
        <f t="shared" si="1"/>
        <v>19.047619047619047</v>
      </c>
    </row>
    <row r="35" spans="1:11" ht="57.75" customHeight="1" x14ac:dyDescent="0.25">
      <c r="A35" s="83" t="s">
        <v>122</v>
      </c>
      <c r="B35" s="73" t="s">
        <v>127</v>
      </c>
      <c r="C35" s="74"/>
      <c r="D35" s="74"/>
      <c r="E35" s="75" t="e">
        <f t="shared" si="4"/>
        <v>#DIV/0!</v>
      </c>
      <c r="F35" s="76">
        <v>4754.8999999999996</v>
      </c>
      <c r="G35" s="76">
        <v>1843.7</v>
      </c>
      <c r="H35" s="77">
        <f t="shared" si="6"/>
        <v>38.774737639067069</v>
      </c>
      <c r="I35" s="79">
        <f>C35+F35</f>
        <v>4754.8999999999996</v>
      </c>
      <c r="J35" s="79">
        <f>D35+G35</f>
        <v>1843.7</v>
      </c>
      <c r="K35" s="80">
        <f t="shared" si="1"/>
        <v>38.774737639067069</v>
      </c>
    </row>
    <row r="36" spans="1:11" ht="119.25" customHeight="1" x14ac:dyDescent="0.25">
      <c r="A36" s="83" t="s">
        <v>122</v>
      </c>
      <c r="B36" s="73" t="s">
        <v>128</v>
      </c>
      <c r="C36" s="74">
        <v>3500</v>
      </c>
      <c r="D36" s="74"/>
      <c r="E36" s="75">
        <f t="shared" si="4"/>
        <v>0</v>
      </c>
      <c r="F36" s="76">
        <v>3500</v>
      </c>
      <c r="G36" s="76"/>
      <c r="H36" s="77">
        <f t="shared" si="6"/>
        <v>0</v>
      </c>
      <c r="I36" s="81">
        <f>C36+F36-3500</f>
        <v>3500</v>
      </c>
      <c r="J36" s="81">
        <f>D36+G36</f>
        <v>0</v>
      </c>
      <c r="K36" s="80">
        <f t="shared" si="1"/>
        <v>0</v>
      </c>
    </row>
    <row r="37" spans="1:11" ht="52.5" hidden="1" customHeight="1" x14ac:dyDescent="0.25">
      <c r="A37" s="83" t="s">
        <v>122</v>
      </c>
      <c r="B37" s="73" t="s">
        <v>129</v>
      </c>
      <c r="C37" s="74">
        <v>0</v>
      </c>
      <c r="D37" s="74"/>
      <c r="E37" s="75" t="e">
        <f>D37/C37*100</f>
        <v>#DIV/0!</v>
      </c>
      <c r="F37" s="76"/>
      <c r="G37" s="76"/>
      <c r="H37" s="77" t="e">
        <f t="shared" si="6"/>
        <v>#DIV/0!</v>
      </c>
      <c r="I37" s="78">
        <f>C37+F37</f>
        <v>0</v>
      </c>
      <c r="J37" s="79">
        <f t="shared" si="0"/>
        <v>0</v>
      </c>
      <c r="K37" s="80" t="e">
        <f t="shared" si="1"/>
        <v>#DIV/0!</v>
      </c>
    </row>
    <row r="38" spans="1:11" ht="38.25" customHeight="1" x14ac:dyDescent="0.25">
      <c r="A38" s="83" t="s">
        <v>122</v>
      </c>
      <c r="B38" s="73" t="s">
        <v>130</v>
      </c>
      <c r="C38" s="74"/>
      <c r="D38" s="74"/>
      <c r="E38" s="74" t="e">
        <f t="shared" si="4"/>
        <v>#DIV/0!</v>
      </c>
      <c r="F38" s="76">
        <v>8858.7000000000007</v>
      </c>
      <c r="G38" s="76">
        <v>2279</v>
      </c>
      <c r="H38" s="77">
        <f t="shared" si="6"/>
        <v>25.726122343007436</v>
      </c>
      <c r="I38" s="78">
        <f t="shared" ref="I38" si="7">C38+F38</f>
        <v>8858.7000000000007</v>
      </c>
      <c r="J38" s="79">
        <f t="shared" si="0"/>
        <v>2279</v>
      </c>
      <c r="K38" s="80">
        <f t="shared" si="1"/>
        <v>25.726122343007436</v>
      </c>
    </row>
    <row r="39" spans="1:11" ht="62.25" customHeight="1" x14ac:dyDescent="0.25">
      <c r="A39" s="83" t="s">
        <v>122</v>
      </c>
      <c r="B39" s="73" t="s">
        <v>131</v>
      </c>
      <c r="C39" s="74"/>
      <c r="D39" s="74"/>
      <c r="E39" s="75"/>
      <c r="F39" s="76">
        <v>40058.6</v>
      </c>
      <c r="G39" s="76">
        <v>10907.9</v>
      </c>
      <c r="H39" s="77">
        <f t="shared" si="6"/>
        <v>27.229858257652538</v>
      </c>
      <c r="I39" s="78">
        <f>C39+F39</f>
        <v>40058.6</v>
      </c>
      <c r="J39" s="79">
        <f t="shared" si="0"/>
        <v>10907.9</v>
      </c>
      <c r="K39" s="80">
        <f t="shared" si="1"/>
        <v>27.229858257652538</v>
      </c>
    </row>
    <row r="40" spans="1:11" ht="20.25" customHeight="1" x14ac:dyDescent="0.25">
      <c r="A40" s="72" t="s">
        <v>132</v>
      </c>
      <c r="B40" s="73" t="s">
        <v>133</v>
      </c>
      <c r="C40" s="74">
        <v>5580.5</v>
      </c>
      <c r="D40" s="74">
        <v>993.6</v>
      </c>
      <c r="E40" s="75">
        <f t="shared" si="4"/>
        <v>17.804856195681388</v>
      </c>
      <c r="F40" s="76">
        <v>5087.3</v>
      </c>
      <c r="G40" s="76">
        <v>2110.9</v>
      </c>
      <c r="H40" s="76">
        <f t="shared" si="6"/>
        <v>41.493523086902677</v>
      </c>
      <c r="I40" s="78">
        <f>C40+F40</f>
        <v>10667.8</v>
      </c>
      <c r="J40" s="79">
        <f t="shared" si="0"/>
        <v>3104.5</v>
      </c>
      <c r="K40" s="80">
        <f t="shared" si="1"/>
        <v>29.101595455482858</v>
      </c>
    </row>
    <row r="41" spans="1:11" ht="79.5" customHeight="1" x14ac:dyDescent="0.25">
      <c r="A41" s="72" t="s">
        <v>134</v>
      </c>
      <c r="B41" s="90" t="s">
        <v>135</v>
      </c>
      <c r="C41" s="74">
        <v>3412.7</v>
      </c>
      <c r="D41" s="74">
        <v>636.6</v>
      </c>
      <c r="E41" s="74">
        <f t="shared" si="4"/>
        <v>18.653851788906145</v>
      </c>
      <c r="F41" s="76">
        <v>1235</v>
      </c>
      <c r="G41" s="76">
        <v>89.6</v>
      </c>
      <c r="H41" s="76">
        <f t="shared" si="6"/>
        <v>7.2550607287449385</v>
      </c>
      <c r="I41" s="81">
        <f>C41+F41-1235</f>
        <v>3412.7</v>
      </c>
      <c r="J41" s="81">
        <f>D41+G41-89.6</f>
        <v>636.6</v>
      </c>
      <c r="K41" s="80">
        <f t="shared" si="1"/>
        <v>18.653851788906145</v>
      </c>
    </row>
    <row r="42" spans="1:11" ht="51" customHeight="1" x14ac:dyDescent="0.25">
      <c r="A42" s="72" t="s">
        <v>134</v>
      </c>
      <c r="B42" s="90" t="s">
        <v>136</v>
      </c>
      <c r="C42" s="74">
        <v>13928.4</v>
      </c>
      <c r="D42" s="74">
        <v>900</v>
      </c>
      <c r="E42" s="74">
        <f t="shared" si="4"/>
        <v>6.4616179891444814</v>
      </c>
      <c r="F42" s="76"/>
      <c r="G42" s="76"/>
      <c r="H42" s="76"/>
      <c r="I42" s="78">
        <f t="shared" si="0"/>
        <v>13928.4</v>
      </c>
      <c r="J42" s="79">
        <f t="shared" si="0"/>
        <v>900</v>
      </c>
      <c r="K42" s="80">
        <f t="shared" si="1"/>
        <v>6.4616179891444814</v>
      </c>
    </row>
    <row r="43" spans="1:11" ht="96" customHeight="1" x14ac:dyDescent="0.25">
      <c r="A43" s="72" t="s">
        <v>134</v>
      </c>
      <c r="B43" s="90" t="s">
        <v>137</v>
      </c>
      <c r="C43" s="74">
        <v>1123.4000000000001</v>
      </c>
      <c r="D43" s="76"/>
      <c r="E43" s="75">
        <f t="shared" si="4"/>
        <v>0</v>
      </c>
      <c r="F43" s="76">
        <v>0</v>
      </c>
      <c r="G43" s="76"/>
      <c r="H43" s="76">
        <v>0</v>
      </c>
      <c r="I43" s="78">
        <f t="shared" si="0"/>
        <v>1123.4000000000001</v>
      </c>
      <c r="J43" s="79">
        <f t="shared" si="0"/>
        <v>0</v>
      </c>
      <c r="K43" s="80">
        <f t="shared" si="1"/>
        <v>0</v>
      </c>
    </row>
    <row r="44" spans="1:11" ht="124.5" customHeight="1" x14ac:dyDescent="0.25">
      <c r="A44" s="83" t="s">
        <v>134</v>
      </c>
      <c r="B44" s="90" t="s">
        <v>138</v>
      </c>
      <c r="C44" s="74">
        <f>4382.7+601.8+381.1</f>
        <v>5365.6</v>
      </c>
      <c r="D44" s="76">
        <v>4716.5</v>
      </c>
      <c r="E44" s="74">
        <f t="shared" si="4"/>
        <v>87.902564484866559</v>
      </c>
      <c r="F44" s="76"/>
      <c r="G44" s="76"/>
      <c r="H44" s="76"/>
      <c r="I44" s="78">
        <f t="shared" si="0"/>
        <v>5365.6</v>
      </c>
      <c r="J44" s="79">
        <f t="shared" si="0"/>
        <v>4716.5</v>
      </c>
      <c r="K44" s="80">
        <f t="shared" si="1"/>
        <v>87.902564484866559</v>
      </c>
    </row>
    <row r="45" spans="1:11" ht="54" customHeight="1" x14ac:dyDescent="0.25">
      <c r="A45" s="83" t="s">
        <v>134</v>
      </c>
      <c r="B45" s="90" t="s">
        <v>139</v>
      </c>
      <c r="C45" s="74">
        <v>1546.5</v>
      </c>
      <c r="D45" s="76">
        <v>676.8</v>
      </c>
      <c r="E45" s="74">
        <f t="shared" si="4"/>
        <v>43.763336566440344</v>
      </c>
      <c r="F45" s="76">
        <v>0</v>
      </c>
      <c r="G45" s="76"/>
      <c r="H45" s="76">
        <v>0</v>
      </c>
      <c r="I45" s="78">
        <f t="shared" si="0"/>
        <v>1546.5</v>
      </c>
      <c r="J45" s="79">
        <f t="shared" si="0"/>
        <v>676.8</v>
      </c>
      <c r="K45" s="80">
        <f t="shared" si="1"/>
        <v>43.763336566440344</v>
      </c>
    </row>
    <row r="46" spans="1:11" ht="99.75" customHeight="1" x14ac:dyDescent="0.25">
      <c r="A46" s="83" t="s">
        <v>134</v>
      </c>
      <c r="B46" s="90" t="s">
        <v>140</v>
      </c>
      <c r="C46" s="74">
        <v>2443.1999999999998</v>
      </c>
      <c r="D46" s="76">
        <v>1727.7</v>
      </c>
      <c r="E46" s="74">
        <f t="shared" si="4"/>
        <v>70.714636542239688</v>
      </c>
      <c r="F46" s="76"/>
      <c r="G46" s="76"/>
      <c r="H46" s="76"/>
      <c r="I46" s="78">
        <f t="shared" si="0"/>
        <v>2443.1999999999998</v>
      </c>
      <c r="J46" s="79">
        <f t="shared" si="0"/>
        <v>1727.7</v>
      </c>
      <c r="K46" s="80">
        <f t="shared" si="1"/>
        <v>70.714636542239688</v>
      </c>
    </row>
    <row r="47" spans="1:11" ht="87" customHeight="1" x14ac:dyDescent="0.25">
      <c r="A47" s="83" t="s">
        <v>134</v>
      </c>
      <c r="B47" s="90" t="s">
        <v>141</v>
      </c>
      <c r="C47" s="74">
        <v>551.70000000000005</v>
      </c>
      <c r="D47" s="76">
        <v>4</v>
      </c>
      <c r="E47" s="74">
        <f t="shared" si="4"/>
        <v>0.72503172013775596</v>
      </c>
      <c r="F47" s="76"/>
      <c r="G47" s="76"/>
      <c r="H47" s="76"/>
      <c r="I47" s="78">
        <f t="shared" si="0"/>
        <v>551.70000000000005</v>
      </c>
      <c r="J47" s="79">
        <f t="shared" si="0"/>
        <v>4</v>
      </c>
      <c r="K47" s="80">
        <f t="shared" si="1"/>
        <v>0.72503172013775596</v>
      </c>
    </row>
    <row r="48" spans="1:11" ht="60.75" customHeight="1" x14ac:dyDescent="0.25">
      <c r="A48" s="83" t="s">
        <v>134</v>
      </c>
      <c r="B48" s="90" t="s">
        <v>142</v>
      </c>
      <c r="C48" s="74">
        <v>85</v>
      </c>
      <c r="D48" s="76">
        <v>37.700000000000003</v>
      </c>
      <c r="E48" s="74">
        <f>D48/C48*100</f>
        <v>44.352941176470587</v>
      </c>
      <c r="F48" s="76"/>
      <c r="G48" s="76"/>
      <c r="H48" s="76">
        <v>0</v>
      </c>
      <c r="I48" s="78">
        <f t="shared" si="0"/>
        <v>85</v>
      </c>
      <c r="J48" s="79">
        <f t="shared" si="0"/>
        <v>37.700000000000003</v>
      </c>
      <c r="K48" s="80">
        <f t="shared" si="1"/>
        <v>44.352941176470587</v>
      </c>
    </row>
    <row r="49" spans="1:11" ht="52.5" customHeight="1" x14ac:dyDescent="0.25">
      <c r="A49" s="83" t="s">
        <v>134</v>
      </c>
      <c r="B49" s="90" t="s">
        <v>143</v>
      </c>
      <c r="C49" s="74">
        <v>0</v>
      </c>
      <c r="D49" s="76">
        <v>0</v>
      </c>
      <c r="E49" s="74" t="e">
        <f>D49/C49*100</f>
        <v>#DIV/0!</v>
      </c>
      <c r="F49" s="76">
        <v>840</v>
      </c>
      <c r="G49" s="76"/>
      <c r="H49" s="76">
        <v>0</v>
      </c>
      <c r="I49" s="78">
        <f>C49+F49</f>
        <v>840</v>
      </c>
      <c r="J49" s="79">
        <f>D49+G49</f>
        <v>0</v>
      </c>
      <c r="K49" s="80">
        <f t="shared" si="1"/>
        <v>0</v>
      </c>
    </row>
    <row r="50" spans="1:11" ht="30.75" customHeight="1" x14ac:dyDescent="0.25">
      <c r="A50" s="67" t="s">
        <v>144</v>
      </c>
      <c r="B50" s="68" t="s">
        <v>145</v>
      </c>
      <c r="C50" s="69">
        <f>SUM(C51:C89)</f>
        <v>873515.6</v>
      </c>
      <c r="D50" s="69">
        <f>SUM(D51:D89)</f>
        <v>48586</v>
      </c>
      <c r="E50" s="69">
        <f t="shared" si="4"/>
        <v>5.5621216152293105</v>
      </c>
      <c r="F50" s="91">
        <f>SUM(F51:F89)</f>
        <v>281796.80000000005</v>
      </c>
      <c r="G50" s="91">
        <f>SUM(G51:G89)</f>
        <v>41868.199999999997</v>
      </c>
      <c r="H50" s="91">
        <f>G50/F50*100</f>
        <v>14.857585323892957</v>
      </c>
      <c r="I50" s="69">
        <f>SUM(I51:I89)</f>
        <v>977515.79999999993</v>
      </c>
      <c r="J50" s="69">
        <f>SUM(J51:J89)</f>
        <v>78113.899999999994</v>
      </c>
      <c r="K50" s="71">
        <f t="shared" si="1"/>
        <v>7.9910626508543388</v>
      </c>
    </row>
    <row r="51" spans="1:11" ht="95.25" customHeight="1" x14ac:dyDescent="0.25">
      <c r="A51" s="72" t="s">
        <v>146</v>
      </c>
      <c r="B51" s="73" t="s">
        <v>147</v>
      </c>
      <c r="C51" s="74">
        <v>452337.3</v>
      </c>
      <c r="D51" s="74"/>
      <c r="E51" s="75">
        <f t="shared" si="4"/>
        <v>0</v>
      </c>
      <c r="F51" s="76">
        <v>0</v>
      </c>
      <c r="G51" s="76">
        <v>0</v>
      </c>
      <c r="H51" s="77">
        <v>0</v>
      </c>
      <c r="I51" s="78">
        <f t="shared" si="0"/>
        <v>452337.3</v>
      </c>
      <c r="J51" s="79">
        <f t="shared" si="0"/>
        <v>0</v>
      </c>
      <c r="K51" s="80">
        <f t="shared" si="1"/>
        <v>0</v>
      </c>
    </row>
    <row r="52" spans="1:11" ht="63.75" customHeight="1" x14ac:dyDescent="0.25">
      <c r="A52" s="72" t="s">
        <v>146</v>
      </c>
      <c r="B52" s="73" t="s">
        <v>148</v>
      </c>
      <c r="C52" s="74">
        <v>1836</v>
      </c>
      <c r="D52" s="74">
        <v>537.4</v>
      </c>
      <c r="E52" s="75">
        <f t="shared" si="4"/>
        <v>29.270152505446625</v>
      </c>
      <c r="F52" s="76"/>
      <c r="G52" s="76"/>
      <c r="H52" s="77">
        <v>0</v>
      </c>
      <c r="I52" s="78">
        <f t="shared" si="0"/>
        <v>1836</v>
      </c>
      <c r="J52" s="79">
        <f t="shared" si="0"/>
        <v>537.4</v>
      </c>
      <c r="K52" s="80">
        <f t="shared" si="1"/>
        <v>29.270152505446625</v>
      </c>
    </row>
    <row r="53" spans="1:11" ht="51.75" hidden="1" customHeight="1" x14ac:dyDescent="0.25">
      <c r="A53" s="72" t="s">
        <v>146</v>
      </c>
      <c r="B53" s="73" t="s">
        <v>149</v>
      </c>
      <c r="C53" s="74">
        <v>0</v>
      </c>
      <c r="D53" s="74">
        <v>0</v>
      </c>
      <c r="E53" s="75" t="e">
        <f t="shared" si="4"/>
        <v>#DIV/0!</v>
      </c>
      <c r="F53" s="76"/>
      <c r="G53" s="76"/>
      <c r="H53" s="77">
        <v>0</v>
      </c>
      <c r="I53" s="78">
        <f t="shared" si="0"/>
        <v>0</v>
      </c>
      <c r="J53" s="79">
        <f t="shared" si="0"/>
        <v>0</v>
      </c>
      <c r="K53" s="80" t="e">
        <f t="shared" si="1"/>
        <v>#DIV/0!</v>
      </c>
    </row>
    <row r="54" spans="1:11" ht="48" hidden="1" customHeight="1" x14ac:dyDescent="0.25">
      <c r="A54" s="72" t="s">
        <v>146</v>
      </c>
      <c r="B54" s="73" t="s">
        <v>150</v>
      </c>
      <c r="C54" s="74"/>
      <c r="D54" s="74"/>
      <c r="E54" s="75" t="e">
        <f t="shared" si="4"/>
        <v>#DIV/0!</v>
      </c>
      <c r="F54" s="76"/>
      <c r="G54" s="76"/>
      <c r="H54" s="77">
        <v>0</v>
      </c>
      <c r="I54" s="78">
        <f t="shared" si="0"/>
        <v>0</v>
      </c>
      <c r="J54" s="79">
        <f t="shared" si="0"/>
        <v>0</v>
      </c>
      <c r="K54" s="80" t="e">
        <f t="shared" si="1"/>
        <v>#DIV/0!</v>
      </c>
    </row>
    <row r="55" spans="1:11" ht="66" hidden="1" customHeight="1" x14ac:dyDescent="0.25">
      <c r="A55" s="72" t="s">
        <v>146</v>
      </c>
      <c r="B55" s="73" t="s">
        <v>151</v>
      </c>
      <c r="C55" s="74"/>
      <c r="D55" s="74"/>
      <c r="E55" s="75" t="e">
        <f t="shared" si="4"/>
        <v>#DIV/0!</v>
      </c>
      <c r="F55" s="76"/>
      <c r="G55" s="76"/>
      <c r="H55" s="77">
        <v>0</v>
      </c>
      <c r="I55" s="78">
        <f t="shared" si="0"/>
        <v>0</v>
      </c>
      <c r="J55" s="79">
        <f t="shared" si="0"/>
        <v>0</v>
      </c>
      <c r="K55" s="80" t="e">
        <f t="shared" si="1"/>
        <v>#DIV/0!</v>
      </c>
    </row>
    <row r="56" spans="1:11" ht="120.75" customHeight="1" x14ac:dyDescent="0.25">
      <c r="A56" s="72" t="s">
        <v>146</v>
      </c>
      <c r="B56" s="73" t="s">
        <v>152</v>
      </c>
      <c r="C56" s="74">
        <v>51343.6</v>
      </c>
      <c r="D56" s="74"/>
      <c r="E56" s="75">
        <f t="shared" si="4"/>
        <v>0</v>
      </c>
      <c r="F56" s="76"/>
      <c r="G56" s="76"/>
      <c r="H56" s="77">
        <v>0</v>
      </c>
      <c r="I56" s="78">
        <f t="shared" si="0"/>
        <v>51343.6</v>
      </c>
      <c r="J56" s="79">
        <f t="shared" si="0"/>
        <v>0</v>
      </c>
      <c r="K56" s="80">
        <f t="shared" si="1"/>
        <v>0</v>
      </c>
    </row>
    <row r="57" spans="1:11" ht="116.25" customHeight="1" x14ac:dyDescent="0.25">
      <c r="A57" s="72" t="s">
        <v>146</v>
      </c>
      <c r="B57" s="73" t="s">
        <v>153</v>
      </c>
      <c r="C57" s="74">
        <v>6355.3</v>
      </c>
      <c r="D57" s="74"/>
      <c r="E57" s="75">
        <f t="shared" si="4"/>
        <v>0</v>
      </c>
      <c r="F57" s="76"/>
      <c r="G57" s="76"/>
      <c r="H57" s="77">
        <v>0</v>
      </c>
      <c r="I57" s="78">
        <f t="shared" si="0"/>
        <v>6355.3</v>
      </c>
      <c r="J57" s="79">
        <f t="shared" si="0"/>
        <v>0</v>
      </c>
      <c r="K57" s="80">
        <f t="shared" si="1"/>
        <v>0</v>
      </c>
    </row>
    <row r="58" spans="1:11" ht="141" customHeight="1" x14ac:dyDescent="0.25">
      <c r="A58" s="72" t="s">
        <v>146</v>
      </c>
      <c r="B58" s="73" t="s">
        <v>154</v>
      </c>
      <c r="C58" s="74">
        <v>33091</v>
      </c>
      <c r="D58" s="74"/>
      <c r="E58" s="75">
        <f t="shared" si="4"/>
        <v>0</v>
      </c>
      <c r="F58" s="76"/>
      <c r="G58" s="76"/>
      <c r="H58" s="77">
        <v>0</v>
      </c>
      <c r="I58" s="78">
        <f t="shared" si="0"/>
        <v>33091</v>
      </c>
      <c r="J58" s="79">
        <f t="shared" si="0"/>
        <v>0</v>
      </c>
      <c r="K58" s="80">
        <f t="shared" si="1"/>
        <v>0</v>
      </c>
    </row>
    <row r="59" spans="1:11" ht="61.5" customHeight="1" x14ac:dyDescent="0.25">
      <c r="A59" s="72" t="s">
        <v>146</v>
      </c>
      <c r="B59" s="73" t="s">
        <v>155</v>
      </c>
      <c r="C59" s="74"/>
      <c r="D59" s="74"/>
      <c r="E59" s="75"/>
      <c r="F59" s="76">
        <v>100</v>
      </c>
      <c r="G59" s="76"/>
      <c r="H59" s="77">
        <v>0</v>
      </c>
      <c r="I59" s="78">
        <f t="shared" si="0"/>
        <v>100</v>
      </c>
      <c r="J59" s="79">
        <f t="shared" si="0"/>
        <v>0</v>
      </c>
      <c r="K59" s="80">
        <f t="shared" si="1"/>
        <v>0</v>
      </c>
    </row>
    <row r="60" spans="1:11" ht="47.25" customHeight="1" x14ac:dyDescent="0.25">
      <c r="A60" s="83" t="s">
        <v>146</v>
      </c>
      <c r="B60" s="73" t="s">
        <v>156</v>
      </c>
      <c r="C60" s="74">
        <v>29017.8</v>
      </c>
      <c r="D60" s="74">
        <v>3624.3</v>
      </c>
      <c r="E60" s="75">
        <f t="shared" si="4"/>
        <v>12.489919980150116</v>
      </c>
      <c r="F60" s="76">
        <v>30696.2</v>
      </c>
      <c r="G60" s="76">
        <v>1988.8</v>
      </c>
      <c r="H60" s="77">
        <f>G60/F60*100</f>
        <v>6.4789778539363168</v>
      </c>
      <c r="I60" s="81">
        <f>C60+F60-21958.7</f>
        <v>37755.300000000003</v>
      </c>
      <c r="J60" s="79">
        <f t="shared" si="0"/>
        <v>5613.1</v>
      </c>
      <c r="K60" s="80">
        <f t="shared" si="1"/>
        <v>14.867051778160947</v>
      </c>
    </row>
    <row r="61" spans="1:11" ht="217.5" customHeight="1" x14ac:dyDescent="0.25">
      <c r="A61" s="92" t="s">
        <v>157</v>
      </c>
      <c r="B61" s="73" t="s">
        <v>158</v>
      </c>
      <c r="C61" s="74">
        <v>27712.2</v>
      </c>
      <c r="D61" s="74">
        <v>4905.3</v>
      </c>
      <c r="E61" s="75">
        <f t="shared" si="4"/>
        <v>17.700868209669387</v>
      </c>
      <c r="F61" s="76"/>
      <c r="G61" s="76"/>
      <c r="H61" s="77"/>
      <c r="I61" s="78">
        <f t="shared" si="0"/>
        <v>27712.2</v>
      </c>
      <c r="J61" s="79">
        <f t="shared" si="0"/>
        <v>4905.3</v>
      </c>
      <c r="K61" s="80">
        <f t="shared" si="1"/>
        <v>17.700868209669387</v>
      </c>
    </row>
    <row r="62" spans="1:11" ht="201.75" customHeight="1" x14ac:dyDescent="0.25">
      <c r="A62" s="72" t="s">
        <v>157</v>
      </c>
      <c r="B62" s="73" t="s">
        <v>159</v>
      </c>
      <c r="C62" s="74">
        <v>14898</v>
      </c>
      <c r="D62" s="74">
        <v>14898</v>
      </c>
      <c r="E62" s="75">
        <f t="shared" si="4"/>
        <v>100</v>
      </c>
      <c r="F62" s="76"/>
      <c r="G62" s="76"/>
      <c r="H62" s="77"/>
      <c r="I62" s="78">
        <f t="shared" si="0"/>
        <v>14898</v>
      </c>
      <c r="J62" s="79">
        <f t="shared" si="0"/>
        <v>14898</v>
      </c>
      <c r="K62" s="80">
        <f t="shared" si="1"/>
        <v>100</v>
      </c>
    </row>
    <row r="63" spans="1:11" ht="180.75" customHeight="1" x14ac:dyDescent="0.25">
      <c r="A63" s="83" t="s">
        <v>157</v>
      </c>
      <c r="B63" s="73" t="s">
        <v>160</v>
      </c>
      <c r="C63" s="74">
        <v>4485.8999999999996</v>
      </c>
      <c r="D63" s="74">
        <v>1404.5</v>
      </c>
      <c r="E63" s="75">
        <f t="shared" si="4"/>
        <v>31.309213312824628</v>
      </c>
      <c r="F63" s="76"/>
      <c r="G63" s="76"/>
      <c r="H63" s="77"/>
      <c r="I63" s="78">
        <f t="shared" si="0"/>
        <v>4485.8999999999996</v>
      </c>
      <c r="J63" s="79">
        <f t="shared" si="0"/>
        <v>1404.5</v>
      </c>
      <c r="K63" s="80">
        <f t="shared" si="1"/>
        <v>31.309213312824628</v>
      </c>
    </row>
    <row r="64" spans="1:11" ht="175.5" customHeight="1" x14ac:dyDescent="0.25">
      <c r="A64" s="83" t="s">
        <v>157</v>
      </c>
      <c r="B64" s="73" t="s">
        <v>161</v>
      </c>
      <c r="C64" s="74">
        <v>6728.9</v>
      </c>
      <c r="D64" s="74">
        <v>1732.5</v>
      </c>
      <c r="E64" s="75">
        <f t="shared" si="4"/>
        <v>25.747150351469038</v>
      </c>
      <c r="F64" s="76"/>
      <c r="G64" s="76"/>
      <c r="H64" s="77"/>
      <c r="I64" s="78">
        <f t="shared" si="0"/>
        <v>6728.9</v>
      </c>
      <c r="J64" s="79">
        <f t="shared" si="0"/>
        <v>1732.5</v>
      </c>
      <c r="K64" s="80">
        <f t="shared" si="1"/>
        <v>25.747150351469038</v>
      </c>
    </row>
    <row r="65" spans="1:11" ht="233.25" customHeight="1" x14ac:dyDescent="0.25">
      <c r="A65" s="72" t="s">
        <v>157</v>
      </c>
      <c r="B65" s="93" t="s">
        <v>162</v>
      </c>
      <c r="C65" s="74">
        <v>28857</v>
      </c>
      <c r="D65" s="74">
        <v>12863.9</v>
      </c>
      <c r="E65" s="75">
        <f>D65/C65*100</f>
        <v>44.578091970752332</v>
      </c>
      <c r="F65" s="76"/>
      <c r="G65" s="76"/>
      <c r="H65" s="77"/>
      <c r="I65" s="78">
        <f>C65+F65</f>
        <v>28857</v>
      </c>
      <c r="J65" s="79">
        <f>D65+G65</f>
        <v>12863.9</v>
      </c>
      <c r="K65" s="80">
        <f>J65/I65*100</f>
        <v>44.578091970752332</v>
      </c>
    </row>
    <row r="66" spans="1:11" ht="212.25" customHeight="1" x14ac:dyDescent="0.25">
      <c r="A66" s="83" t="s">
        <v>157</v>
      </c>
      <c r="B66" s="90" t="s">
        <v>163</v>
      </c>
      <c r="C66" s="74">
        <v>112111.9</v>
      </c>
      <c r="D66" s="74"/>
      <c r="E66" s="75">
        <f t="shared" ref="E66:E75" si="8">D66/C66*100</f>
        <v>0</v>
      </c>
      <c r="F66" s="76">
        <f>38213.3+5812.5</f>
        <v>44025.8</v>
      </c>
      <c r="G66" s="76"/>
      <c r="H66" s="77">
        <f>G66/F66*100</f>
        <v>0</v>
      </c>
      <c r="I66" s="81">
        <f>C66+F66-44025.8</f>
        <v>112111.90000000001</v>
      </c>
      <c r="J66" s="81">
        <f>D66+G66</f>
        <v>0</v>
      </c>
      <c r="K66" s="80">
        <f t="shared" si="1"/>
        <v>0</v>
      </c>
    </row>
    <row r="67" spans="1:11" ht="104.25" customHeight="1" x14ac:dyDescent="0.25">
      <c r="A67" s="83" t="s">
        <v>157</v>
      </c>
      <c r="B67" s="90" t="s">
        <v>164</v>
      </c>
      <c r="C67" s="74"/>
      <c r="D67" s="74"/>
      <c r="E67" s="75" t="e">
        <f t="shared" si="8"/>
        <v>#DIV/0!</v>
      </c>
      <c r="F67" s="76"/>
      <c r="G67" s="76"/>
      <c r="H67" s="77" t="e">
        <f t="shared" ref="H67:H88" si="9">G67/F67*100</f>
        <v>#DIV/0!</v>
      </c>
      <c r="I67" s="79">
        <f t="shared" ref="I67:J70" si="10">C67+F67</f>
        <v>0</v>
      </c>
      <c r="J67" s="79">
        <f t="shared" si="10"/>
        <v>0</v>
      </c>
      <c r="K67" s="80" t="e">
        <f t="shared" si="1"/>
        <v>#DIV/0!</v>
      </c>
    </row>
    <row r="68" spans="1:11" ht="52.5" customHeight="1" x14ac:dyDescent="0.25">
      <c r="A68" s="83" t="s">
        <v>157</v>
      </c>
      <c r="B68" s="90" t="s">
        <v>165</v>
      </c>
      <c r="C68" s="74"/>
      <c r="D68" s="74"/>
      <c r="E68" s="75" t="e">
        <f t="shared" si="8"/>
        <v>#DIV/0!</v>
      </c>
      <c r="F68" s="76"/>
      <c r="G68" s="76"/>
      <c r="H68" s="77" t="e">
        <f t="shared" si="9"/>
        <v>#DIV/0!</v>
      </c>
      <c r="I68" s="79">
        <f t="shared" si="10"/>
        <v>0</v>
      </c>
      <c r="J68" s="79">
        <f t="shared" si="10"/>
        <v>0</v>
      </c>
      <c r="K68" s="80" t="e">
        <f t="shared" si="1"/>
        <v>#DIV/0!</v>
      </c>
    </row>
    <row r="69" spans="1:11" ht="77.25" customHeight="1" x14ac:dyDescent="0.25">
      <c r="A69" s="83" t="s">
        <v>157</v>
      </c>
      <c r="B69" s="90" t="s">
        <v>166</v>
      </c>
      <c r="C69" s="74"/>
      <c r="D69" s="74"/>
      <c r="E69" s="75" t="e">
        <f t="shared" si="8"/>
        <v>#DIV/0!</v>
      </c>
      <c r="F69" s="76">
        <v>50</v>
      </c>
      <c r="G69" s="76">
        <v>50</v>
      </c>
      <c r="H69" s="77">
        <f t="shared" si="9"/>
        <v>100</v>
      </c>
      <c r="I69" s="78">
        <f t="shared" si="10"/>
        <v>50</v>
      </c>
      <c r="J69" s="79">
        <f t="shared" si="10"/>
        <v>50</v>
      </c>
      <c r="K69" s="80">
        <f>J69/I69*100</f>
        <v>100</v>
      </c>
    </row>
    <row r="70" spans="1:11" ht="94.5" hidden="1" customHeight="1" x14ac:dyDescent="0.25">
      <c r="A70" s="83" t="s">
        <v>157</v>
      </c>
      <c r="B70" s="90" t="s">
        <v>167</v>
      </c>
      <c r="C70" s="74"/>
      <c r="D70" s="74"/>
      <c r="E70" s="75" t="e">
        <f t="shared" si="8"/>
        <v>#DIV/0!</v>
      </c>
      <c r="F70" s="76"/>
      <c r="G70" s="76"/>
      <c r="H70" s="77"/>
      <c r="I70" s="78">
        <f t="shared" si="10"/>
        <v>0</v>
      </c>
      <c r="J70" s="79">
        <f t="shared" si="10"/>
        <v>0</v>
      </c>
      <c r="K70" s="80" t="e">
        <f>J70/I70*100</f>
        <v>#DIV/0!</v>
      </c>
    </row>
    <row r="71" spans="1:11" ht="96" customHeight="1" x14ac:dyDescent="0.25">
      <c r="A71" s="83" t="s">
        <v>157</v>
      </c>
      <c r="B71" s="90" t="s">
        <v>168</v>
      </c>
      <c r="C71" s="74"/>
      <c r="D71" s="74"/>
      <c r="E71" s="75" t="e">
        <f t="shared" si="8"/>
        <v>#DIV/0!</v>
      </c>
      <c r="F71" s="76">
        <v>5802</v>
      </c>
      <c r="G71" s="76">
        <v>4906.5</v>
      </c>
      <c r="H71" s="77">
        <f t="shared" si="9"/>
        <v>84.565667011375396</v>
      </c>
      <c r="I71" s="78">
        <f t="shared" si="0"/>
        <v>5802</v>
      </c>
      <c r="J71" s="79">
        <f t="shared" si="0"/>
        <v>4906.5</v>
      </c>
      <c r="K71" s="94">
        <f t="shared" si="1"/>
        <v>84.565667011375396</v>
      </c>
    </row>
    <row r="72" spans="1:11" ht="32.25" customHeight="1" x14ac:dyDescent="0.25">
      <c r="A72" s="83" t="s">
        <v>157</v>
      </c>
      <c r="B72" s="90" t="s">
        <v>169</v>
      </c>
      <c r="C72" s="74"/>
      <c r="D72" s="74"/>
      <c r="E72" s="75" t="e">
        <f t="shared" si="8"/>
        <v>#DIV/0!</v>
      </c>
      <c r="F72" s="76">
        <v>34300.699999999997</v>
      </c>
      <c r="G72" s="76">
        <v>1183.0999999999999</v>
      </c>
      <c r="H72" s="77">
        <f t="shared" si="9"/>
        <v>3.4492007451742968</v>
      </c>
      <c r="I72" s="78">
        <f>C72+F72</f>
        <v>34300.699999999997</v>
      </c>
      <c r="J72" s="79">
        <f>D72+G72</f>
        <v>1183.0999999999999</v>
      </c>
      <c r="K72" s="80">
        <f t="shared" si="1"/>
        <v>3.4492007451742968</v>
      </c>
    </row>
    <row r="73" spans="1:11" ht="53.25" customHeight="1" x14ac:dyDescent="0.25">
      <c r="A73" s="83" t="s">
        <v>157</v>
      </c>
      <c r="B73" s="90" t="s">
        <v>170</v>
      </c>
      <c r="C73" s="74">
        <v>9480</v>
      </c>
      <c r="D73" s="74"/>
      <c r="E73" s="75">
        <f t="shared" si="8"/>
        <v>0</v>
      </c>
      <c r="F73" s="76"/>
      <c r="G73" s="76"/>
      <c r="H73" s="77"/>
      <c r="I73" s="78">
        <f>C73+F73</f>
        <v>9480</v>
      </c>
      <c r="J73" s="79">
        <f>D73+G73</f>
        <v>0</v>
      </c>
      <c r="K73" s="80">
        <f t="shared" si="1"/>
        <v>0</v>
      </c>
    </row>
    <row r="74" spans="1:11" ht="107.25" customHeight="1" x14ac:dyDescent="0.25">
      <c r="A74" s="83" t="s">
        <v>157</v>
      </c>
      <c r="B74" s="90" t="s">
        <v>171</v>
      </c>
      <c r="C74" s="74"/>
      <c r="D74" s="74"/>
      <c r="E74" s="75" t="e">
        <f t="shared" si="8"/>
        <v>#DIV/0!</v>
      </c>
      <c r="F74" s="76">
        <v>16598</v>
      </c>
      <c r="G74" s="76">
        <v>3720.2</v>
      </c>
      <c r="H74" s="77">
        <f t="shared" si="9"/>
        <v>22.413543800457887</v>
      </c>
      <c r="I74" s="81">
        <f>C74+F74-8011-8587</f>
        <v>0</v>
      </c>
      <c r="J74" s="95">
        <f>D74+G74-3720.2</f>
        <v>0</v>
      </c>
      <c r="K74" s="80" t="e">
        <f>J74/I74*100</f>
        <v>#DIV/0!</v>
      </c>
    </row>
    <row r="75" spans="1:11" ht="90" hidden="1" customHeight="1" x14ac:dyDescent="0.25">
      <c r="A75" s="83" t="s">
        <v>172</v>
      </c>
      <c r="B75" s="73" t="s">
        <v>173</v>
      </c>
      <c r="C75" s="74"/>
      <c r="D75" s="74"/>
      <c r="E75" s="75" t="e">
        <f t="shared" si="8"/>
        <v>#DIV/0!</v>
      </c>
      <c r="F75" s="74"/>
      <c r="G75" s="76"/>
      <c r="H75" s="77" t="e">
        <f t="shared" si="9"/>
        <v>#DIV/0!</v>
      </c>
      <c r="I75" s="79">
        <f>C75+F75</f>
        <v>0</v>
      </c>
      <c r="J75" s="81">
        <f>D75+G75</f>
        <v>0</v>
      </c>
      <c r="K75" s="80" t="e">
        <f t="shared" ref="K75" si="11">J75/I75*100</f>
        <v>#DIV/0!</v>
      </c>
    </row>
    <row r="76" spans="1:11" ht="114" customHeight="1" x14ac:dyDescent="0.25">
      <c r="A76" s="83" t="s">
        <v>172</v>
      </c>
      <c r="B76" s="73" t="s">
        <v>174</v>
      </c>
      <c r="C76" s="74">
        <v>3500</v>
      </c>
      <c r="D76" s="74">
        <v>25</v>
      </c>
      <c r="E76" s="75">
        <f t="shared" si="4"/>
        <v>0.7142857142857143</v>
      </c>
      <c r="F76" s="74">
        <v>3500</v>
      </c>
      <c r="G76" s="76">
        <v>25</v>
      </c>
      <c r="H76" s="77">
        <f t="shared" si="9"/>
        <v>0.7142857142857143</v>
      </c>
      <c r="I76" s="81">
        <f>C76+F76-3500</f>
        <v>3500</v>
      </c>
      <c r="J76" s="81">
        <f>D76+G76-25</f>
        <v>25</v>
      </c>
      <c r="K76" s="80">
        <f t="shared" si="1"/>
        <v>0.7142857142857143</v>
      </c>
    </row>
    <row r="77" spans="1:11" ht="66" hidden="1" customHeight="1" x14ac:dyDescent="0.25">
      <c r="A77" s="83" t="s">
        <v>172</v>
      </c>
      <c r="B77" s="73" t="s">
        <v>175</v>
      </c>
      <c r="C77" s="74"/>
      <c r="D77" s="74"/>
      <c r="E77" s="75" t="e">
        <f t="shared" si="4"/>
        <v>#DIV/0!</v>
      </c>
      <c r="F77" s="74"/>
      <c r="G77" s="76"/>
      <c r="H77" s="77" t="e">
        <f t="shared" si="9"/>
        <v>#DIV/0!</v>
      </c>
      <c r="I77" s="81">
        <f t="shared" ref="I77:I89" si="12">C77+F77</f>
        <v>0</v>
      </c>
      <c r="J77" s="81">
        <f>D77+G77</f>
        <v>0</v>
      </c>
      <c r="K77" s="80" t="e">
        <f t="shared" si="1"/>
        <v>#DIV/0!</v>
      </c>
    </row>
    <row r="78" spans="1:11" ht="82.5" hidden="1" customHeight="1" x14ac:dyDescent="0.25">
      <c r="A78" s="83" t="s">
        <v>172</v>
      </c>
      <c r="B78" s="73" t="s">
        <v>176</v>
      </c>
      <c r="C78" s="74"/>
      <c r="D78" s="74"/>
      <c r="E78" s="75" t="e">
        <f t="shared" si="4"/>
        <v>#DIV/0!</v>
      </c>
      <c r="F78" s="74"/>
      <c r="G78" s="76"/>
      <c r="H78" s="77" t="e">
        <f t="shared" si="9"/>
        <v>#DIV/0!</v>
      </c>
      <c r="I78" s="79">
        <f t="shared" si="12"/>
        <v>0</v>
      </c>
      <c r="J78" s="79">
        <f t="shared" si="0"/>
        <v>0</v>
      </c>
      <c r="K78" s="80" t="e">
        <f t="shared" si="1"/>
        <v>#DIV/0!</v>
      </c>
    </row>
    <row r="79" spans="1:11" ht="77.25" customHeight="1" x14ac:dyDescent="0.25">
      <c r="A79" s="83" t="s">
        <v>172</v>
      </c>
      <c r="B79" s="73" t="s">
        <v>177</v>
      </c>
      <c r="C79" s="74">
        <v>77861.100000000006</v>
      </c>
      <c r="D79" s="74">
        <v>8518.7999999999993</v>
      </c>
      <c r="E79" s="75">
        <f t="shared" si="4"/>
        <v>10.94102189668525</v>
      </c>
      <c r="F79" s="74">
        <v>77861.100000000006</v>
      </c>
      <c r="G79" s="76">
        <v>8518.7999999999993</v>
      </c>
      <c r="H79" s="77">
        <f t="shared" si="9"/>
        <v>10.94102189668525</v>
      </c>
      <c r="I79" s="81">
        <f>C79+F79-77861.1</f>
        <v>77861.100000000006</v>
      </c>
      <c r="J79" s="81">
        <f>D79+G79-8518.8</f>
        <v>8518.7999999999993</v>
      </c>
      <c r="K79" s="80">
        <f t="shared" si="1"/>
        <v>10.94102189668525</v>
      </c>
    </row>
    <row r="80" spans="1:11" ht="57.75" customHeight="1" x14ac:dyDescent="0.25">
      <c r="A80" s="83" t="s">
        <v>172</v>
      </c>
      <c r="B80" s="73" t="s">
        <v>178</v>
      </c>
      <c r="C80" s="74"/>
      <c r="D80" s="74"/>
      <c r="E80" s="75"/>
      <c r="F80" s="74">
        <v>2000</v>
      </c>
      <c r="G80" s="76"/>
      <c r="H80" s="77">
        <f t="shared" si="9"/>
        <v>0</v>
      </c>
      <c r="I80" s="81">
        <f>F80</f>
        <v>2000</v>
      </c>
      <c r="J80" s="81"/>
      <c r="K80" s="80">
        <f t="shared" si="1"/>
        <v>0</v>
      </c>
    </row>
    <row r="81" spans="1:11" ht="87" hidden="1" customHeight="1" x14ac:dyDescent="0.25">
      <c r="A81" s="83" t="s">
        <v>172</v>
      </c>
      <c r="B81" s="73" t="s">
        <v>179</v>
      </c>
      <c r="C81" s="74"/>
      <c r="D81" s="74"/>
      <c r="E81" s="75" t="e">
        <f t="shared" si="4"/>
        <v>#DIV/0!</v>
      </c>
      <c r="F81" s="74"/>
      <c r="G81" s="76"/>
      <c r="H81" s="77" t="e">
        <f t="shared" si="9"/>
        <v>#DIV/0!</v>
      </c>
      <c r="I81" s="81">
        <f t="shared" si="12"/>
        <v>0</v>
      </c>
      <c r="J81" s="81">
        <f>D81+G81</f>
        <v>0</v>
      </c>
      <c r="K81" s="80" t="e">
        <f t="shared" si="1"/>
        <v>#DIV/0!</v>
      </c>
    </row>
    <row r="82" spans="1:11" ht="66" customHeight="1" x14ac:dyDescent="0.25">
      <c r="A82" s="83" t="s">
        <v>172</v>
      </c>
      <c r="B82" s="73" t="s">
        <v>180</v>
      </c>
      <c r="C82" s="74">
        <v>500</v>
      </c>
      <c r="D82" s="74">
        <v>76.3</v>
      </c>
      <c r="E82" s="75">
        <f t="shared" si="4"/>
        <v>15.259999999999998</v>
      </c>
      <c r="F82" s="74">
        <v>500</v>
      </c>
      <c r="G82" s="76">
        <v>219</v>
      </c>
      <c r="H82" s="77"/>
      <c r="I82" s="81">
        <f>C82+F82-500</f>
        <v>500</v>
      </c>
      <c r="J82" s="81">
        <f>D82+G82-76.3</f>
        <v>219</v>
      </c>
      <c r="K82" s="80">
        <f t="shared" si="1"/>
        <v>43.8</v>
      </c>
    </row>
    <row r="83" spans="1:11" ht="110.25" customHeight="1" x14ac:dyDescent="0.25">
      <c r="A83" s="83" t="s">
        <v>172</v>
      </c>
      <c r="B83" s="73" t="s">
        <v>181</v>
      </c>
      <c r="C83" s="74"/>
      <c r="D83" s="74"/>
      <c r="E83" s="75" t="e">
        <f t="shared" si="4"/>
        <v>#DIV/0!</v>
      </c>
      <c r="F83" s="74">
        <v>903</v>
      </c>
      <c r="G83" s="76"/>
      <c r="H83" s="77">
        <f t="shared" si="9"/>
        <v>0</v>
      </c>
      <c r="I83" s="78">
        <f t="shared" si="12"/>
        <v>903</v>
      </c>
      <c r="J83" s="79">
        <f t="shared" si="0"/>
        <v>0</v>
      </c>
      <c r="K83" s="80">
        <f t="shared" si="1"/>
        <v>0</v>
      </c>
    </row>
    <row r="84" spans="1:11" ht="45" customHeight="1" x14ac:dyDescent="0.25">
      <c r="A84" s="83" t="s">
        <v>172</v>
      </c>
      <c r="B84" s="73" t="s">
        <v>182</v>
      </c>
      <c r="C84" s="74">
        <v>13353</v>
      </c>
      <c r="D84" s="74"/>
      <c r="E84" s="75">
        <f t="shared" si="4"/>
        <v>0</v>
      </c>
      <c r="F84" s="74">
        <v>13353</v>
      </c>
      <c r="G84" s="76"/>
      <c r="H84" s="77">
        <f t="shared" si="9"/>
        <v>0</v>
      </c>
      <c r="I84" s="81">
        <f>C84+F84-13353</f>
        <v>13353</v>
      </c>
      <c r="J84" s="96">
        <f>D84+G84</f>
        <v>0</v>
      </c>
      <c r="K84" s="80">
        <f t="shared" si="1"/>
        <v>0</v>
      </c>
    </row>
    <row r="85" spans="1:11" ht="48" hidden="1" customHeight="1" x14ac:dyDescent="0.25">
      <c r="A85" s="83" t="s">
        <v>172</v>
      </c>
      <c r="B85" s="73" t="s">
        <v>183</v>
      </c>
      <c r="C85" s="74"/>
      <c r="D85" s="74"/>
      <c r="E85" s="75" t="e">
        <f t="shared" si="4"/>
        <v>#DIV/0!</v>
      </c>
      <c r="F85" s="74"/>
      <c r="G85" s="76"/>
      <c r="H85" s="77" t="e">
        <f t="shared" si="9"/>
        <v>#DIV/0!</v>
      </c>
      <c r="I85" s="81">
        <f t="shared" si="12"/>
        <v>0</v>
      </c>
      <c r="J85" s="96">
        <f>D85+G85</f>
        <v>0</v>
      </c>
      <c r="K85" s="80" t="e">
        <f t="shared" si="1"/>
        <v>#DIV/0!</v>
      </c>
    </row>
    <row r="86" spans="1:11" ht="46.5" hidden="1" customHeight="1" x14ac:dyDescent="0.25">
      <c r="A86" s="83" t="s">
        <v>172</v>
      </c>
      <c r="B86" s="73" t="s">
        <v>184</v>
      </c>
      <c r="C86" s="74"/>
      <c r="D86" s="74"/>
      <c r="E86" s="75" t="e">
        <f t="shared" si="4"/>
        <v>#DIV/0!</v>
      </c>
      <c r="F86" s="74"/>
      <c r="G86" s="76"/>
      <c r="H86" s="77" t="e">
        <f t="shared" si="9"/>
        <v>#DIV/0!</v>
      </c>
      <c r="I86" s="81">
        <f t="shared" si="12"/>
        <v>0</v>
      </c>
      <c r="J86" s="96">
        <f>D86+G86</f>
        <v>0</v>
      </c>
      <c r="K86" s="80" t="e">
        <f t="shared" si="1"/>
        <v>#DIV/0!</v>
      </c>
    </row>
    <row r="87" spans="1:11" ht="60.75" hidden="1" customHeight="1" x14ac:dyDescent="0.25">
      <c r="A87" s="83" t="s">
        <v>172</v>
      </c>
      <c r="B87" s="97" t="s">
        <v>185</v>
      </c>
      <c r="C87" s="74"/>
      <c r="D87" s="74"/>
      <c r="E87" s="75" t="e">
        <f t="shared" si="4"/>
        <v>#DIV/0!</v>
      </c>
      <c r="F87" s="74"/>
      <c r="G87" s="76"/>
      <c r="H87" s="77" t="e">
        <f t="shared" si="9"/>
        <v>#DIV/0!</v>
      </c>
      <c r="I87" s="81">
        <f t="shared" si="12"/>
        <v>0</v>
      </c>
      <c r="J87" s="96">
        <f>D87+G87</f>
        <v>0</v>
      </c>
      <c r="K87" s="80" t="e">
        <f t="shared" si="1"/>
        <v>#DIV/0!</v>
      </c>
    </row>
    <row r="88" spans="1:11" ht="36" customHeight="1" x14ac:dyDescent="0.25">
      <c r="A88" s="72" t="s">
        <v>172</v>
      </c>
      <c r="B88" s="73" t="s">
        <v>186</v>
      </c>
      <c r="C88" s="74"/>
      <c r="D88" s="74"/>
      <c r="E88" s="75"/>
      <c r="F88" s="74">
        <v>52107</v>
      </c>
      <c r="G88" s="76">
        <v>21256.799999999999</v>
      </c>
      <c r="H88" s="77">
        <f t="shared" si="9"/>
        <v>40.794518970579766</v>
      </c>
      <c r="I88" s="78">
        <f t="shared" si="12"/>
        <v>52107</v>
      </c>
      <c r="J88" s="79">
        <f t="shared" si="0"/>
        <v>21256.799999999999</v>
      </c>
      <c r="K88" s="80">
        <f t="shared" si="1"/>
        <v>40.794518970579766</v>
      </c>
    </row>
    <row r="89" spans="1:11" ht="36" customHeight="1" x14ac:dyDescent="0.25">
      <c r="A89" s="83" t="s">
        <v>187</v>
      </c>
      <c r="B89" s="73" t="s">
        <v>188</v>
      </c>
      <c r="C89" s="74">
        <v>46.6</v>
      </c>
      <c r="D89" s="74"/>
      <c r="E89" s="75">
        <f>D89/C89*100</f>
        <v>0</v>
      </c>
      <c r="F89" s="74">
        <v>0</v>
      </c>
      <c r="G89" s="76"/>
      <c r="H89" s="77">
        <v>0</v>
      </c>
      <c r="I89" s="78">
        <f t="shared" si="12"/>
        <v>46.6</v>
      </c>
      <c r="J89" s="79">
        <f t="shared" si="0"/>
        <v>0</v>
      </c>
      <c r="K89" s="98">
        <f t="shared" si="1"/>
        <v>0</v>
      </c>
    </row>
    <row r="90" spans="1:11" ht="24.75" customHeight="1" x14ac:dyDescent="0.25">
      <c r="A90" s="99" t="s">
        <v>189</v>
      </c>
      <c r="B90" s="100" t="s">
        <v>190</v>
      </c>
      <c r="C90" s="91">
        <f t="shared" ref="C90:H90" si="13">C91</f>
        <v>227882.6</v>
      </c>
      <c r="D90" s="91">
        <f t="shared" si="13"/>
        <v>218888.9</v>
      </c>
      <c r="E90" s="85">
        <f t="shared" si="4"/>
        <v>96.053362564759212</v>
      </c>
      <c r="F90" s="91">
        <f t="shared" si="13"/>
        <v>24.1</v>
      </c>
      <c r="G90" s="91">
        <f t="shared" si="13"/>
        <v>0</v>
      </c>
      <c r="H90" s="70">
        <f t="shared" si="13"/>
        <v>0</v>
      </c>
      <c r="I90" s="91">
        <f>I91</f>
        <v>227882.6</v>
      </c>
      <c r="J90" s="91">
        <f>J91</f>
        <v>218888.9</v>
      </c>
      <c r="K90" s="101">
        <f t="shared" si="1"/>
        <v>96.053362564759212</v>
      </c>
    </row>
    <row r="91" spans="1:11" ht="31.5" customHeight="1" x14ac:dyDescent="0.25">
      <c r="A91" s="83" t="s">
        <v>191</v>
      </c>
      <c r="B91" s="102" t="s">
        <v>192</v>
      </c>
      <c r="C91" s="76">
        <v>227882.6</v>
      </c>
      <c r="D91" s="76">
        <v>218888.9</v>
      </c>
      <c r="E91" s="75">
        <f t="shared" si="4"/>
        <v>96.053362564759212</v>
      </c>
      <c r="F91" s="76">
        <v>24.1</v>
      </c>
      <c r="G91" s="76"/>
      <c r="H91" s="77">
        <f t="shared" ref="H91" si="14">G91/F91*100</f>
        <v>0</v>
      </c>
      <c r="I91" s="81">
        <f>C91+F91-24.1</f>
        <v>227882.6</v>
      </c>
      <c r="J91" s="79">
        <f>D91+G91</f>
        <v>218888.9</v>
      </c>
      <c r="K91" s="80">
        <f t="shared" si="1"/>
        <v>96.053362564759212</v>
      </c>
    </row>
    <row r="92" spans="1:11" ht="18" customHeight="1" x14ac:dyDescent="0.25">
      <c r="A92" s="67" t="s">
        <v>193</v>
      </c>
      <c r="B92" s="68" t="s">
        <v>194</v>
      </c>
      <c r="C92" s="69">
        <f>SUM(C93:C102)</f>
        <v>2201088.1999999997</v>
      </c>
      <c r="D92" s="69">
        <f>SUM(D93:D102)</f>
        <v>865522.29999999993</v>
      </c>
      <c r="E92" s="69">
        <f>D92/C92*100</f>
        <v>39.322472402514357</v>
      </c>
      <c r="F92" s="91">
        <f>F93+F95+F96+F101+F102</f>
        <v>0</v>
      </c>
      <c r="G92" s="91">
        <f>SUM(G93:G102)</f>
        <v>0</v>
      </c>
      <c r="H92" s="70">
        <v>0</v>
      </c>
      <c r="I92" s="69">
        <f>SUM(I93:I102)</f>
        <v>2201088.1999999997</v>
      </c>
      <c r="J92" s="69">
        <f>SUM(J93:J102)</f>
        <v>865522.29999999993</v>
      </c>
      <c r="K92" s="71">
        <f t="shared" si="1"/>
        <v>39.322472402514357</v>
      </c>
    </row>
    <row r="93" spans="1:11" ht="27" customHeight="1" x14ac:dyDescent="0.25">
      <c r="A93" s="72" t="s">
        <v>195</v>
      </c>
      <c r="B93" s="73" t="s">
        <v>196</v>
      </c>
      <c r="C93" s="74">
        <v>451063.7</v>
      </c>
      <c r="D93" s="74">
        <v>198997.4</v>
      </c>
      <c r="E93" s="75">
        <f t="shared" si="4"/>
        <v>44.117360807353819</v>
      </c>
      <c r="F93" s="76">
        <v>0</v>
      </c>
      <c r="G93" s="76">
        <v>0</v>
      </c>
      <c r="H93" s="77">
        <v>0</v>
      </c>
      <c r="I93" s="78">
        <f t="shared" si="0"/>
        <v>451063.7</v>
      </c>
      <c r="J93" s="79">
        <f t="shared" si="0"/>
        <v>198997.4</v>
      </c>
      <c r="K93" s="80">
        <f t="shared" si="1"/>
        <v>44.117360807353819</v>
      </c>
    </row>
    <row r="94" spans="1:11" ht="156" customHeight="1" x14ac:dyDescent="0.25">
      <c r="A94" s="72" t="s">
        <v>195</v>
      </c>
      <c r="B94" s="73" t="s">
        <v>197</v>
      </c>
      <c r="C94" s="74">
        <v>189716.2</v>
      </c>
      <c r="D94" s="74">
        <v>43731</v>
      </c>
      <c r="E94" s="75">
        <f t="shared" si="4"/>
        <v>23.050746325300629</v>
      </c>
      <c r="F94" s="76"/>
      <c r="G94" s="76"/>
      <c r="H94" s="77"/>
      <c r="I94" s="78">
        <f t="shared" si="0"/>
        <v>189716.2</v>
      </c>
      <c r="J94" s="79">
        <f t="shared" si="0"/>
        <v>43731</v>
      </c>
      <c r="K94" s="80">
        <f t="shared" si="1"/>
        <v>23.050746325300629</v>
      </c>
    </row>
    <row r="95" spans="1:11" ht="20.25" customHeight="1" x14ac:dyDescent="0.25">
      <c r="A95" s="72" t="s">
        <v>198</v>
      </c>
      <c r="B95" s="73" t="s">
        <v>199</v>
      </c>
      <c r="C95" s="103">
        <v>1281091.1000000001</v>
      </c>
      <c r="D95" s="103">
        <v>504272.7</v>
      </c>
      <c r="E95" s="75">
        <f t="shared" si="4"/>
        <v>39.362751017472526</v>
      </c>
      <c r="F95" s="76">
        <v>0</v>
      </c>
      <c r="G95" s="76">
        <v>0</v>
      </c>
      <c r="H95" s="77">
        <v>0</v>
      </c>
      <c r="I95" s="78">
        <f t="shared" si="0"/>
        <v>1281091.1000000001</v>
      </c>
      <c r="J95" s="79">
        <f t="shared" si="0"/>
        <v>504272.7</v>
      </c>
      <c r="K95" s="80">
        <f t="shared" si="1"/>
        <v>39.362751017472526</v>
      </c>
    </row>
    <row r="96" spans="1:11" ht="19.5" customHeight="1" x14ac:dyDescent="0.25">
      <c r="A96" s="72" t="s">
        <v>198</v>
      </c>
      <c r="B96" s="73" t="s">
        <v>200</v>
      </c>
      <c r="C96" s="74">
        <v>36274</v>
      </c>
      <c r="D96" s="74">
        <v>11809.7</v>
      </c>
      <c r="E96" s="75">
        <f t="shared" si="4"/>
        <v>32.556927827093787</v>
      </c>
      <c r="F96" s="76">
        <v>0</v>
      </c>
      <c r="G96" s="76">
        <v>0</v>
      </c>
      <c r="H96" s="77">
        <v>0</v>
      </c>
      <c r="I96" s="78">
        <f t="shared" si="0"/>
        <v>36274</v>
      </c>
      <c r="J96" s="79">
        <f t="shared" si="0"/>
        <v>11809.7</v>
      </c>
      <c r="K96" s="80">
        <f t="shared" si="1"/>
        <v>32.556927827093787</v>
      </c>
    </row>
    <row r="97" spans="1:11" ht="116.25" hidden="1" customHeight="1" x14ac:dyDescent="0.25">
      <c r="A97" s="72" t="s">
        <v>198</v>
      </c>
      <c r="B97" s="73" t="s">
        <v>201</v>
      </c>
      <c r="C97" s="74"/>
      <c r="D97" s="74"/>
      <c r="E97" s="75" t="e">
        <f t="shared" si="4"/>
        <v>#DIV/0!</v>
      </c>
      <c r="F97" s="76"/>
      <c r="G97" s="76"/>
      <c r="H97" s="77"/>
      <c r="I97" s="78">
        <f t="shared" si="0"/>
        <v>0</v>
      </c>
      <c r="J97" s="79">
        <f t="shared" si="0"/>
        <v>0</v>
      </c>
      <c r="K97" s="80" t="e">
        <f t="shared" si="1"/>
        <v>#DIV/0!</v>
      </c>
    </row>
    <row r="98" spans="1:11" ht="128.25" customHeight="1" x14ac:dyDescent="0.25">
      <c r="A98" s="72" t="s">
        <v>198</v>
      </c>
      <c r="B98" s="73" t="s">
        <v>202</v>
      </c>
      <c r="C98" s="74">
        <v>3222.6</v>
      </c>
      <c r="D98" s="74"/>
      <c r="E98" s="75">
        <f t="shared" si="4"/>
        <v>0</v>
      </c>
      <c r="F98" s="76"/>
      <c r="G98" s="76"/>
      <c r="H98" s="77"/>
      <c r="I98" s="78">
        <f t="shared" si="0"/>
        <v>3222.6</v>
      </c>
      <c r="J98" s="79">
        <f t="shared" si="0"/>
        <v>0</v>
      </c>
      <c r="K98" s="80">
        <f t="shared" si="1"/>
        <v>0</v>
      </c>
    </row>
    <row r="99" spans="1:11" ht="150" hidden="1" customHeight="1" x14ac:dyDescent="0.25">
      <c r="A99" s="72" t="s">
        <v>198</v>
      </c>
      <c r="B99" s="73" t="s">
        <v>203</v>
      </c>
      <c r="C99" s="74"/>
      <c r="D99" s="74"/>
      <c r="E99" s="75" t="e">
        <f t="shared" si="4"/>
        <v>#DIV/0!</v>
      </c>
      <c r="F99" s="76">
        <v>0</v>
      </c>
      <c r="G99" s="76">
        <v>0</v>
      </c>
      <c r="H99" s="77">
        <v>0</v>
      </c>
      <c r="I99" s="78">
        <f t="shared" si="0"/>
        <v>0</v>
      </c>
      <c r="J99" s="79">
        <f t="shared" si="0"/>
        <v>0</v>
      </c>
      <c r="K99" s="80" t="e">
        <f t="shared" si="1"/>
        <v>#DIV/0!</v>
      </c>
    </row>
    <row r="100" spans="1:11" ht="24" customHeight="1" x14ac:dyDescent="0.25">
      <c r="A100" s="72" t="s">
        <v>204</v>
      </c>
      <c r="B100" s="73" t="s">
        <v>205</v>
      </c>
      <c r="C100" s="74">
        <v>147327.79999999999</v>
      </c>
      <c r="D100" s="74">
        <v>79516.100000000006</v>
      </c>
      <c r="E100" s="75">
        <f t="shared" si="4"/>
        <v>53.972230631286152</v>
      </c>
      <c r="F100" s="76"/>
      <c r="G100" s="76"/>
      <c r="H100" s="77"/>
      <c r="I100" s="78">
        <f t="shared" si="0"/>
        <v>147327.79999999999</v>
      </c>
      <c r="J100" s="79">
        <f t="shared" si="0"/>
        <v>79516.100000000006</v>
      </c>
      <c r="K100" s="80">
        <f t="shared" si="1"/>
        <v>53.972230631286152</v>
      </c>
    </row>
    <row r="101" spans="1:11" ht="36" customHeight="1" x14ac:dyDescent="0.25">
      <c r="A101" s="72" t="s">
        <v>206</v>
      </c>
      <c r="B101" s="73" t="s">
        <v>207</v>
      </c>
      <c r="C101" s="74">
        <v>33804.400000000001</v>
      </c>
      <c r="D101" s="74">
        <v>6963.6</v>
      </c>
      <c r="E101" s="75">
        <f t="shared" si="4"/>
        <v>20.599685248074216</v>
      </c>
      <c r="F101" s="76"/>
      <c r="G101" s="76"/>
      <c r="H101" s="77"/>
      <c r="I101" s="78">
        <f>C101+F101</f>
        <v>33804.400000000001</v>
      </c>
      <c r="J101" s="79">
        <f>D101+G101</f>
        <v>6963.6</v>
      </c>
      <c r="K101" s="80">
        <f t="shared" si="1"/>
        <v>20.599685248074216</v>
      </c>
    </row>
    <row r="102" spans="1:11" ht="35.25" customHeight="1" x14ac:dyDescent="0.25">
      <c r="A102" s="72" t="s">
        <v>208</v>
      </c>
      <c r="B102" s="73" t="s">
        <v>209</v>
      </c>
      <c r="C102" s="74">
        <v>58588.4</v>
      </c>
      <c r="D102" s="74">
        <v>20231.8</v>
      </c>
      <c r="E102" s="75">
        <f t="shared" si="4"/>
        <v>34.532091676850705</v>
      </c>
      <c r="F102" s="76">
        <v>0</v>
      </c>
      <c r="G102" s="76"/>
      <c r="H102" s="77">
        <v>0</v>
      </c>
      <c r="I102" s="78">
        <f t="shared" si="0"/>
        <v>58588.4</v>
      </c>
      <c r="J102" s="79">
        <f>D102+G102</f>
        <v>20231.8</v>
      </c>
      <c r="K102" s="80">
        <f t="shared" si="1"/>
        <v>34.532091676850705</v>
      </c>
    </row>
    <row r="103" spans="1:11" ht="24" customHeight="1" x14ac:dyDescent="0.25">
      <c r="A103" s="67" t="s">
        <v>210</v>
      </c>
      <c r="B103" s="68" t="s">
        <v>211</v>
      </c>
      <c r="C103" s="69">
        <f>SUM(C104:C107)</f>
        <v>83501.600000000006</v>
      </c>
      <c r="D103" s="69">
        <f>SUM(D104:D107)</f>
        <v>30811.9</v>
      </c>
      <c r="E103" s="69">
        <f>D103/C103*100</f>
        <v>36.899771980417142</v>
      </c>
      <c r="F103" s="91">
        <f>SUM(F104:F107)</f>
        <v>120160.3</v>
      </c>
      <c r="G103" s="91">
        <f>SUM(G104:G107)</f>
        <v>49095.9</v>
      </c>
      <c r="H103" s="70">
        <f>G103/F103*100</f>
        <v>40.858669627156388</v>
      </c>
      <c r="I103" s="91">
        <f>SUM(I104:I107)</f>
        <v>190967.40000000002</v>
      </c>
      <c r="J103" s="91">
        <f>SUM(J104:J107)</f>
        <v>78088.100000000006</v>
      </c>
      <c r="K103" s="87">
        <f t="shared" si="1"/>
        <v>40.89080125717792</v>
      </c>
    </row>
    <row r="104" spans="1:11" ht="18.75" customHeight="1" x14ac:dyDescent="0.25">
      <c r="A104" s="72" t="s">
        <v>212</v>
      </c>
      <c r="B104" s="73" t="s">
        <v>213</v>
      </c>
      <c r="C104" s="74">
        <v>75491.8</v>
      </c>
      <c r="D104" s="74">
        <v>26668.400000000001</v>
      </c>
      <c r="E104" s="75">
        <f t="shared" si="4"/>
        <v>35.326220861073651</v>
      </c>
      <c r="F104" s="104">
        <v>119040.6</v>
      </c>
      <c r="G104" s="76">
        <v>48833.9</v>
      </c>
      <c r="H104" s="77">
        <f>G104/F104*100</f>
        <v>41.022894709872091</v>
      </c>
      <c r="I104" s="81">
        <f>C104+F104-11977.1</f>
        <v>182555.30000000002</v>
      </c>
      <c r="J104" s="81">
        <f>D104+G104-1587.7</f>
        <v>73914.600000000006</v>
      </c>
      <c r="K104" s="80">
        <f t="shared" si="1"/>
        <v>40.488881999043578</v>
      </c>
    </row>
    <row r="105" spans="1:11" ht="35.25" customHeight="1" x14ac:dyDescent="0.25">
      <c r="A105" s="105" t="s">
        <v>212</v>
      </c>
      <c r="B105" s="106" t="s">
        <v>214</v>
      </c>
      <c r="C105" s="74">
        <f>1095.8+193.4</f>
        <v>1289.2</v>
      </c>
      <c r="D105" s="74">
        <v>156.6</v>
      </c>
      <c r="E105" s="75">
        <f t="shared" si="4"/>
        <v>12.14706794911573</v>
      </c>
      <c r="F105" s="76">
        <v>126.8</v>
      </c>
      <c r="G105" s="76"/>
      <c r="H105" s="77">
        <f>G105/F105*100</f>
        <v>0</v>
      </c>
      <c r="I105" s="81">
        <f>C105+F105-124.5</f>
        <v>1291.5</v>
      </c>
      <c r="J105" s="81">
        <f>D105+G105</f>
        <v>156.6</v>
      </c>
      <c r="K105" s="80">
        <f>J105/I105*100</f>
        <v>12.125435540069686</v>
      </c>
    </row>
    <row r="106" spans="1:11" ht="17.25" customHeight="1" x14ac:dyDescent="0.25">
      <c r="A106" s="72" t="s">
        <v>215</v>
      </c>
      <c r="B106" s="73" t="s">
        <v>216</v>
      </c>
      <c r="C106" s="74">
        <v>150</v>
      </c>
      <c r="D106" s="74">
        <v>76.5</v>
      </c>
      <c r="E106" s="75">
        <f t="shared" si="4"/>
        <v>51</v>
      </c>
      <c r="F106" s="76">
        <v>400</v>
      </c>
      <c r="G106" s="76">
        <v>50</v>
      </c>
      <c r="H106" s="77">
        <f>G106/F106*100</f>
        <v>12.5</v>
      </c>
      <c r="I106" s="78">
        <f>C106+F106</f>
        <v>550</v>
      </c>
      <c r="J106" s="79">
        <f>D106+G106</f>
        <v>126.5</v>
      </c>
      <c r="K106" s="80">
        <f t="shared" ref="K106:K132" si="15">J106/I106*100</f>
        <v>23</v>
      </c>
    </row>
    <row r="107" spans="1:11" ht="41.25" customHeight="1" x14ac:dyDescent="0.25">
      <c r="A107" s="72" t="s">
        <v>217</v>
      </c>
      <c r="B107" s="73" t="s">
        <v>218</v>
      </c>
      <c r="C107" s="74">
        <v>6570.6</v>
      </c>
      <c r="D107" s="74">
        <v>3910.4</v>
      </c>
      <c r="E107" s="75">
        <f t="shared" si="4"/>
        <v>59.513590844062946</v>
      </c>
      <c r="F107" s="76">
        <v>592.9</v>
      </c>
      <c r="G107" s="76">
        <v>212</v>
      </c>
      <c r="H107" s="77">
        <f>G107/F107*100</f>
        <v>35.756451340866931</v>
      </c>
      <c r="I107" s="81">
        <f>C107+F107-592.9</f>
        <v>6570.6</v>
      </c>
      <c r="J107" s="81">
        <f>D107+G107-232</f>
        <v>3890.3999999999996</v>
      </c>
      <c r="K107" s="80">
        <f t="shared" si="15"/>
        <v>59.209204638845762</v>
      </c>
    </row>
    <row r="108" spans="1:11" ht="20.25" customHeight="1" x14ac:dyDescent="0.25">
      <c r="A108" s="67" t="s">
        <v>219</v>
      </c>
      <c r="B108" s="68" t="s">
        <v>220</v>
      </c>
      <c r="C108" s="69">
        <f>SUM(C109:C110)</f>
        <v>26140.5</v>
      </c>
      <c r="D108" s="69">
        <f>SUM(D109:D110)</f>
        <v>1699</v>
      </c>
      <c r="E108" s="69">
        <f>SUM(E110:E110)</f>
        <v>10.417298609004638</v>
      </c>
      <c r="F108" s="91">
        <v>0</v>
      </c>
      <c r="G108" s="91">
        <v>0</v>
      </c>
      <c r="H108" s="70"/>
      <c r="I108" s="91">
        <f>C108+F108</f>
        <v>26140.5</v>
      </c>
      <c r="J108" s="91">
        <f t="shared" ref="I108:J119" si="16">D108+G108</f>
        <v>1699</v>
      </c>
      <c r="K108" s="71">
        <f t="shared" si="15"/>
        <v>6.4994931236969453</v>
      </c>
    </row>
    <row r="109" spans="1:11" ht="69" customHeight="1" x14ac:dyDescent="0.25">
      <c r="A109" s="83" t="s">
        <v>221</v>
      </c>
      <c r="B109" s="106" t="s">
        <v>222</v>
      </c>
      <c r="C109" s="74">
        <v>23832.799999999999</v>
      </c>
      <c r="D109" s="74">
        <v>1458.6</v>
      </c>
      <c r="E109" s="75">
        <f t="shared" si="4"/>
        <v>6.1201369541136588</v>
      </c>
      <c r="F109" s="79"/>
      <c r="G109" s="79"/>
      <c r="H109" s="76"/>
      <c r="I109" s="78">
        <f t="shared" si="16"/>
        <v>23832.799999999999</v>
      </c>
      <c r="J109" s="79">
        <f t="shared" si="16"/>
        <v>1458.6</v>
      </c>
      <c r="K109" s="80">
        <f t="shared" si="15"/>
        <v>6.1201369541136588</v>
      </c>
    </row>
    <row r="110" spans="1:11" ht="51" customHeight="1" x14ac:dyDescent="0.25">
      <c r="A110" s="83" t="s">
        <v>221</v>
      </c>
      <c r="B110" s="106" t="s">
        <v>223</v>
      </c>
      <c r="C110" s="74">
        <v>2307.6999999999998</v>
      </c>
      <c r="D110" s="76">
        <v>240.4</v>
      </c>
      <c r="E110" s="75">
        <f t="shared" si="4"/>
        <v>10.417298609004638</v>
      </c>
      <c r="F110" s="76"/>
      <c r="G110" s="76"/>
      <c r="H110" s="77"/>
      <c r="I110" s="78">
        <f t="shared" si="16"/>
        <v>2307.6999999999998</v>
      </c>
      <c r="J110" s="79">
        <f t="shared" si="16"/>
        <v>240.4</v>
      </c>
      <c r="K110" s="80">
        <f t="shared" si="15"/>
        <v>10.417298609004638</v>
      </c>
    </row>
    <row r="111" spans="1:11" ht="24.75" customHeight="1" x14ac:dyDescent="0.25">
      <c r="A111" s="67">
        <v>10</v>
      </c>
      <c r="B111" s="68" t="s">
        <v>224</v>
      </c>
      <c r="C111" s="69">
        <f>SUM(C112:C119)</f>
        <v>156541.9</v>
      </c>
      <c r="D111" s="69">
        <f>SUM(D112:D119)</f>
        <v>52133.200000000004</v>
      </c>
      <c r="E111" s="69">
        <f>D111/C111*100</f>
        <v>33.303032606605647</v>
      </c>
      <c r="F111" s="69">
        <f>SUM(F112:F119)</f>
        <v>860.4</v>
      </c>
      <c r="G111" s="69">
        <f>SUM(G112:G119)</f>
        <v>285.39999999999998</v>
      </c>
      <c r="H111" s="70">
        <f>G111/F111*100</f>
        <v>33.17061831706183</v>
      </c>
      <c r="I111" s="69">
        <f>SUM(I112:I119)</f>
        <v>157402.29999999999</v>
      </c>
      <c r="J111" s="69">
        <f>SUM(J112:J119)</f>
        <v>52418.600000000006</v>
      </c>
      <c r="K111" s="71">
        <f t="shared" si="15"/>
        <v>33.302308797266626</v>
      </c>
    </row>
    <row r="112" spans="1:11" ht="21" customHeight="1" x14ac:dyDescent="0.25">
      <c r="A112" s="83">
        <v>1001</v>
      </c>
      <c r="B112" s="73" t="s">
        <v>225</v>
      </c>
      <c r="C112" s="74">
        <v>4627.3</v>
      </c>
      <c r="D112" s="74">
        <v>1905.8</v>
      </c>
      <c r="E112" s="75">
        <f t="shared" si="4"/>
        <v>41.186004797614153</v>
      </c>
      <c r="F112" s="76">
        <v>860.4</v>
      </c>
      <c r="G112" s="76">
        <v>285.39999999999998</v>
      </c>
      <c r="H112" s="77">
        <f>G112/F112*100</f>
        <v>33.17061831706183</v>
      </c>
      <c r="I112" s="78">
        <f>C112+F112</f>
        <v>5487.7</v>
      </c>
      <c r="J112" s="79">
        <f t="shared" si="16"/>
        <v>2191.1999999999998</v>
      </c>
      <c r="K112" s="80">
        <f t="shared" si="15"/>
        <v>39.929296426553925</v>
      </c>
    </row>
    <row r="113" spans="1:11" ht="114" customHeight="1" x14ac:dyDescent="0.25">
      <c r="A113" s="83">
        <v>1003</v>
      </c>
      <c r="B113" s="106" t="s">
        <v>226</v>
      </c>
      <c r="C113" s="74">
        <v>3497.9</v>
      </c>
      <c r="D113" s="74">
        <v>2552.8000000000002</v>
      </c>
      <c r="E113" s="75">
        <f t="shared" si="4"/>
        <v>72.980931415992458</v>
      </c>
      <c r="F113" s="76">
        <v>0</v>
      </c>
      <c r="G113" s="76">
        <v>0</v>
      </c>
      <c r="H113" s="77">
        <v>0</v>
      </c>
      <c r="I113" s="78">
        <f t="shared" si="16"/>
        <v>3497.9</v>
      </c>
      <c r="J113" s="79">
        <f t="shared" si="16"/>
        <v>2552.8000000000002</v>
      </c>
      <c r="K113" s="80">
        <f t="shared" si="15"/>
        <v>72.980931415992458</v>
      </c>
    </row>
    <row r="114" spans="1:11" ht="87.75" hidden="1" customHeight="1" x14ac:dyDescent="0.25">
      <c r="A114" s="83" t="s">
        <v>227</v>
      </c>
      <c r="B114" s="73" t="s">
        <v>228</v>
      </c>
      <c r="C114" s="74"/>
      <c r="D114" s="74"/>
      <c r="E114" s="75" t="e">
        <f t="shared" si="4"/>
        <v>#DIV/0!</v>
      </c>
      <c r="F114" s="76"/>
      <c r="G114" s="76"/>
      <c r="H114" s="77"/>
      <c r="I114" s="78">
        <f t="shared" si="16"/>
        <v>0</v>
      </c>
      <c r="J114" s="79">
        <f t="shared" si="16"/>
        <v>0</v>
      </c>
      <c r="K114" s="80" t="e">
        <f t="shared" si="15"/>
        <v>#DIV/0!</v>
      </c>
    </row>
    <row r="115" spans="1:11" ht="108" customHeight="1" x14ac:dyDescent="0.25">
      <c r="A115" s="83">
        <v>1004</v>
      </c>
      <c r="B115" s="73" t="s">
        <v>229</v>
      </c>
      <c r="C115" s="74">
        <v>22262</v>
      </c>
      <c r="D115" s="74">
        <v>6009.4</v>
      </c>
      <c r="E115" s="75">
        <f t="shared" si="4"/>
        <v>26.993980774413796</v>
      </c>
      <c r="F115" s="76">
        <v>0</v>
      </c>
      <c r="G115" s="76">
        <v>0</v>
      </c>
      <c r="H115" s="77">
        <v>0</v>
      </c>
      <c r="I115" s="78">
        <f t="shared" si="16"/>
        <v>22262</v>
      </c>
      <c r="J115" s="79">
        <f t="shared" si="16"/>
        <v>6009.4</v>
      </c>
      <c r="K115" s="80">
        <f t="shared" si="15"/>
        <v>26.993980774413796</v>
      </c>
    </row>
    <row r="116" spans="1:11" ht="226.5" customHeight="1" x14ac:dyDescent="0.25">
      <c r="A116" s="83">
        <v>1004</v>
      </c>
      <c r="B116" s="73" t="s">
        <v>230</v>
      </c>
      <c r="C116" s="74">
        <v>77685.7</v>
      </c>
      <c r="D116" s="74">
        <v>22013.4</v>
      </c>
      <c r="E116" s="75">
        <f t="shared" ref="E116:E131" si="17">D116/C116*100</f>
        <v>28.336489212300336</v>
      </c>
      <c r="F116" s="76">
        <v>0</v>
      </c>
      <c r="G116" s="76">
        <v>0</v>
      </c>
      <c r="H116" s="77">
        <v>0</v>
      </c>
      <c r="I116" s="78">
        <f t="shared" si="16"/>
        <v>77685.7</v>
      </c>
      <c r="J116" s="79">
        <f t="shared" si="16"/>
        <v>22013.4</v>
      </c>
      <c r="K116" s="80">
        <f t="shared" si="15"/>
        <v>28.336489212300336</v>
      </c>
    </row>
    <row r="117" spans="1:11" ht="212.25" customHeight="1" x14ac:dyDescent="0.25">
      <c r="A117" s="83" t="s">
        <v>231</v>
      </c>
      <c r="B117" s="73" t="s">
        <v>232</v>
      </c>
      <c r="C117" s="74">
        <v>26516.5</v>
      </c>
      <c r="D117" s="74">
        <v>14409.5</v>
      </c>
      <c r="E117" s="75">
        <f>D117/C117*100</f>
        <v>54.341636339637589</v>
      </c>
      <c r="F117" s="76">
        <v>0</v>
      </c>
      <c r="G117" s="76">
        <v>0</v>
      </c>
      <c r="H117" s="77">
        <v>0</v>
      </c>
      <c r="I117" s="78">
        <f t="shared" si="16"/>
        <v>26516.5</v>
      </c>
      <c r="J117" s="79">
        <f t="shared" si="16"/>
        <v>14409.5</v>
      </c>
      <c r="K117" s="80">
        <f>J117/I117*100</f>
        <v>54.341636339637589</v>
      </c>
    </row>
    <row r="118" spans="1:11" ht="51" customHeight="1" x14ac:dyDescent="0.25">
      <c r="A118" s="83" t="s">
        <v>231</v>
      </c>
      <c r="B118" s="73" t="s">
        <v>233</v>
      </c>
      <c r="C118" s="74">
        <v>1700.5</v>
      </c>
      <c r="D118" s="74"/>
      <c r="E118" s="75">
        <f>D118/C118*100</f>
        <v>0</v>
      </c>
      <c r="F118" s="76"/>
      <c r="G118" s="76"/>
      <c r="H118" s="77"/>
      <c r="I118" s="78">
        <f t="shared" si="16"/>
        <v>1700.5</v>
      </c>
      <c r="J118" s="79">
        <f t="shared" si="16"/>
        <v>0</v>
      </c>
      <c r="K118" s="80">
        <f>J118/I118*100</f>
        <v>0</v>
      </c>
    </row>
    <row r="119" spans="1:11" ht="37.5" customHeight="1" x14ac:dyDescent="0.25">
      <c r="A119" s="83">
        <v>1006</v>
      </c>
      <c r="B119" s="73" t="s">
        <v>234</v>
      </c>
      <c r="C119" s="74">
        <v>20252</v>
      </c>
      <c r="D119" s="74">
        <v>5242.3</v>
      </c>
      <c r="E119" s="75">
        <f t="shared" si="17"/>
        <v>25.885344657317798</v>
      </c>
      <c r="F119" s="76"/>
      <c r="G119" s="76"/>
      <c r="H119" s="77" t="e">
        <f>G119/F119*100</f>
        <v>#DIV/0!</v>
      </c>
      <c r="I119" s="78">
        <f t="shared" si="16"/>
        <v>20252</v>
      </c>
      <c r="J119" s="79">
        <f t="shared" si="16"/>
        <v>5242.3</v>
      </c>
      <c r="K119" s="80">
        <f t="shared" si="15"/>
        <v>25.885344657317798</v>
      </c>
    </row>
    <row r="120" spans="1:11" ht="26.25" customHeight="1" x14ac:dyDescent="0.25">
      <c r="A120" s="99">
        <v>1100</v>
      </c>
      <c r="B120" s="68" t="s">
        <v>235</v>
      </c>
      <c r="C120" s="69">
        <f>SUM(C121:C123)</f>
        <v>102191.4</v>
      </c>
      <c r="D120" s="69">
        <f>SUM(D121:D122)</f>
        <v>46246.3</v>
      </c>
      <c r="E120" s="69">
        <f>D120/C120*100</f>
        <v>45.254590895124252</v>
      </c>
      <c r="F120" s="91">
        <f>F121+F122</f>
        <v>30673.5</v>
      </c>
      <c r="G120" s="91">
        <f>G121+G122</f>
        <v>12442.7</v>
      </c>
      <c r="H120" s="70">
        <f>G120/F120*100</f>
        <v>40.564982802745043</v>
      </c>
      <c r="I120" s="91">
        <f>I121+I122+I123</f>
        <v>132660.4</v>
      </c>
      <c r="J120" s="91">
        <f>SUM(J121:J122)</f>
        <v>58531</v>
      </c>
      <c r="K120" s="71">
        <f t="shared" si="15"/>
        <v>44.120928325257573</v>
      </c>
    </row>
    <row r="121" spans="1:11" ht="24" customHeight="1" x14ac:dyDescent="0.25">
      <c r="A121" s="83">
        <v>1101</v>
      </c>
      <c r="B121" s="73" t="s">
        <v>236</v>
      </c>
      <c r="C121" s="74">
        <v>101519.9</v>
      </c>
      <c r="D121" s="74">
        <v>46246.3</v>
      </c>
      <c r="E121" s="75">
        <f t="shared" si="17"/>
        <v>45.553925880541648</v>
      </c>
      <c r="F121" s="76">
        <v>30673.5</v>
      </c>
      <c r="G121" s="76">
        <v>12442.7</v>
      </c>
      <c r="H121" s="77">
        <f>G121/F121*100</f>
        <v>40.564982802745043</v>
      </c>
      <c r="I121" s="81">
        <f>C121+F121-204.5</f>
        <v>131988.9</v>
      </c>
      <c r="J121" s="81">
        <f>D121+G121-158</f>
        <v>58531</v>
      </c>
      <c r="K121" s="80">
        <f t="shared" si="15"/>
        <v>44.345395711306033</v>
      </c>
    </row>
    <row r="122" spans="1:11" ht="20.25" customHeight="1" x14ac:dyDescent="0.25">
      <c r="A122" s="83">
        <v>1102</v>
      </c>
      <c r="B122" s="73" t="s">
        <v>237</v>
      </c>
      <c r="C122" s="74">
        <v>165</v>
      </c>
      <c r="D122" s="74"/>
      <c r="E122" s="75">
        <f t="shared" si="17"/>
        <v>0</v>
      </c>
      <c r="F122" s="76"/>
      <c r="G122" s="76">
        <v>0</v>
      </c>
      <c r="H122" s="77"/>
      <c r="I122" s="78">
        <f>C122+F122</f>
        <v>165</v>
      </c>
      <c r="J122" s="79">
        <f>D122+G122</f>
        <v>0</v>
      </c>
      <c r="K122" s="80">
        <f t="shared" si="15"/>
        <v>0</v>
      </c>
    </row>
    <row r="123" spans="1:11" ht="20.25" customHeight="1" x14ac:dyDescent="0.25">
      <c r="A123" s="83" t="s">
        <v>238</v>
      </c>
      <c r="B123" s="73" t="s">
        <v>239</v>
      </c>
      <c r="C123" s="74">
        <v>506.5</v>
      </c>
      <c r="D123" s="74"/>
      <c r="E123" s="75">
        <f t="shared" si="17"/>
        <v>0</v>
      </c>
      <c r="F123" s="76"/>
      <c r="G123" s="76"/>
      <c r="H123" s="77"/>
      <c r="I123" s="78">
        <f>C123+F123</f>
        <v>506.5</v>
      </c>
      <c r="J123" s="79">
        <f>D123+G123</f>
        <v>0</v>
      </c>
      <c r="K123" s="80">
        <f t="shared" si="15"/>
        <v>0</v>
      </c>
    </row>
    <row r="124" spans="1:11" ht="22.5" customHeight="1" x14ac:dyDescent="0.25">
      <c r="A124" s="99">
        <v>1200</v>
      </c>
      <c r="B124" s="68" t="s">
        <v>240</v>
      </c>
      <c r="C124" s="69">
        <f>SUM(C125:C125)</f>
        <v>6855</v>
      </c>
      <c r="D124" s="69">
        <f>SUM(D125:D125)</f>
        <v>2619.1999999999998</v>
      </c>
      <c r="E124" s="85">
        <f>D124/C124*100</f>
        <v>38.20860685630926</v>
      </c>
      <c r="F124" s="69"/>
      <c r="G124" s="69"/>
      <c r="H124" s="70"/>
      <c r="I124" s="69">
        <f t="shared" ref="I124:J127" si="18">C124+F124</f>
        <v>6855</v>
      </c>
      <c r="J124" s="69">
        <f t="shared" si="18"/>
        <v>2619.1999999999998</v>
      </c>
      <c r="K124" s="107">
        <f t="shared" si="15"/>
        <v>38.20860685630926</v>
      </c>
    </row>
    <row r="125" spans="1:11" ht="21.75" customHeight="1" x14ac:dyDescent="0.25">
      <c r="A125" s="83" t="s">
        <v>241</v>
      </c>
      <c r="B125" s="73" t="s">
        <v>242</v>
      </c>
      <c r="C125" s="74">
        <v>6855</v>
      </c>
      <c r="D125" s="74">
        <v>2619.1999999999998</v>
      </c>
      <c r="E125" s="75">
        <f>D125/C125*100</f>
        <v>38.20860685630926</v>
      </c>
      <c r="F125" s="76"/>
      <c r="G125" s="76"/>
      <c r="H125" s="77"/>
      <c r="I125" s="78">
        <f t="shared" si="18"/>
        <v>6855</v>
      </c>
      <c r="J125" s="79">
        <f t="shared" si="18"/>
        <v>2619.1999999999998</v>
      </c>
      <c r="K125" s="80">
        <f>J125/I125*100</f>
        <v>38.20860685630926</v>
      </c>
    </row>
    <row r="126" spans="1:11" ht="33.75" customHeight="1" x14ac:dyDescent="0.25">
      <c r="A126" s="99">
        <v>1300</v>
      </c>
      <c r="B126" s="68" t="s">
        <v>243</v>
      </c>
      <c r="C126" s="69">
        <f t="shared" ref="C126:H126" si="19">C127</f>
        <v>30</v>
      </c>
      <c r="D126" s="69">
        <f t="shared" si="19"/>
        <v>5.3</v>
      </c>
      <c r="E126" s="69">
        <f t="shared" si="19"/>
        <v>17.666666666666668</v>
      </c>
      <c r="F126" s="69">
        <f t="shared" si="19"/>
        <v>0</v>
      </c>
      <c r="G126" s="69">
        <f t="shared" si="19"/>
        <v>0</v>
      </c>
      <c r="H126" s="85">
        <f t="shared" si="19"/>
        <v>0</v>
      </c>
      <c r="I126" s="69">
        <f t="shared" si="18"/>
        <v>30</v>
      </c>
      <c r="J126" s="69">
        <f t="shared" si="18"/>
        <v>5.3</v>
      </c>
      <c r="K126" s="107">
        <f t="shared" si="15"/>
        <v>17.666666666666668</v>
      </c>
    </row>
    <row r="127" spans="1:11" ht="45.75" customHeight="1" x14ac:dyDescent="0.25">
      <c r="A127" s="83">
        <v>1301</v>
      </c>
      <c r="B127" s="73" t="s">
        <v>244</v>
      </c>
      <c r="C127" s="74">
        <v>30</v>
      </c>
      <c r="D127" s="74">
        <v>5.3</v>
      </c>
      <c r="E127" s="75">
        <f t="shared" si="17"/>
        <v>17.666666666666668</v>
      </c>
      <c r="F127" s="76"/>
      <c r="G127" s="76">
        <v>0</v>
      </c>
      <c r="H127" s="77">
        <v>0</v>
      </c>
      <c r="I127" s="69">
        <f t="shared" si="18"/>
        <v>30</v>
      </c>
      <c r="J127" s="79">
        <f t="shared" si="18"/>
        <v>5.3</v>
      </c>
      <c r="K127" s="80">
        <f t="shared" si="15"/>
        <v>17.666666666666668</v>
      </c>
    </row>
    <row r="128" spans="1:11" ht="25.5" customHeight="1" x14ac:dyDescent="0.25">
      <c r="A128" s="99">
        <v>1400</v>
      </c>
      <c r="B128" s="68" t="s">
        <v>245</v>
      </c>
      <c r="C128" s="69">
        <f>SUM(C129:C131)</f>
        <v>303000</v>
      </c>
      <c r="D128" s="69">
        <f>SUM(D129:D131)</f>
        <v>129117.1</v>
      </c>
      <c r="E128" s="69">
        <f>D128/C128*100</f>
        <v>42.612904290429043</v>
      </c>
      <c r="F128" s="91">
        <f>F129+F130+F131</f>
        <v>0</v>
      </c>
      <c r="G128" s="91">
        <f>SUM(G129:G131)</f>
        <v>0</v>
      </c>
      <c r="H128" s="91"/>
      <c r="I128" s="69"/>
      <c r="J128" s="91">
        <v>0</v>
      </c>
      <c r="K128" s="71">
        <v>0</v>
      </c>
    </row>
    <row r="129" spans="1:11" ht="44.25" customHeight="1" x14ac:dyDescent="0.25">
      <c r="A129" s="83">
        <v>1401</v>
      </c>
      <c r="B129" s="73" t="s">
        <v>246</v>
      </c>
      <c r="C129" s="74">
        <v>133766.39999999999</v>
      </c>
      <c r="D129" s="74">
        <v>53506.6</v>
      </c>
      <c r="E129" s="75">
        <f t="shared" si="17"/>
        <v>40.000029902875461</v>
      </c>
      <c r="F129" s="76">
        <v>0</v>
      </c>
      <c r="G129" s="76">
        <v>0</v>
      </c>
      <c r="H129" s="77">
        <v>0</v>
      </c>
      <c r="I129" s="69">
        <f>C129+F129-133766.4</f>
        <v>0</v>
      </c>
      <c r="J129" s="81">
        <f>D129+G129-53506.6</f>
        <v>0</v>
      </c>
      <c r="K129" s="80">
        <v>0</v>
      </c>
    </row>
    <row r="130" spans="1:11" ht="23.25" customHeight="1" x14ac:dyDescent="0.25">
      <c r="A130" s="83">
        <v>1402</v>
      </c>
      <c r="B130" s="73" t="s">
        <v>247</v>
      </c>
      <c r="C130" s="74">
        <v>168333.6</v>
      </c>
      <c r="D130" s="74">
        <v>75610.5</v>
      </c>
      <c r="E130" s="75">
        <f t="shared" si="17"/>
        <v>44.917057557136545</v>
      </c>
      <c r="F130" s="76">
        <v>0</v>
      </c>
      <c r="G130" s="76">
        <v>0</v>
      </c>
      <c r="H130" s="77">
        <v>0</v>
      </c>
      <c r="I130" s="69">
        <f>C130+F130-168333.6</f>
        <v>0</v>
      </c>
      <c r="J130" s="81">
        <f>D130+G130-75610.5</f>
        <v>0</v>
      </c>
      <c r="K130" s="80">
        <v>0</v>
      </c>
    </row>
    <row r="131" spans="1:11" ht="25.5" customHeight="1" x14ac:dyDescent="0.25">
      <c r="A131" s="83">
        <v>1403</v>
      </c>
      <c r="B131" s="73" t="s">
        <v>248</v>
      </c>
      <c r="C131" s="74">
        <v>900</v>
      </c>
      <c r="D131" s="74"/>
      <c r="E131" s="75">
        <f t="shared" si="17"/>
        <v>0</v>
      </c>
      <c r="F131" s="76">
        <v>0</v>
      </c>
      <c r="G131" s="76">
        <v>0</v>
      </c>
      <c r="H131" s="77">
        <v>0</v>
      </c>
      <c r="I131" s="69">
        <f>C131+F131-900</f>
        <v>0</v>
      </c>
      <c r="J131" s="81">
        <f>D131+G131</f>
        <v>0</v>
      </c>
      <c r="K131" s="80">
        <v>0</v>
      </c>
    </row>
    <row r="132" spans="1:11" ht="15.75" thickBot="1" x14ac:dyDescent="0.3">
      <c r="A132" s="162" t="s">
        <v>249</v>
      </c>
      <c r="B132" s="163"/>
      <c r="C132" s="108">
        <f>C9+C18+C20+C25+C50+C90+C92+C103+C108+C111+C120+C124+C126+C128</f>
        <v>4671056.6000000006</v>
      </c>
      <c r="D132" s="108">
        <f>D128+D126+D124+D120+D111+D108+D103+D92+D90+D50+D25+D20+D18+D9</f>
        <v>1630816.8</v>
      </c>
      <c r="E132" s="108">
        <f>D132/C132*100</f>
        <v>34.913231408927899</v>
      </c>
      <c r="F132" s="108">
        <f>F9+F18+F20+F25+F50+F90+F92+F103+F108+F111+F120+F124+F126+F128</f>
        <v>775657.3</v>
      </c>
      <c r="G132" s="108">
        <f>G128+G126+G124+G111+G108+G103+G92+G50+G25+G21+G18+G9+G20+G120+G90</f>
        <v>228220.2</v>
      </c>
      <c r="H132" s="109">
        <f>G132/F132*100</f>
        <v>29.422813399680503</v>
      </c>
      <c r="I132" s="108">
        <f>I128+I126+I124+I120+I111+I108+I103+I92+I90+I50+I25+I20+I18+I9</f>
        <v>4884553.7999999989</v>
      </c>
      <c r="J132" s="108">
        <f>J128+J126+J124+J120+J111+J108+J103+J92+J90+J50+J25+J20+J18+J9</f>
        <v>1696909.8</v>
      </c>
      <c r="K132" s="110">
        <f t="shared" si="15"/>
        <v>34.740323670915458</v>
      </c>
    </row>
    <row r="133" spans="1:11" x14ac:dyDescent="0.25">
      <c r="A133" s="111"/>
      <c r="B133" s="112"/>
      <c r="C133" s="113"/>
      <c r="D133" s="60"/>
      <c r="E133" s="114"/>
      <c r="F133" s="62"/>
      <c r="G133" s="62"/>
      <c r="H133" s="63"/>
      <c r="I133" s="65"/>
      <c r="J133" s="65"/>
      <c r="K133" s="66"/>
    </row>
    <row r="134" spans="1:11" x14ac:dyDescent="0.25">
      <c r="A134" s="115"/>
      <c r="B134" s="116"/>
      <c r="C134" s="117"/>
      <c r="D134" s="117"/>
      <c r="E134" s="118"/>
      <c r="F134" s="117"/>
      <c r="G134" s="117"/>
      <c r="H134" s="118"/>
      <c r="I134" s="118"/>
      <c r="J134" s="118"/>
      <c r="K134" s="118"/>
    </row>
    <row r="135" spans="1:11" x14ac:dyDescent="0.25">
      <c r="A135" s="115"/>
      <c r="B135" s="116"/>
      <c r="C135" s="119"/>
      <c r="D135" s="119"/>
      <c r="E135" s="114"/>
      <c r="F135" s="62"/>
      <c r="G135" s="62"/>
      <c r="H135" s="63"/>
      <c r="I135" s="64"/>
      <c r="J135" s="65"/>
      <c r="K135" s="66"/>
    </row>
    <row r="136" spans="1:11" x14ac:dyDescent="0.25">
      <c r="A136" s="159" t="s">
        <v>250</v>
      </c>
      <c r="B136" s="159"/>
      <c r="C136" s="159"/>
      <c r="D136" s="120"/>
      <c r="E136" s="121"/>
      <c r="F136" s="120"/>
      <c r="G136" s="62"/>
      <c r="H136" s="63"/>
      <c r="I136" s="66"/>
      <c r="J136" s="65"/>
      <c r="K136" s="66"/>
    </row>
    <row r="137" spans="1:11" x14ac:dyDescent="0.25">
      <c r="A137" s="159" t="s">
        <v>251</v>
      </c>
      <c r="B137" s="159"/>
      <c r="C137" s="159"/>
      <c r="D137" s="122"/>
      <c r="E137" s="160" t="s">
        <v>252</v>
      </c>
      <c r="F137" s="160"/>
      <c r="G137" s="62"/>
      <c r="H137" s="63"/>
      <c r="I137" s="64"/>
      <c r="J137" s="65"/>
      <c r="K137" s="66"/>
    </row>
    <row r="138" spans="1:11" x14ac:dyDescent="0.25">
      <c r="A138" s="123"/>
      <c r="B138" s="124"/>
      <c r="C138" s="125"/>
      <c r="D138" s="126"/>
      <c r="E138" s="127"/>
      <c r="F138" s="128"/>
      <c r="G138" s="62"/>
      <c r="H138" s="63"/>
      <c r="I138" s="64"/>
      <c r="J138" s="65"/>
      <c r="K138" s="66"/>
    </row>
    <row r="139" spans="1:11" x14ac:dyDescent="0.25">
      <c r="A139" s="159" t="s">
        <v>253</v>
      </c>
      <c r="B139" s="159"/>
      <c r="C139" s="159"/>
      <c r="D139" s="129"/>
      <c r="E139" s="160" t="s">
        <v>254</v>
      </c>
      <c r="F139" s="160"/>
      <c r="G139" s="62"/>
      <c r="H139" s="63"/>
      <c r="I139" s="64"/>
      <c r="J139" s="65"/>
      <c r="K139" s="66"/>
    </row>
    <row r="140" spans="1:11" x14ac:dyDescent="0.25">
      <c r="A140" s="123"/>
      <c r="B140" s="130"/>
      <c r="C140" s="131"/>
      <c r="D140" s="132"/>
      <c r="E140" s="127"/>
      <c r="F140" s="128"/>
      <c r="G140" s="62"/>
      <c r="H140" s="63"/>
      <c r="I140" s="64"/>
      <c r="J140" s="65"/>
      <c r="K140" s="66"/>
    </row>
    <row r="141" spans="1:11" x14ac:dyDescent="0.25">
      <c r="A141" s="159" t="s">
        <v>255</v>
      </c>
      <c r="B141" s="159"/>
      <c r="C141" s="159"/>
      <c r="D141" s="129"/>
      <c r="E141" s="160" t="s">
        <v>256</v>
      </c>
      <c r="F141" s="160"/>
      <c r="G141" s="62"/>
      <c r="H141" s="63"/>
      <c r="I141" s="64"/>
      <c r="J141" s="65"/>
      <c r="K141" s="66"/>
    </row>
    <row r="142" spans="1:11" x14ac:dyDescent="0.25">
      <c r="A142" s="133"/>
      <c r="B142" s="134"/>
      <c r="C142" s="135"/>
      <c r="D142" s="120"/>
      <c r="E142" s="136"/>
      <c r="F142" s="120"/>
      <c r="G142" s="62"/>
      <c r="H142" s="63"/>
      <c r="I142" s="66"/>
      <c r="J142" s="65"/>
      <c r="K142" s="66"/>
    </row>
    <row r="143" spans="1:11" x14ac:dyDescent="0.25">
      <c r="A143" s="137"/>
      <c r="B143" s="137"/>
      <c r="C143" s="138" t="s">
        <v>257</v>
      </c>
      <c r="D143" s="139"/>
      <c r="E143" s="140" t="s">
        <v>258</v>
      </c>
      <c r="F143" s="141"/>
      <c r="G143" s="142"/>
      <c r="I143" t="s">
        <v>259</v>
      </c>
      <c r="J143" s="142"/>
    </row>
  </sheetData>
  <mergeCells count="35">
    <mergeCell ref="B6:K8"/>
    <mergeCell ref="A1:K1"/>
    <mergeCell ref="A3:A8"/>
    <mergeCell ref="B3:B5"/>
    <mergeCell ref="C3:E3"/>
    <mergeCell ref="F3:H3"/>
    <mergeCell ref="I3:K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J20:J21"/>
    <mergeCell ref="K20:K21"/>
    <mergeCell ref="A132:B132"/>
    <mergeCell ref="A20:A21"/>
    <mergeCell ref="B20:B21"/>
    <mergeCell ref="C20:C21"/>
    <mergeCell ref="D20:D21"/>
    <mergeCell ref="E20:E21"/>
    <mergeCell ref="F20:F21"/>
    <mergeCell ref="A141:C141"/>
    <mergeCell ref="E141:F141"/>
    <mergeCell ref="G20:G21"/>
    <mergeCell ref="H20:H21"/>
    <mergeCell ref="I20:I21"/>
    <mergeCell ref="A136:C136"/>
    <mergeCell ref="A137:C137"/>
    <mergeCell ref="E137:F137"/>
    <mergeCell ref="A139:C139"/>
    <mergeCell ref="E139:F1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2020-12-16T11:06:17Z</dcterms:modified>
</cp:coreProperties>
</file>