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comments3.xml><?xml version="1.0" encoding="utf-8"?>
<comments xmlns="http://schemas.openxmlformats.org/spreadsheetml/2006/main">
  <authors>
    <author>Наташа</author>
  </authors>
  <commentList>
    <comment ref="B58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9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1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</commentList>
</comments>
</file>

<file path=xl/sharedStrings.xml><?xml version="1.0" encoding="utf-8"?>
<sst xmlns="http://schemas.openxmlformats.org/spreadsheetml/2006/main" count="855" uniqueCount="276">
  <si>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</si>
  <si>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</si>
  <si>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</si>
  <si>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</si>
  <si>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</si>
  <si>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</si>
  <si>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</si>
  <si>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</si>
  <si>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</si>
  <si>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</si>
  <si>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</si>
  <si>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</si>
  <si>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</si>
  <si>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</si>
  <si>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</si>
  <si>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</si>
  <si>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</si>
  <si>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</si>
  <si>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</si>
  <si>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</si>
  <si>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</si>
  <si>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</si>
  <si>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</si>
  <si>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</si>
  <si>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</si>
  <si>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</si>
  <si>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</si>
  <si>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</si>
  <si>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</si>
  <si>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</si>
  <si>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</si>
  <si>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</si>
  <si>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</si>
  <si>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</si>
  <si>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</si>
  <si>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</si>
  <si>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</si>
  <si>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</si>
  <si>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</si>
  <si>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</si>
  <si>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</si>
  <si>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</si>
  <si>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</si>
  <si>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</si>
  <si>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</si>
  <si>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</si>
  <si>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</si>
  <si>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</si>
  <si>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</si>
  <si>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</si>
  <si>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</si>
  <si>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</si>
  <si>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</si>
  <si>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</si>
  <si>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</si>
  <si>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</si>
  <si>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</si>
  <si>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</si>
  <si>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</si>
  <si>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</si>
  <si>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</si>
  <si>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</si>
  <si>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</si>
  <si>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</si>
  <si>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</si>
  <si>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</si>
  <si>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</si>
  <si>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</si>
  <si>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</si>
  <si>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</si>
  <si>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</si>
  <si>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</si>
  <si>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</si>
  <si>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</si>
  <si>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</si>
  <si>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</si>
  <si>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</si>
  <si>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</si>
  <si>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</si>
  <si>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</si>
  <si>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</si>
  <si>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</si>
  <si>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</si>
  <si>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</si>
  <si>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</si>
  <si>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</si>
  <si>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</si>
  <si>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</si>
  <si>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</si>
  <si>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</si>
  <si>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</si>
  <si>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</si>
  <si>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</si>
  <si>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</si>
  <si>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</si>
  <si>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</si>
  <si>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</si>
  <si>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</si>
  <si>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</si>
  <si>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</si>
  <si>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</si>
  <si>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</si>
  <si>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</si>
  <si>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</si>
  <si>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</si>
  <si>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</si>
  <si>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</si>
  <si>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</si>
  <si>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</si>
  <si>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</si>
  <si>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</si>
  <si>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</si>
  <si>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</si>
  <si>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</si>
  <si>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</si>
  <si>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</si>
  <si>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</si>
  <si>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</si>
  <si>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</si>
  <si>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</si>
  <si>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</si>
  <si>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</si>
  <si>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</si>
  <si>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</si>
  <si>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</si>
  <si>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</si>
  <si>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</si>
  <si>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</si>
  <si>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</si>
  <si>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</si>
  <si>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</si>
  <si>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</si>
  <si>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</si>
  <si>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</si>
  <si>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</si>
  <si>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</si>
  <si>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</si>
  <si>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</si>
  <si>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</si>
  <si>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</si>
  <si>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</si>
  <si>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</si>
  <si>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</si>
  <si>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</si>
  <si>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</si>
  <si>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</si>
  <si>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</si>
  <si>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</si>
  <si>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</si>
  <si>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</si>
  <si>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</si>
  <si>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</si>
  <si>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</si>
  <si>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</si>
  <si>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</si>
  <si>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</si>
  <si>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</si>
  <si>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</si>
  <si>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</si>
  <si>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</si>
  <si>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</si>
  <si>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</si>
  <si>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</si>
  <si>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</si>
  <si>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</si>
  <si>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</si>
  <si>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</si>
  <si>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</si>
  <si>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</si>
  <si>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</si>
  <si>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</si>
  <si>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</si>
  <si>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</si>
  <si>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</si>
  <si>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01.40.28, 01.60.00</t>
  </si>
  <si>
    <t>Программа "Централизованное электроснабжение населенных пунктов ХМАО-Югры на 2011-2013 годы и на перспективу до 2015 года" (5220500) тс 01.40.28, 01.60.00</t>
  </si>
  <si>
    <t>Программа "Осуществление поселком городского типа Октябрьское функций административного центра муницпального образования Октябрьский район на 2013-2015 годы" 7951200</t>
  </si>
  <si>
    <t xml:space="preserve"> Содействие развитию жилищного строительства на территории Октябрьского района на 2011 - 2013 годы и на период до 2015 года Подпрограмма "Градостроительная деятельность" 7955901</t>
  </si>
  <si>
    <t>Содействие развитию жилищного строительства на территории Октябрьского района на 2011 - 2013 годы и на период до 2015 года (7955903)тс 01.03.39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</si>
  <si>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01.40.50</t>
  </si>
  <si>
    <t>Подпрограмма "Доступное жилье молодым" 7952700</t>
  </si>
  <si>
    <t>Программа "Культура Октябрьского района на 2010-2012 гг" 7952805, 7952806</t>
  </si>
  <si>
    <t>Программа "Энергосбережения и повышения энергоэффективности в ХМАО-Югре" на 2010-2013гг на период до 2015г. (7956300)</t>
  </si>
  <si>
    <t xml:space="preserve"> </t>
  </si>
  <si>
    <t>% исп-ия</t>
  </si>
  <si>
    <t>КБК</t>
  </si>
  <si>
    <t>Наименование дохода</t>
  </si>
  <si>
    <t>Исп-ие на</t>
  </si>
  <si>
    <t>от плана</t>
  </si>
  <si>
    <t>9 месяцев  2013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</si>
  <si>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</si>
  <si>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</si>
  <si>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</si>
  <si>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</si>
  <si>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</si>
  <si>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</si>
  <si>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</si>
  <si>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</si>
  <si>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</si>
  <si>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</si>
  <si>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</si>
  <si>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</si>
  <si>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</si>
  <si>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</si>
  <si>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</si>
  <si>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</si>
  <si>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</si>
  <si>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</si>
  <si>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</si>
  <si>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</si>
  <si>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</si>
  <si>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</si>
  <si>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</si>
  <si>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</si>
  <si>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</si>
  <si>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</si>
  <si>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</si>
  <si>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</si>
  <si>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</si>
  <si>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</si>
  <si>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</si>
  <si>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</si>
  <si>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</si>
  <si>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</si>
  <si>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</si>
  <si>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</si>
  <si>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</si>
  <si>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</si>
  <si>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</si>
  <si>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</si>
  <si>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</si>
  <si>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</si>
  <si>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</si>
  <si>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</si>
  <si>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</si>
  <si>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</si>
  <si>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</si>
  <si>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</si>
  <si>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</si>
  <si>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</si>
  <si>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</si>
  <si>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</si>
  <si>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</si>
  <si>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</si>
  <si>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</si>
  <si>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</si>
  <si>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</si>
  <si>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</si>
  <si>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</si>
  <si>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</si>
  <si>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</si>
  <si>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</si>
  <si>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</si>
  <si>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</si>
  <si>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Программа "Ликвидация и расселение приспособленных для проживания строений, расположенных в месте их сосредоточения в муниципальном образовании Октябрьский район на 2013-2015 годы" 7952708, 01.03.03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</si>
  <si>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года", 5225906</t>
  </si>
  <si>
    <t>Подпрограмма "Музейное дело"</t>
  </si>
  <si>
    <t>Отчет  об  исполнении  консолидированного  бюджета  района  по  расходам на 1 января 2014 года</t>
  </si>
  <si>
    <t>исполнение на 01.01.2014</t>
  </si>
  <si>
    <t>исполнения на 01.01.2014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</si>
  <si>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 1020100</t>
  </si>
  <si>
    <t>Программа "Улучшение жилищных условий населения Ханты-Мансийского автономного округа-Югры" на 2005-2015 годы, 5222708</t>
  </si>
  <si>
    <t>Программа "Возмещение части затрат инвестору на строительство инженерных сетей и объектов инфраструктуры к жилым домам, приобретенным муниципальным образованием Октябрьский район в 2012 году для переселения граждан из аварийных домов, находящихся в зоне подтопления на 2013-2015 годы", 7952709</t>
  </si>
  <si>
    <t>Программа "Ликвидация и расселение приспособленных для проживания строений, расположенных в месте их сосредоточения в муниципальном образовании Октябрьский район на 2013-2015 годы", 7952708</t>
  </si>
  <si>
    <t>Подпрограмма "Улучшение жилищных условий отдельных категорий граждан", 5222708</t>
  </si>
  <si>
    <t>Отчет об исполнении консолидированного бюджета Октябрьского района по состоянию на 01.01.2014</t>
  </si>
  <si>
    <t>(тыс.руб.)</t>
  </si>
  <si>
    <t>Первонач.</t>
  </si>
  <si>
    <t>Уточнен.</t>
  </si>
  <si>
    <t xml:space="preserve">план </t>
  </si>
  <si>
    <t>план</t>
  </si>
  <si>
    <t>от первонач.</t>
  </si>
  <si>
    <t>от уточн.</t>
  </si>
  <si>
    <t>плана                                                2013</t>
  </si>
  <si>
    <t>00010300000000000000</t>
  </si>
  <si>
    <t>Акцизы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</si>
</sst>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9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58" fillId="0" borderId="0" xfId="0" applyNumberFormat="1" applyFont="1" applyFill="1" applyAlignment="1">
      <alignment horizontal="center" vertical="center" wrapText="1"/>
    </xf>
    <xf numFmtId="164" fontId="58" fillId="0" borderId="0" xfId="53" applyNumberFormat="1" applyFont="1" applyFill="1" applyAlignment="1">
      <alignment horizontal="center" vertical="center" wrapText="1"/>
      <protection/>
    </xf>
    <xf numFmtId="164" fontId="58" fillId="0" borderId="0" xfId="53" applyNumberFormat="1" applyFont="1" applyFill="1" applyBorder="1" applyAlignment="1">
      <alignment horizontal="center" vertical="center" wrapText="1"/>
      <protection/>
    </xf>
    <xf numFmtId="164" fontId="5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59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165" fontId="12" fillId="35" borderId="17" xfId="0" applyNumberFormat="1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 vertical="top" wrapText="1"/>
    </xf>
    <xf numFmtId="0" fontId="12" fillId="35" borderId="17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49" fontId="12" fillId="35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top" wrapText="1"/>
    </xf>
    <xf numFmtId="0" fontId="12" fillId="35" borderId="20" xfId="0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165" fontId="13" fillId="0" borderId="10" xfId="0" applyNumberFormat="1" applyFont="1" applyFill="1" applyBorder="1" applyAlignment="1">
      <alignment horizontal="right" vertical="top"/>
    </xf>
    <xf numFmtId="165" fontId="13" fillId="0" borderId="10" xfId="0" applyNumberFormat="1" applyFont="1" applyFill="1" applyBorder="1" applyAlignment="1">
      <alignment vertical="top"/>
    </xf>
    <xf numFmtId="165" fontId="13" fillId="0" borderId="20" xfId="0" applyNumberFormat="1" applyFont="1" applyFill="1" applyBorder="1" applyAlignment="1">
      <alignment horizontal="right" vertical="top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vertical="top"/>
    </xf>
    <xf numFmtId="49" fontId="18" fillId="33" borderId="11" xfId="53" applyNumberFormat="1" applyFont="1" applyFill="1" applyBorder="1" applyAlignment="1" quotePrefix="1">
      <alignment horizontal="center" vertical="center" wrapText="1"/>
      <protection/>
    </xf>
    <xf numFmtId="0" fontId="18" fillId="33" borderId="10" xfId="53" applyNumberFormat="1" applyFont="1" applyFill="1" applyBorder="1" applyAlignment="1">
      <alignment horizontal="left" vertical="center" wrapText="1"/>
      <protection/>
    </xf>
    <xf numFmtId="164" fontId="19" fillId="33" borderId="10" xfId="53" applyNumberFormat="1" applyFont="1" applyFill="1" applyBorder="1" applyAlignment="1">
      <alignment horizontal="center" vertical="center" wrapText="1"/>
      <protection/>
    </xf>
    <xf numFmtId="164" fontId="20" fillId="33" borderId="10" xfId="0" applyNumberFormat="1" applyFont="1" applyFill="1" applyBorder="1" applyAlignment="1">
      <alignment horizontal="center" vertical="center" wrapText="1"/>
    </xf>
    <xf numFmtId="164" fontId="19" fillId="33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 quotePrefix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164" fontId="20" fillId="0" borderId="10" xfId="53" applyNumberFormat="1" applyFont="1" applyFill="1" applyBorder="1" applyAlignment="1">
      <alignment horizontal="center" vertical="center" wrapText="1"/>
      <protection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164" fontId="20" fillId="33" borderId="10" xfId="53" applyNumberFormat="1" applyFont="1" applyFill="1" applyBorder="1" applyAlignment="1">
      <alignment horizontal="center" vertical="center" wrapText="1"/>
      <protection/>
    </xf>
    <xf numFmtId="164" fontId="19" fillId="33" borderId="15" xfId="53" applyNumberFormat="1" applyFont="1" applyFill="1" applyBorder="1" applyAlignment="1">
      <alignment horizontal="center" vertical="center" wrapText="1"/>
      <protection/>
    </xf>
    <xf numFmtId="164" fontId="20" fillId="34" borderId="10" xfId="0" applyNumberFormat="1" applyFont="1" applyFill="1" applyBorder="1" applyAlignment="1">
      <alignment horizontal="center" vertical="center" wrapText="1"/>
    </xf>
    <xf numFmtId="0" fontId="21" fillId="34" borderId="10" xfId="53" applyNumberFormat="1" applyFont="1" applyFill="1" applyBorder="1" applyAlignment="1">
      <alignment horizontal="left" vertical="center" wrapText="1"/>
      <protection/>
    </xf>
    <xf numFmtId="164" fontId="20" fillId="35" borderId="10" xfId="53" applyNumberFormat="1" applyFont="1" applyFill="1" applyBorder="1" applyAlignment="1">
      <alignment horizontal="center" vertical="center" wrapText="1"/>
      <protection/>
    </xf>
    <xf numFmtId="164" fontId="20" fillId="35" borderId="10" xfId="0" applyNumberFormat="1" applyFont="1" applyFill="1" applyBorder="1" applyAlignment="1">
      <alignment horizontal="center" vertical="center" wrapText="1"/>
    </xf>
    <xf numFmtId="0" fontId="20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60" fillId="35" borderId="10" xfId="53" applyNumberFormat="1" applyFont="1" applyFill="1" applyBorder="1" applyAlignment="1">
      <alignment horizontal="center" vertical="center" wrapText="1"/>
      <protection/>
    </xf>
    <xf numFmtId="43" fontId="19" fillId="0" borderId="10" xfId="0" applyNumberFormat="1" applyFont="1" applyBorder="1" applyAlignment="1">
      <alignment horizontal="center" vertical="center" wrapText="1"/>
    </xf>
    <xf numFmtId="49" fontId="18" fillId="33" borderId="11" xfId="53" applyNumberFormat="1" applyFont="1" applyFill="1" applyBorder="1" applyAlignment="1">
      <alignment horizontal="center" vertical="center" wrapText="1"/>
      <protection/>
    </xf>
    <xf numFmtId="0" fontId="18" fillId="33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>
      <alignment horizontal="left" vertical="center" wrapText="1"/>
      <protection/>
    </xf>
    <xf numFmtId="164" fontId="19" fillId="36" borderId="12" xfId="53" applyNumberFormat="1" applyFont="1" applyFill="1" applyBorder="1" applyAlignment="1">
      <alignment horizontal="center" vertical="center" wrapText="1"/>
      <protection/>
    </xf>
    <xf numFmtId="164" fontId="19" fillId="36" borderId="12" xfId="0" applyNumberFormat="1" applyFont="1" applyFill="1" applyBorder="1" applyAlignment="1">
      <alignment horizontal="center" vertical="center" wrapText="1"/>
    </xf>
    <xf numFmtId="164" fontId="19" fillId="36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0" fontId="12" fillId="35" borderId="17" xfId="0" applyFont="1" applyFill="1" applyBorder="1" applyAlignment="1">
      <alignment/>
    </xf>
    <xf numFmtId="0" fontId="12" fillId="35" borderId="19" xfId="0" applyFont="1" applyFill="1" applyBorder="1" applyAlignment="1">
      <alignment horizontal="center" vertical="top"/>
    </xf>
    <xf numFmtId="14" fontId="12" fillId="35" borderId="20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right" vertical="top"/>
    </xf>
    <xf numFmtId="0" fontId="17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/>
    </xf>
    <xf numFmtId="165" fontId="16" fillId="0" borderId="10" xfId="0" applyNumberFormat="1" applyFont="1" applyFill="1" applyBorder="1" applyAlignment="1">
      <alignment horizontal="right" vertical="top" wrapText="1"/>
    </xf>
    <xf numFmtId="165" fontId="14" fillId="0" borderId="10" xfId="0" applyNumberFormat="1" applyFont="1" applyFill="1" applyBorder="1" applyAlignment="1">
      <alignment horizontal="right" vertical="top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/>
    </xf>
    <xf numFmtId="165" fontId="13" fillId="0" borderId="17" xfId="0" applyNumberFormat="1" applyFont="1" applyFill="1" applyBorder="1" applyAlignment="1">
      <alignment horizontal="right" vertical="top"/>
    </xf>
    <xf numFmtId="0" fontId="17" fillId="0" borderId="20" xfId="0" applyFont="1" applyFill="1" applyBorder="1" applyAlignment="1">
      <alignment vertical="top" wrapText="1"/>
    </xf>
    <xf numFmtId="165" fontId="13" fillId="0" borderId="20" xfId="0" applyNumberFormat="1" applyFont="1" applyFill="1" applyBorder="1" applyAlignment="1">
      <alignment vertical="top"/>
    </xf>
    <xf numFmtId="165" fontId="17" fillId="0" borderId="10" xfId="0" applyNumberFormat="1" applyFont="1" applyFill="1" applyBorder="1" applyAlignment="1">
      <alignment horizontal="right" vertical="top" wrapText="1"/>
    </xf>
    <xf numFmtId="165" fontId="14" fillId="0" borderId="18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65" fontId="13" fillId="0" borderId="17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65" fontId="14" fillId="0" borderId="17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left"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166" fontId="13" fillId="0" borderId="10" xfId="0" applyNumberFormat="1" applyFont="1" applyFill="1" applyBorder="1" applyAlignment="1">
      <alignment vertical="top"/>
    </xf>
    <xf numFmtId="49" fontId="17" fillId="0" borderId="17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165" fontId="17" fillId="0" borderId="10" xfId="0" applyNumberFormat="1" applyFont="1" applyFill="1" applyBorder="1" applyAlignment="1">
      <alignment horizontal="right"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0" fontId="10" fillId="36" borderId="21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3" xfId="53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25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35" borderId="10" xfId="0" applyFont="1" applyFill="1" applyBorder="1" applyAlignment="1">
      <alignment horizontal="center" vertical="top"/>
    </xf>
    <xf numFmtId="165" fontId="14" fillId="0" borderId="25" xfId="0" applyNumberFormat="1" applyFont="1" applyFill="1" applyBorder="1" applyAlignment="1">
      <alignment horizontal="center" vertical="top"/>
    </xf>
    <xf numFmtId="165" fontId="14" fillId="0" borderId="26" xfId="0" applyNumberFormat="1" applyFont="1" applyFill="1" applyBorder="1" applyAlignment="1">
      <alignment horizontal="center" vertical="top"/>
    </xf>
    <xf numFmtId="44" fontId="17" fillId="0" borderId="16" xfId="42" applyFont="1" applyFill="1" applyBorder="1" applyAlignment="1">
      <alignment horizontal="center" vertical="top" wrapText="1"/>
    </xf>
    <xf numFmtId="44" fontId="17" fillId="0" borderId="25" xfId="42" applyFont="1" applyFill="1" applyBorder="1" applyAlignment="1">
      <alignment horizontal="center" vertical="top" wrapText="1"/>
    </xf>
    <xf numFmtId="44" fontId="17" fillId="0" borderId="26" xfId="42" applyFont="1" applyFill="1" applyBorder="1" applyAlignment="1">
      <alignment horizontal="center" vertical="top" wrapText="1"/>
    </xf>
    <xf numFmtId="164" fontId="19" fillId="33" borderId="10" xfId="53" applyNumberFormat="1" applyFont="1" applyFill="1" applyBorder="1" applyAlignment="1">
      <alignment horizontal="center" vertical="center" wrapText="1"/>
      <protection/>
    </xf>
    <xf numFmtId="49" fontId="18" fillId="33" borderId="11" xfId="53" applyNumberFormat="1" applyFont="1" applyFill="1" applyBorder="1" applyAlignment="1" quotePrefix="1">
      <alignment horizontal="center" vertical="center" wrapText="1"/>
      <protection/>
    </xf>
    <xf numFmtId="0" fontId="18" fillId="33" borderId="10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71" t="s">
        <v>170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72" t="s">
        <v>98</v>
      </c>
      <c r="B3" s="174" t="s">
        <v>97</v>
      </c>
      <c r="C3" s="176" t="s">
        <v>113</v>
      </c>
      <c r="D3" s="176"/>
      <c r="E3" s="176"/>
      <c r="F3" s="177" t="s">
        <v>112</v>
      </c>
      <c r="G3" s="177"/>
      <c r="H3" s="177"/>
      <c r="I3" s="178" t="s">
        <v>111</v>
      </c>
      <c r="J3" s="178"/>
      <c r="K3" s="179"/>
    </row>
    <row r="4" spans="1:11" ht="12.75">
      <c r="A4" s="173"/>
      <c r="B4" s="175"/>
      <c r="C4" s="185" t="s">
        <v>78</v>
      </c>
      <c r="D4" s="185" t="s">
        <v>171</v>
      </c>
      <c r="E4" s="185" t="s">
        <v>77</v>
      </c>
      <c r="F4" s="185" t="s">
        <v>78</v>
      </c>
      <c r="G4" s="180" t="s">
        <v>171</v>
      </c>
      <c r="H4" s="180" t="s">
        <v>77</v>
      </c>
      <c r="I4" s="182" t="s">
        <v>78</v>
      </c>
      <c r="J4" s="184" t="s">
        <v>173</v>
      </c>
      <c r="K4" s="186" t="s">
        <v>77</v>
      </c>
    </row>
    <row r="5" spans="1:11" ht="19.5" customHeight="1">
      <c r="A5" s="173"/>
      <c r="B5" s="175"/>
      <c r="C5" s="181"/>
      <c r="D5" s="185"/>
      <c r="E5" s="190"/>
      <c r="F5" s="181"/>
      <c r="G5" s="180"/>
      <c r="H5" s="181"/>
      <c r="I5" s="183"/>
      <c r="J5" s="184"/>
      <c r="K5" s="187"/>
    </row>
    <row r="6" spans="1:11" ht="12.75">
      <c r="A6" s="173"/>
      <c r="B6" s="188" t="s">
        <v>0</v>
      </c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73"/>
      <c r="B7" s="188"/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2.75">
      <c r="A8" s="173"/>
      <c r="B8" s="188"/>
      <c r="C8" s="188"/>
      <c r="D8" s="188"/>
      <c r="E8" s="188"/>
      <c r="F8" s="188"/>
      <c r="G8" s="188"/>
      <c r="H8" s="188"/>
      <c r="I8" s="188"/>
      <c r="J8" s="188"/>
      <c r="K8" s="189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69" t="s">
        <v>20</v>
      </c>
      <c r="B20" s="170" t="s">
        <v>102</v>
      </c>
      <c r="C20" s="166">
        <f>C23+C24+C22</f>
        <v>25046.9</v>
      </c>
      <c r="D20" s="166">
        <f>D23+D24+D22</f>
        <v>0</v>
      </c>
      <c r="E20" s="166">
        <f>D20/C20*100</f>
        <v>0</v>
      </c>
      <c r="F20" s="166">
        <f>F23+F24+F22</f>
        <v>9535.5</v>
      </c>
      <c r="G20" s="166">
        <f>G23+G24+G22</f>
        <v>0</v>
      </c>
      <c r="H20" s="166">
        <f>G20/F20*100</f>
        <v>0</v>
      </c>
      <c r="I20" s="166">
        <f>I23+I24+I22</f>
        <v>32921.4</v>
      </c>
      <c r="J20" s="166">
        <f>SUM(J22:J24)</f>
        <v>0</v>
      </c>
      <c r="K20" s="166">
        <f>J20/I20*100</f>
        <v>0</v>
      </c>
    </row>
    <row r="21" spans="1:11" ht="12.75">
      <c r="A21" s="169"/>
      <c r="B21" s="170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67" t="s">
        <v>65</v>
      </c>
      <c r="B118" s="168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63" t="s">
        <v>124</v>
      </c>
      <c r="B124" s="163"/>
      <c r="C124" s="163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63" t="s">
        <v>125</v>
      </c>
      <c r="B125" s="163"/>
      <c r="C125" s="163"/>
      <c r="D125" s="42"/>
      <c r="E125" s="164" t="s">
        <v>66</v>
      </c>
      <c r="F125" s="164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63" t="s">
        <v>151</v>
      </c>
      <c r="B127" s="163"/>
      <c r="C127" s="163"/>
      <c r="D127" s="34"/>
      <c r="E127" s="164" t="s">
        <v>123</v>
      </c>
      <c r="F127" s="164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63" t="s">
        <v>154</v>
      </c>
      <c r="B129" s="163"/>
      <c r="C129" s="163"/>
      <c r="D129" s="34"/>
      <c r="E129" s="165" t="s">
        <v>155</v>
      </c>
      <c r="F129" s="165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18:B118"/>
    <mergeCell ref="A20:A21"/>
    <mergeCell ref="B20:B21"/>
    <mergeCell ref="C20:C21"/>
    <mergeCell ref="D20:D21"/>
    <mergeCell ref="E20:E21"/>
    <mergeCell ref="F20:F21"/>
    <mergeCell ref="A124:C124"/>
    <mergeCell ref="A125:C125"/>
    <mergeCell ref="E125:F125"/>
    <mergeCell ref="A127:C127"/>
    <mergeCell ref="E127:F127"/>
    <mergeCell ref="A129:C129"/>
    <mergeCell ref="E129:F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3.875" style="0" customWidth="1"/>
    <col min="5" max="5" width="13.125" style="0" customWidth="1"/>
    <col min="6" max="6" width="13.75390625" style="0" customWidth="1"/>
    <col min="7" max="7" width="0.2421875" style="0" hidden="1" customWidth="1"/>
    <col min="8" max="8" width="12.125" style="0" customWidth="1"/>
    <col min="9" max="9" width="11.625" style="0" customWidth="1"/>
    <col min="10" max="10" width="11.25390625" style="0" customWidth="1"/>
    <col min="11" max="11" width="11.00390625" style="0" customWidth="1"/>
    <col min="12" max="12" width="11.125" style="0" customWidth="1"/>
  </cols>
  <sheetData>
    <row r="1" spans="1:9" ht="12.75">
      <c r="A1" s="195" t="s">
        <v>265</v>
      </c>
      <c r="B1" s="195"/>
      <c r="C1" s="195"/>
      <c r="D1" s="195"/>
      <c r="E1" s="195"/>
      <c r="F1" s="195"/>
      <c r="G1" s="195"/>
      <c r="H1" s="195"/>
      <c r="I1" s="121"/>
    </row>
    <row r="2" spans="1:9" ht="12.75">
      <c r="A2" s="196"/>
      <c r="B2" s="196"/>
      <c r="C2" s="196"/>
      <c r="D2" s="196"/>
      <c r="E2" s="196"/>
      <c r="F2" s="196"/>
      <c r="G2" s="196"/>
      <c r="H2" s="196"/>
      <c r="I2" s="121"/>
    </row>
    <row r="3" spans="1:9" ht="12.75">
      <c r="A3" s="60"/>
      <c r="B3" s="60"/>
      <c r="C3" s="61"/>
      <c r="D3" s="62"/>
      <c r="E3" s="62"/>
      <c r="F3" s="122" t="s">
        <v>266</v>
      </c>
      <c r="G3" s="62"/>
      <c r="H3" s="62"/>
      <c r="I3" s="121"/>
    </row>
    <row r="4" spans="1:9" ht="16.5" customHeight="1">
      <c r="A4" s="63" t="s">
        <v>183</v>
      </c>
      <c r="B4" s="63"/>
      <c r="C4" s="64"/>
      <c r="D4" s="123" t="s">
        <v>267</v>
      </c>
      <c r="E4" s="66" t="s">
        <v>268</v>
      </c>
      <c r="F4" s="65"/>
      <c r="G4" s="67" t="s">
        <v>184</v>
      </c>
      <c r="H4" s="68" t="s">
        <v>184</v>
      </c>
      <c r="I4" s="68" t="s">
        <v>184</v>
      </c>
    </row>
    <row r="5" spans="1:9" ht="27.75" customHeight="1">
      <c r="A5" s="69" t="s">
        <v>185</v>
      </c>
      <c r="B5" s="69"/>
      <c r="C5" s="70" t="s">
        <v>186</v>
      </c>
      <c r="D5" s="71" t="s">
        <v>269</v>
      </c>
      <c r="E5" s="72" t="s">
        <v>270</v>
      </c>
      <c r="F5" s="124" t="s">
        <v>187</v>
      </c>
      <c r="G5" s="73" t="s">
        <v>188</v>
      </c>
      <c r="H5" s="73" t="s">
        <v>271</v>
      </c>
      <c r="I5" s="124" t="s">
        <v>272</v>
      </c>
    </row>
    <row r="6" spans="1:9" ht="30.75" customHeight="1">
      <c r="A6" s="69"/>
      <c r="B6" s="69"/>
      <c r="C6" s="70"/>
      <c r="D6" s="71">
        <v>2013</v>
      </c>
      <c r="E6" s="71">
        <v>2013</v>
      </c>
      <c r="F6" s="125">
        <v>41640</v>
      </c>
      <c r="G6" s="74" t="s">
        <v>189</v>
      </c>
      <c r="H6" s="74" t="s">
        <v>273</v>
      </c>
      <c r="I6" s="74" t="s">
        <v>273</v>
      </c>
    </row>
    <row r="7" spans="1:9" ht="12.75">
      <c r="A7" s="197" t="s">
        <v>190</v>
      </c>
      <c r="B7" s="197"/>
      <c r="C7" s="197"/>
      <c r="D7" s="197"/>
      <c r="E7" s="197"/>
      <c r="F7" s="197"/>
      <c r="G7" s="197"/>
      <c r="H7" s="197"/>
      <c r="I7" s="197"/>
    </row>
    <row r="8" spans="1:9" ht="12.75">
      <c r="A8" s="126" t="s">
        <v>191</v>
      </c>
      <c r="B8" s="126"/>
      <c r="C8" s="127" t="s">
        <v>192</v>
      </c>
      <c r="D8" s="128">
        <f>D9+D11+D12+D13+D15+D16+D18+D20+D14+D21+D17+D19+D10</f>
        <v>638987.3</v>
      </c>
      <c r="E8" s="128">
        <f>E9+E11+E12+E13+E15+E16+E18+E20+E14+E21+E17+E19+E10</f>
        <v>800651.3999999999</v>
      </c>
      <c r="F8" s="128">
        <f>F9+F11+F12+F13+F15+F16+F18+F20+F14+F21+F17+F19+F10</f>
        <v>804763.2999999999</v>
      </c>
      <c r="G8" s="128" t="e">
        <f>G9+G11+G12+G13+G15+G16+G18+G20+G14+G21+G17+G19</f>
        <v>#REF!</v>
      </c>
      <c r="H8" s="128">
        <f aca="true" t="shared" si="0" ref="H8:H20">F8/D8*100</f>
        <v>125.94355161675355</v>
      </c>
      <c r="I8" s="128">
        <f>F8*100/E8</f>
        <v>100.51356932617617</v>
      </c>
    </row>
    <row r="9" spans="1:9" ht="12.75">
      <c r="A9" s="85" t="s">
        <v>193</v>
      </c>
      <c r="B9" s="85"/>
      <c r="C9" s="129" t="s">
        <v>194</v>
      </c>
      <c r="D9" s="80">
        <v>506103.2</v>
      </c>
      <c r="E9" s="81">
        <v>595369.6</v>
      </c>
      <c r="F9" s="81">
        <v>587892.6</v>
      </c>
      <c r="G9" s="82" t="e">
        <f>F9/#REF!*100</f>
        <v>#REF!</v>
      </c>
      <c r="H9" s="82">
        <f t="shared" si="0"/>
        <v>116.16061704411274</v>
      </c>
      <c r="I9" s="80">
        <f>F9*100/E9</f>
        <v>98.74414145431679</v>
      </c>
    </row>
    <row r="10" spans="1:9" ht="12.75">
      <c r="A10" s="75" t="s">
        <v>274</v>
      </c>
      <c r="B10" s="75"/>
      <c r="C10" s="129" t="s">
        <v>275</v>
      </c>
      <c r="D10" s="80"/>
      <c r="E10" s="81"/>
      <c r="F10" s="81"/>
      <c r="G10" s="82"/>
      <c r="H10" s="82"/>
      <c r="I10" s="80"/>
    </row>
    <row r="11" spans="1:9" ht="12.75">
      <c r="A11" s="75" t="s">
        <v>195</v>
      </c>
      <c r="B11" s="75"/>
      <c r="C11" s="129" t="s">
        <v>196</v>
      </c>
      <c r="D11" s="80">
        <v>33973.1</v>
      </c>
      <c r="E11" s="81">
        <v>34320.2</v>
      </c>
      <c r="F11" s="81">
        <v>34529</v>
      </c>
      <c r="G11" s="82" t="e">
        <f>F11/#REF!*100</f>
        <v>#REF!</v>
      </c>
      <c r="H11" s="82">
        <f t="shared" si="0"/>
        <v>101.63629459778471</v>
      </c>
      <c r="I11" s="80">
        <f aca="true" t="shared" si="1" ref="I11:I20">F11*100/E11</f>
        <v>100.60838806300663</v>
      </c>
    </row>
    <row r="12" spans="1:9" ht="12.75">
      <c r="A12" s="75" t="s">
        <v>197</v>
      </c>
      <c r="B12" s="75"/>
      <c r="C12" s="129" t="s">
        <v>198</v>
      </c>
      <c r="D12" s="80">
        <v>13072.8</v>
      </c>
      <c r="E12" s="81">
        <v>18000</v>
      </c>
      <c r="F12" s="81">
        <v>18474.5</v>
      </c>
      <c r="G12" s="82" t="e">
        <f>F12/#REF!*100</f>
        <v>#REF!</v>
      </c>
      <c r="H12" s="82">
        <f t="shared" si="0"/>
        <v>141.32014564592131</v>
      </c>
      <c r="I12" s="80">
        <f t="shared" si="1"/>
        <v>102.6361111111111</v>
      </c>
    </row>
    <row r="13" spans="1:9" ht="12.75">
      <c r="A13" s="75" t="s">
        <v>199</v>
      </c>
      <c r="B13" s="75"/>
      <c r="C13" s="129" t="s">
        <v>200</v>
      </c>
      <c r="D13" s="80">
        <v>2897</v>
      </c>
      <c r="E13" s="81">
        <v>3488</v>
      </c>
      <c r="F13" s="81">
        <v>3856.5</v>
      </c>
      <c r="G13" s="82" t="e">
        <f>F13/#REF!*100</f>
        <v>#REF!</v>
      </c>
      <c r="H13" s="82">
        <f t="shared" si="0"/>
        <v>133.12046945115637</v>
      </c>
      <c r="I13" s="80">
        <f t="shared" si="1"/>
        <v>110.56479357798165</v>
      </c>
    </row>
    <row r="14" spans="1:9" ht="24">
      <c r="A14" s="75" t="s">
        <v>201</v>
      </c>
      <c r="B14" s="75"/>
      <c r="C14" s="129" t="s">
        <v>202</v>
      </c>
      <c r="D14" s="80"/>
      <c r="E14" s="81">
        <v>1.6</v>
      </c>
      <c r="F14" s="81">
        <v>-11.1</v>
      </c>
      <c r="G14" s="82" t="e">
        <f>F14/#REF!*100</f>
        <v>#REF!</v>
      </c>
      <c r="H14" s="82"/>
      <c r="I14" s="80">
        <f t="shared" si="1"/>
        <v>-693.75</v>
      </c>
    </row>
    <row r="15" spans="1:9" ht="24">
      <c r="A15" s="76" t="s">
        <v>203</v>
      </c>
      <c r="B15" s="76"/>
      <c r="C15" s="129" t="s">
        <v>204</v>
      </c>
      <c r="D15" s="80">
        <v>59668.5</v>
      </c>
      <c r="E15" s="81">
        <v>85341.5</v>
      </c>
      <c r="F15" s="81">
        <v>91743.4</v>
      </c>
      <c r="G15" s="82" t="e">
        <f>F15/#REF!*100</f>
        <v>#REF!</v>
      </c>
      <c r="H15" s="82">
        <f t="shared" si="0"/>
        <v>153.75516394747646</v>
      </c>
      <c r="I15" s="80">
        <f t="shared" si="1"/>
        <v>107.50150864468048</v>
      </c>
    </row>
    <row r="16" spans="1:9" ht="12.75">
      <c r="A16" s="130" t="s">
        <v>205</v>
      </c>
      <c r="B16" s="130"/>
      <c r="C16" s="129" t="s">
        <v>206</v>
      </c>
      <c r="D16" s="80">
        <v>13500</v>
      </c>
      <c r="E16" s="81">
        <v>17650.3</v>
      </c>
      <c r="F16" s="81">
        <v>17673.7</v>
      </c>
      <c r="G16" s="82" t="e">
        <f>F16/#REF!*100</f>
        <v>#REF!</v>
      </c>
      <c r="H16" s="82">
        <f t="shared" si="0"/>
        <v>130.9162962962963</v>
      </c>
      <c r="I16" s="80">
        <f t="shared" si="1"/>
        <v>100.13257565027224</v>
      </c>
    </row>
    <row r="17" spans="1:9" ht="24">
      <c r="A17" s="131" t="s">
        <v>207</v>
      </c>
      <c r="B17" s="131"/>
      <c r="C17" s="129" t="s">
        <v>208</v>
      </c>
      <c r="D17" s="80">
        <v>1131</v>
      </c>
      <c r="E17" s="81">
        <v>20175.7</v>
      </c>
      <c r="F17" s="81">
        <v>20731.3</v>
      </c>
      <c r="G17" s="82" t="e">
        <f>F17/#REF!*100</f>
        <v>#REF!</v>
      </c>
      <c r="H17" s="82">
        <f t="shared" si="0"/>
        <v>1833.0061892130857</v>
      </c>
      <c r="I17" s="80">
        <f t="shared" si="1"/>
        <v>102.75380779849026</v>
      </c>
    </row>
    <row r="18" spans="1:9" ht="24">
      <c r="A18" s="131" t="s">
        <v>209</v>
      </c>
      <c r="B18" s="131"/>
      <c r="C18" s="129" t="s">
        <v>210</v>
      </c>
      <c r="D18" s="80">
        <v>5325</v>
      </c>
      <c r="E18" s="81">
        <v>11850</v>
      </c>
      <c r="F18" s="81">
        <v>12419.5</v>
      </c>
      <c r="G18" s="82" t="e">
        <f>F18/#REF!*100</f>
        <v>#REF!</v>
      </c>
      <c r="H18" s="82">
        <f t="shared" si="0"/>
        <v>233.2300469483568</v>
      </c>
      <c r="I18" s="80">
        <f t="shared" si="1"/>
        <v>104.80590717299577</v>
      </c>
    </row>
    <row r="19" spans="1:9" ht="12.75">
      <c r="A19" s="131" t="s">
        <v>211</v>
      </c>
      <c r="B19" s="131"/>
      <c r="C19" s="129" t="s">
        <v>212</v>
      </c>
      <c r="D19" s="80">
        <v>10</v>
      </c>
      <c r="E19" s="81">
        <v>11.5</v>
      </c>
      <c r="F19" s="81">
        <v>11.5</v>
      </c>
      <c r="G19" s="82" t="e">
        <f>F19/#REF!*100</f>
        <v>#REF!</v>
      </c>
      <c r="H19" s="82">
        <f t="shared" si="0"/>
        <v>114.99999999999999</v>
      </c>
      <c r="I19" s="80">
        <f t="shared" si="1"/>
        <v>100</v>
      </c>
    </row>
    <row r="20" spans="1:9" ht="12.75">
      <c r="A20" s="85" t="s">
        <v>213</v>
      </c>
      <c r="B20" s="85"/>
      <c r="C20" s="129" t="s">
        <v>214</v>
      </c>
      <c r="D20" s="80">
        <v>3306.7</v>
      </c>
      <c r="E20" s="81">
        <v>14443</v>
      </c>
      <c r="F20" s="81">
        <v>17729.2</v>
      </c>
      <c r="G20" s="82" t="e">
        <f>F20/#REF!*100</f>
        <v>#REF!</v>
      </c>
      <c r="H20" s="82">
        <f t="shared" si="0"/>
        <v>536.1599177427647</v>
      </c>
      <c r="I20" s="80">
        <f t="shared" si="1"/>
        <v>122.75289067368276</v>
      </c>
    </row>
    <row r="21" spans="1:9" ht="12.75">
      <c r="A21" s="132" t="s">
        <v>215</v>
      </c>
      <c r="B21" s="133"/>
      <c r="C21" s="79" t="s">
        <v>216</v>
      </c>
      <c r="D21" s="80"/>
      <c r="E21" s="81"/>
      <c r="F21" s="81">
        <v>-286.8</v>
      </c>
      <c r="G21" s="82"/>
      <c r="H21" s="82"/>
      <c r="I21" s="80"/>
    </row>
    <row r="22" spans="1:9" ht="12.75">
      <c r="A22" s="126" t="s">
        <v>219</v>
      </c>
      <c r="B22" s="126"/>
      <c r="C22" s="134" t="s">
        <v>220</v>
      </c>
      <c r="D22" s="135">
        <f>D23+D24+D26+D25</f>
        <v>2409716.2</v>
      </c>
      <c r="E22" s="135">
        <f>E23+E24+E26+E25</f>
        <v>3529583.2</v>
      </c>
      <c r="F22" s="135">
        <f>F23+F24+F26+F25+0.1</f>
        <v>3408378.7</v>
      </c>
      <c r="G22" s="128" t="e">
        <f>F22/#REF!*100</f>
        <v>#REF!</v>
      </c>
      <c r="H22" s="128">
        <f aca="true" t="shared" si="2" ref="H22:H27">F22/D22*100</f>
        <v>141.44315832710924</v>
      </c>
      <c r="I22" s="136">
        <f aca="true" t="shared" si="3" ref="I22:I27">F22*100/E22</f>
        <v>96.56603929891779</v>
      </c>
    </row>
    <row r="23" spans="1:9" ht="24">
      <c r="A23" s="77" t="s">
        <v>221</v>
      </c>
      <c r="B23" s="75"/>
      <c r="C23" s="137" t="s">
        <v>222</v>
      </c>
      <c r="D23" s="80">
        <v>2384536.2</v>
      </c>
      <c r="E23" s="81">
        <v>3509095.5</v>
      </c>
      <c r="F23" s="81">
        <v>3387634.9</v>
      </c>
      <c r="G23" s="82" t="e">
        <f>F23/#REF!*100</f>
        <v>#REF!</v>
      </c>
      <c r="H23" s="82">
        <f t="shared" si="2"/>
        <v>142.0668262448689</v>
      </c>
      <c r="I23" s="80">
        <f t="shared" si="3"/>
        <v>96.5386920931619</v>
      </c>
    </row>
    <row r="24" spans="1:9" ht="12.75">
      <c r="A24" s="77" t="s">
        <v>223</v>
      </c>
      <c r="B24" s="77"/>
      <c r="C24" s="138" t="s">
        <v>224</v>
      </c>
      <c r="D24" s="80">
        <v>25180</v>
      </c>
      <c r="E24" s="81">
        <v>42099.2</v>
      </c>
      <c r="F24" s="81">
        <v>42357.2</v>
      </c>
      <c r="G24" s="82" t="e">
        <f>F24/#REF!*100</f>
        <v>#REF!</v>
      </c>
      <c r="H24" s="82">
        <f t="shared" si="2"/>
        <v>168.2176330420969</v>
      </c>
      <c r="I24" s="80">
        <f t="shared" si="3"/>
        <v>100.61283824870782</v>
      </c>
    </row>
    <row r="25" spans="1:9" ht="62.25" customHeight="1">
      <c r="A25" s="77" t="s">
        <v>225</v>
      </c>
      <c r="B25" s="78" t="s">
        <v>226</v>
      </c>
      <c r="C25" s="79" t="s">
        <v>226</v>
      </c>
      <c r="D25" s="80"/>
      <c r="E25" s="81">
        <v>21.4</v>
      </c>
      <c r="F25" s="81">
        <v>21.4</v>
      </c>
      <c r="G25" s="82" t="e">
        <f>F25/#REF!*100</f>
        <v>#REF!</v>
      </c>
      <c r="H25" s="82"/>
      <c r="I25" s="80">
        <f t="shared" si="3"/>
        <v>100</v>
      </c>
    </row>
    <row r="26" spans="1:9" ht="36">
      <c r="A26" s="77" t="s">
        <v>227</v>
      </c>
      <c r="B26" s="83"/>
      <c r="C26" s="84" t="s">
        <v>228</v>
      </c>
      <c r="D26" s="80"/>
      <c r="E26" s="81">
        <v>-21632.9</v>
      </c>
      <c r="F26" s="81">
        <v>-21634.9</v>
      </c>
      <c r="G26" s="82" t="e">
        <f>F26/#REF!*100</f>
        <v>#REF!</v>
      </c>
      <c r="H26" s="82"/>
      <c r="I26" s="80">
        <f t="shared" si="3"/>
        <v>100.00924517748429</v>
      </c>
    </row>
    <row r="27" spans="1:9" ht="12.75">
      <c r="A27" s="85"/>
      <c r="B27" s="86"/>
      <c r="C27" s="87" t="s">
        <v>229</v>
      </c>
      <c r="D27" s="88">
        <f>D22+D8</f>
        <v>3048703.5</v>
      </c>
      <c r="E27" s="88">
        <f>E22+E8</f>
        <v>4330234.6</v>
      </c>
      <c r="F27" s="88">
        <f>F22+F8</f>
        <v>4213142</v>
      </c>
      <c r="G27" s="128" t="e">
        <f>F27/#REF!*100</f>
        <v>#REF!</v>
      </c>
      <c r="H27" s="128">
        <f t="shared" si="2"/>
        <v>138.19454728870812</v>
      </c>
      <c r="I27" s="136">
        <f t="shared" si="3"/>
        <v>97.29592941684962</v>
      </c>
    </row>
    <row r="28" spans="1:9" ht="12.75">
      <c r="A28" s="192"/>
      <c r="B28" s="193"/>
      <c r="C28" s="193"/>
      <c r="D28" s="193"/>
      <c r="E28" s="193"/>
      <c r="F28" s="193"/>
      <c r="G28" s="193"/>
      <c r="H28" s="194"/>
      <c r="I28" s="139"/>
    </row>
    <row r="29" spans="1:9" ht="12.75">
      <c r="A29" s="191" t="s">
        <v>230</v>
      </c>
      <c r="B29" s="191"/>
      <c r="C29" s="191"/>
      <c r="D29" s="191"/>
      <c r="E29" s="191"/>
      <c r="F29" s="191"/>
      <c r="G29" s="191"/>
      <c r="H29" s="191"/>
      <c r="I29" s="191"/>
    </row>
    <row r="30" spans="1:9" ht="12.75">
      <c r="A30" s="126" t="s">
        <v>191</v>
      </c>
      <c r="B30" s="126"/>
      <c r="C30" s="127" t="s">
        <v>192</v>
      </c>
      <c r="D30" s="128">
        <f>D31+D32+D34+D35+D33</f>
        <v>14779.5</v>
      </c>
      <c r="E30" s="128">
        <f>E31+E32+E33+E34+E35+E36</f>
        <v>15045.199999999999</v>
      </c>
      <c r="F30" s="128">
        <f>F31+F32+F34+F35+F33+F36</f>
        <v>15601.1</v>
      </c>
      <c r="G30" s="128" t="e">
        <f>F30/#REF!*100</f>
        <v>#REF!</v>
      </c>
      <c r="H30" s="128">
        <f aca="true" t="shared" si="4" ref="H30:H35">F30/D30*100</f>
        <v>105.55905138874793</v>
      </c>
      <c r="I30" s="128">
        <f aca="true" t="shared" si="5" ref="I30:I39">F30*100/E30</f>
        <v>103.69486613670806</v>
      </c>
    </row>
    <row r="31" spans="1:9" ht="12.75">
      <c r="A31" s="75" t="s">
        <v>193</v>
      </c>
      <c r="B31" s="75"/>
      <c r="C31" s="140" t="s">
        <v>194</v>
      </c>
      <c r="D31" s="80">
        <v>10761</v>
      </c>
      <c r="E31" s="81">
        <v>11580</v>
      </c>
      <c r="F31" s="141">
        <v>11918</v>
      </c>
      <c r="G31" s="82" t="e">
        <f>F31/#REF!*100</f>
        <v>#REF!</v>
      </c>
      <c r="H31" s="82">
        <f t="shared" si="4"/>
        <v>110.75178886720565</v>
      </c>
      <c r="I31" s="80">
        <f t="shared" si="5"/>
        <v>102.9188255613126</v>
      </c>
    </row>
    <row r="32" spans="1:9" ht="12.75">
      <c r="A32" s="75" t="s">
        <v>197</v>
      </c>
      <c r="B32" s="75"/>
      <c r="C32" s="129" t="s">
        <v>198</v>
      </c>
      <c r="D32" s="80">
        <v>1060</v>
      </c>
      <c r="E32" s="81">
        <v>241.4</v>
      </c>
      <c r="F32" s="81">
        <v>251.2</v>
      </c>
      <c r="G32" s="82" t="e">
        <f>F32/#REF!*100</f>
        <v>#REF!</v>
      </c>
      <c r="H32" s="82">
        <f t="shared" si="4"/>
        <v>23.69811320754717</v>
      </c>
      <c r="I32" s="80">
        <f t="shared" si="5"/>
        <v>104.05965202982601</v>
      </c>
    </row>
    <row r="33" spans="1:9" ht="12.75">
      <c r="A33" s="75" t="s">
        <v>199</v>
      </c>
      <c r="B33" s="75"/>
      <c r="C33" s="129" t="s">
        <v>200</v>
      </c>
      <c r="D33" s="80">
        <v>23</v>
      </c>
      <c r="E33" s="81">
        <v>18.6</v>
      </c>
      <c r="F33" s="81">
        <v>18.6</v>
      </c>
      <c r="G33" s="82" t="e">
        <f>F33/#REF!*100</f>
        <v>#REF!</v>
      </c>
      <c r="H33" s="82">
        <f t="shared" si="4"/>
        <v>80.86956521739131</v>
      </c>
      <c r="I33" s="80">
        <f t="shared" si="5"/>
        <v>100</v>
      </c>
    </row>
    <row r="34" spans="1:9" ht="24">
      <c r="A34" s="76" t="s">
        <v>203</v>
      </c>
      <c r="B34" s="76"/>
      <c r="C34" s="129" t="s">
        <v>204</v>
      </c>
      <c r="D34" s="80">
        <v>2907</v>
      </c>
      <c r="E34" s="81">
        <v>3146.3</v>
      </c>
      <c r="F34" s="81">
        <v>3354.4</v>
      </c>
      <c r="G34" s="82" t="e">
        <f>F34/#REF!*100</f>
        <v>#REF!</v>
      </c>
      <c r="H34" s="82">
        <f t="shared" si="4"/>
        <v>115.39043687650499</v>
      </c>
      <c r="I34" s="80">
        <f t="shared" si="5"/>
        <v>106.61411817054953</v>
      </c>
    </row>
    <row r="35" spans="1:9" ht="24">
      <c r="A35" s="130" t="s">
        <v>209</v>
      </c>
      <c r="B35" s="130"/>
      <c r="C35" s="129" t="s">
        <v>210</v>
      </c>
      <c r="D35" s="80">
        <v>28.5</v>
      </c>
      <c r="E35" s="81">
        <v>58.9</v>
      </c>
      <c r="F35" s="81">
        <v>58.9</v>
      </c>
      <c r="G35" s="82" t="e">
        <f>F35/#REF!*100</f>
        <v>#REF!</v>
      </c>
      <c r="H35" s="82">
        <f t="shared" si="4"/>
        <v>206.66666666666663</v>
      </c>
      <c r="I35" s="80">
        <f t="shared" si="5"/>
        <v>100</v>
      </c>
    </row>
    <row r="36" spans="1:9" ht="12.75">
      <c r="A36" s="132" t="s">
        <v>215</v>
      </c>
      <c r="B36" s="133"/>
      <c r="C36" s="79" t="s">
        <v>216</v>
      </c>
      <c r="D36" s="80"/>
      <c r="E36" s="81"/>
      <c r="F36" s="81"/>
      <c r="G36" s="82"/>
      <c r="H36" s="82"/>
      <c r="I36" s="80" t="e">
        <f t="shared" si="5"/>
        <v>#DIV/0!</v>
      </c>
    </row>
    <row r="37" spans="1:9" ht="12.75">
      <c r="A37" s="126" t="s">
        <v>219</v>
      </c>
      <c r="B37" s="126"/>
      <c r="C37" s="134" t="s">
        <v>220</v>
      </c>
      <c r="D37" s="135">
        <f>D38</f>
        <v>4644.5</v>
      </c>
      <c r="E37" s="135">
        <f>E38</f>
        <v>6022.9</v>
      </c>
      <c r="F37" s="135">
        <f>F38</f>
        <v>6021.7</v>
      </c>
      <c r="G37" s="135" t="e">
        <f>G38</f>
        <v>#REF!</v>
      </c>
      <c r="H37" s="128">
        <f>F37/D37*100</f>
        <v>129.65227688664012</v>
      </c>
      <c r="I37" s="136">
        <f t="shared" si="5"/>
        <v>99.98007604310217</v>
      </c>
    </row>
    <row r="38" spans="1:9" ht="24">
      <c r="A38" s="77" t="s">
        <v>221</v>
      </c>
      <c r="B38" s="75"/>
      <c r="C38" s="137" t="s">
        <v>222</v>
      </c>
      <c r="D38" s="80">
        <v>4644.5</v>
      </c>
      <c r="E38" s="142">
        <v>6022.9</v>
      </c>
      <c r="F38" s="81">
        <v>6021.7</v>
      </c>
      <c r="G38" s="82" t="e">
        <f>F38/#REF!*100</f>
        <v>#REF!</v>
      </c>
      <c r="H38" s="82">
        <f>F38/D38*100</f>
        <v>129.65227688664012</v>
      </c>
      <c r="I38" s="80">
        <f t="shared" si="5"/>
        <v>99.98007604310217</v>
      </c>
    </row>
    <row r="39" spans="1:9" ht="12.75">
      <c r="A39" s="85"/>
      <c r="B39" s="86"/>
      <c r="C39" s="87" t="s">
        <v>229</v>
      </c>
      <c r="D39" s="88">
        <f>D37+D30</f>
        <v>19424</v>
      </c>
      <c r="E39" s="88">
        <f>E37+E30</f>
        <v>21068.1</v>
      </c>
      <c r="F39" s="88">
        <f>F37+F30</f>
        <v>21622.8</v>
      </c>
      <c r="G39" s="128" t="e">
        <f>F39/#REF!*100</f>
        <v>#REF!</v>
      </c>
      <c r="H39" s="128">
        <f>F39/D39*100</f>
        <v>111.32001647446457</v>
      </c>
      <c r="I39" s="136">
        <f t="shared" si="5"/>
        <v>102.63289048371709</v>
      </c>
    </row>
    <row r="40" spans="1:9" ht="12.75">
      <c r="A40" s="143"/>
      <c r="B40" s="144"/>
      <c r="C40" s="198"/>
      <c r="D40" s="198"/>
      <c r="E40" s="198"/>
      <c r="F40" s="198"/>
      <c r="G40" s="198"/>
      <c r="H40" s="199"/>
      <c r="I40" s="139"/>
    </row>
    <row r="41" spans="1:9" ht="12.75">
      <c r="A41" s="191" t="s">
        <v>231</v>
      </c>
      <c r="B41" s="191"/>
      <c r="C41" s="191"/>
      <c r="D41" s="191"/>
      <c r="E41" s="191"/>
      <c r="F41" s="191"/>
      <c r="G41" s="191"/>
      <c r="H41" s="191"/>
      <c r="I41" s="191"/>
    </row>
    <row r="42" spans="1:9" ht="12.75">
      <c r="A42" s="126" t="s">
        <v>191</v>
      </c>
      <c r="B42" s="126"/>
      <c r="C42" s="127" t="s">
        <v>192</v>
      </c>
      <c r="D42" s="128">
        <f>D43+D45+D47+D48+D49+D50+D46+D44</f>
        <v>12257.8</v>
      </c>
      <c r="E42" s="128">
        <f>E43+E45+E47+E48+E49+E50+E46+E44</f>
        <v>14728.2</v>
      </c>
      <c r="F42" s="128">
        <f>F43+F45+F47+F48+F49+F50+F46+F44</f>
        <v>15061.5</v>
      </c>
      <c r="G42" s="128" t="e">
        <f>F42/#REF!*100</f>
        <v>#REF!</v>
      </c>
      <c r="H42" s="128">
        <f>F42/D42*100</f>
        <v>122.8727830442657</v>
      </c>
      <c r="I42" s="128">
        <f aca="true" t="shared" si="6" ref="I42:I49">F42*100/E42</f>
        <v>102.26300566260642</v>
      </c>
    </row>
    <row r="43" spans="1:9" ht="12.75">
      <c r="A43" s="85" t="s">
        <v>193</v>
      </c>
      <c r="B43" s="75"/>
      <c r="C43" s="140" t="s">
        <v>194</v>
      </c>
      <c r="D43" s="80">
        <v>10027.8</v>
      </c>
      <c r="E43" s="81">
        <v>11057</v>
      </c>
      <c r="F43" s="141">
        <v>11186.1</v>
      </c>
      <c r="G43" s="82" t="e">
        <f>F43/#REF!*100</f>
        <v>#REF!</v>
      </c>
      <c r="H43" s="82">
        <f>F43/D43*100</f>
        <v>111.55088852988693</v>
      </c>
      <c r="I43" s="80">
        <f t="shared" si="6"/>
        <v>101.16758614452382</v>
      </c>
    </row>
    <row r="44" spans="1:9" ht="12.75">
      <c r="A44" s="75" t="s">
        <v>195</v>
      </c>
      <c r="B44" s="75"/>
      <c r="C44" s="129" t="s">
        <v>196</v>
      </c>
      <c r="D44" s="80">
        <v>6</v>
      </c>
      <c r="E44" s="81">
        <v>7.3</v>
      </c>
      <c r="F44" s="141">
        <v>7.3</v>
      </c>
      <c r="G44" s="82" t="e">
        <f>F44/#REF!*100</f>
        <v>#REF!</v>
      </c>
      <c r="H44" s="82">
        <f>F44/D44*100</f>
        <v>121.66666666666666</v>
      </c>
      <c r="I44" s="80">
        <f t="shared" si="6"/>
        <v>100</v>
      </c>
    </row>
    <row r="45" spans="1:9" ht="12.75">
      <c r="A45" s="75" t="s">
        <v>197</v>
      </c>
      <c r="B45" s="75"/>
      <c r="C45" s="129" t="s">
        <v>198</v>
      </c>
      <c r="D45" s="80">
        <v>1630</v>
      </c>
      <c r="E45" s="81">
        <v>1456.4</v>
      </c>
      <c r="F45" s="81">
        <v>1474.2</v>
      </c>
      <c r="G45" s="82" t="e">
        <f>F45/#REF!*100</f>
        <v>#REF!</v>
      </c>
      <c r="H45" s="82">
        <f>F45/D45*100</f>
        <v>90.44171779141105</v>
      </c>
      <c r="I45" s="80">
        <f t="shared" si="6"/>
        <v>101.22219170557538</v>
      </c>
    </row>
    <row r="46" spans="1:9" ht="12.75">
      <c r="A46" s="75" t="s">
        <v>199</v>
      </c>
      <c r="B46" s="75"/>
      <c r="C46" s="129" t="s">
        <v>200</v>
      </c>
      <c r="D46" s="80"/>
      <c r="E46" s="81"/>
      <c r="F46" s="81"/>
      <c r="G46" s="82"/>
      <c r="H46" s="82"/>
      <c r="I46" s="80" t="e">
        <f t="shared" si="6"/>
        <v>#DIV/0!</v>
      </c>
    </row>
    <row r="47" spans="1:9" ht="24">
      <c r="A47" s="76" t="s">
        <v>203</v>
      </c>
      <c r="B47" s="76"/>
      <c r="C47" s="129" t="s">
        <v>204</v>
      </c>
      <c r="D47" s="80">
        <v>465</v>
      </c>
      <c r="E47" s="81">
        <v>1863.6</v>
      </c>
      <c r="F47" s="81">
        <v>2030.1</v>
      </c>
      <c r="G47" s="82" t="e">
        <f>F47/#REF!*100</f>
        <v>#REF!</v>
      </c>
      <c r="H47" s="82">
        <f>F47/D47*100</f>
        <v>436.58064516129025</v>
      </c>
      <c r="I47" s="80">
        <f t="shared" si="6"/>
        <v>108.9343206696716</v>
      </c>
    </row>
    <row r="48" spans="1:9" ht="24">
      <c r="A48" s="131" t="s">
        <v>209</v>
      </c>
      <c r="B48" s="131"/>
      <c r="C48" s="129" t="s">
        <v>210</v>
      </c>
      <c r="D48" s="80">
        <v>129</v>
      </c>
      <c r="E48" s="81">
        <v>322.2</v>
      </c>
      <c r="F48" s="81">
        <v>342.1</v>
      </c>
      <c r="G48" s="82" t="e">
        <f>F48/#REF!*100</f>
        <v>#REF!</v>
      </c>
      <c r="H48" s="82">
        <f>F48/D48*100</f>
        <v>265.1937984496124</v>
      </c>
      <c r="I48" s="80">
        <f t="shared" si="6"/>
        <v>106.17628801986345</v>
      </c>
    </row>
    <row r="49" spans="1:9" ht="12.75">
      <c r="A49" s="85" t="s">
        <v>213</v>
      </c>
      <c r="B49" s="85"/>
      <c r="C49" s="129" t="s">
        <v>214</v>
      </c>
      <c r="D49" s="80"/>
      <c r="E49" s="81">
        <v>21.7</v>
      </c>
      <c r="F49" s="81">
        <v>949.4</v>
      </c>
      <c r="G49" s="82" t="e">
        <f>F49/#REF!*100</f>
        <v>#REF!</v>
      </c>
      <c r="H49" s="82"/>
      <c r="I49" s="80">
        <f t="shared" si="6"/>
        <v>4375.115207373272</v>
      </c>
    </row>
    <row r="50" spans="1:9" ht="12.75">
      <c r="A50" s="145" t="s">
        <v>215</v>
      </c>
      <c r="B50" s="133"/>
      <c r="C50" s="79" t="s">
        <v>216</v>
      </c>
      <c r="D50" s="80"/>
      <c r="E50" s="81"/>
      <c r="F50" s="81">
        <v>-927.7</v>
      </c>
      <c r="G50" s="82"/>
      <c r="H50" s="82"/>
      <c r="I50" s="80"/>
    </row>
    <row r="51" spans="1:9" ht="12.75">
      <c r="A51" s="146" t="s">
        <v>219</v>
      </c>
      <c r="B51" s="146"/>
      <c r="C51" s="134" t="s">
        <v>220</v>
      </c>
      <c r="D51" s="135">
        <f>D52+D53</f>
        <v>26372.7</v>
      </c>
      <c r="E51" s="135">
        <f>E52+E53</f>
        <v>42138.8</v>
      </c>
      <c r="F51" s="135">
        <f>F52+F53</f>
        <v>42128.8</v>
      </c>
      <c r="G51" s="128" t="e">
        <f>F51/#REF!*100</f>
        <v>#REF!</v>
      </c>
      <c r="H51" s="128">
        <f>F51/D51*100</f>
        <v>159.74397767388245</v>
      </c>
      <c r="I51" s="136">
        <f>F51*100/E51</f>
        <v>99.9762689018197</v>
      </c>
    </row>
    <row r="52" spans="1:9" ht="24">
      <c r="A52" s="77" t="s">
        <v>221</v>
      </c>
      <c r="B52" s="75"/>
      <c r="C52" s="137" t="s">
        <v>222</v>
      </c>
      <c r="D52" s="80">
        <v>26372.7</v>
      </c>
      <c r="E52" s="81">
        <v>42140.5</v>
      </c>
      <c r="F52" s="81">
        <v>42130.5</v>
      </c>
      <c r="G52" s="82" t="e">
        <f>F52/#REF!*100</f>
        <v>#REF!</v>
      </c>
      <c r="H52" s="82">
        <f>F52/D52*100</f>
        <v>159.75042373363365</v>
      </c>
      <c r="I52" s="80">
        <f>F52*100/E52</f>
        <v>99.97626985916162</v>
      </c>
    </row>
    <row r="53" spans="1:9" ht="36">
      <c r="A53" s="77" t="s">
        <v>227</v>
      </c>
      <c r="B53" s="83"/>
      <c r="C53" s="84" t="s">
        <v>228</v>
      </c>
      <c r="D53" s="80"/>
      <c r="E53" s="147">
        <v>-1.7</v>
      </c>
      <c r="F53" s="81">
        <v>-1.7</v>
      </c>
      <c r="G53" s="82" t="e">
        <f>F53/#REF!*100</f>
        <v>#REF!</v>
      </c>
      <c r="H53" s="82"/>
      <c r="I53" s="80">
        <f>F53*100/E53</f>
        <v>100</v>
      </c>
    </row>
    <row r="54" spans="1:9" ht="12.75">
      <c r="A54" s="76"/>
      <c r="B54" s="148"/>
      <c r="C54" s="149" t="s">
        <v>229</v>
      </c>
      <c r="D54" s="150">
        <f>D51+D42</f>
        <v>38630.5</v>
      </c>
      <c r="E54" s="150">
        <f>E51+E42</f>
        <v>56867</v>
      </c>
      <c r="F54" s="150">
        <f>F51+F42</f>
        <v>57190.3</v>
      </c>
      <c r="G54" s="128" t="e">
        <f>F54/#REF!*100</f>
        <v>#REF!</v>
      </c>
      <c r="H54" s="128">
        <f>F54/D54*100</f>
        <v>148.04442085916568</v>
      </c>
      <c r="I54" s="136">
        <f>F54*100/E54</f>
        <v>100.56851952802153</v>
      </c>
    </row>
    <row r="55" spans="1:9" ht="12.75">
      <c r="A55" s="192"/>
      <c r="B55" s="193"/>
      <c r="C55" s="193"/>
      <c r="D55" s="193"/>
      <c r="E55" s="193"/>
      <c r="F55" s="193"/>
      <c r="G55" s="193"/>
      <c r="H55" s="194"/>
      <c r="I55" s="139"/>
    </row>
    <row r="56" spans="1:9" ht="12.75">
      <c r="A56" s="191" t="s">
        <v>232</v>
      </c>
      <c r="B56" s="191"/>
      <c r="C56" s="191"/>
      <c r="D56" s="191"/>
      <c r="E56" s="191"/>
      <c r="F56" s="191"/>
      <c r="G56" s="191"/>
      <c r="H56" s="191"/>
      <c r="I56" s="191"/>
    </row>
    <row r="57" spans="1:9" ht="12.75">
      <c r="A57" s="146" t="s">
        <v>191</v>
      </c>
      <c r="B57" s="146"/>
      <c r="C57" s="151" t="s">
        <v>192</v>
      </c>
      <c r="D57" s="136">
        <f>D58+D60+D62+D64+D61+D66+D65+D59+D63</f>
        <v>33164.2</v>
      </c>
      <c r="E57" s="136">
        <f>E58+E60+E62+E64+E61+E66+E65+E59+E63</f>
        <v>33909.49999999999</v>
      </c>
      <c r="F57" s="136">
        <f>F58+F60+F62+F64+F61+F66+F65+F59+F63</f>
        <v>31415.199999999997</v>
      </c>
      <c r="G57" s="136" t="e">
        <f>F57/#REF!*100</f>
        <v>#REF!</v>
      </c>
      <c r="H57" s="136">
        <f aca="true" t="shared" si="7" ref="H57:H64">F57/D57*100</f>
        <v>94.72624094656285</v>
      </c>
      <c r="I57" s="136">
        <f aca="true" t="shared" si="8" ref="I57:I70">F57*100/E57</f>
        <v>92.64424423834029</v>
      </c>
    </row>
    <row r="58" spans="1:9" ht="12.75">
      <c r="A58" s="75" t="s">
        <v>193</v>
      </c>
      <c r="B58" s="75"/>
      <c r="C58" s="140" t="s">
        <v>194</v>
      </c>
      <c r="D58" s="82">
        <v>18043.7</v>
      </c>
      <c r="E58" s="141">
        <v>16871.9</v>
      </c>
      <c r="F58" s="141">
        <v>15948.3</v>
      </c>
      <c r="G58" s="82" t="e">
        <f>F58/#REF!*100</f>
        <v>#REF!</v>
      </c>
      <c r="H58" s="82">
        <f t="shared" si="7"/>
        <v>88.38708247199853</v>
      </c>
      <c r="I58" s="82">
        <f t="shared" si="8"/>
        <v>94.52580918568744</v>
      </c>
    </row>
    <row r="59" spans="1:9" ht="12.75">
      <c r="A59" s="75" t="s">
        <v>195</v>
      </c>
      <c r="B59" s="75"/>
      <c r="C59" s="129" t="s">
        <v>196</v>
      </c>
      <c r="D59" s="80">
        <v>6.5</v>
      </c>
      <c r="E59" s="81">
        <v>30</v>
      </c>
      <c r="F59" s="81">
        <v>29.7</v>
      </c>
      <c r="G59" s="82" t="e">
        <f>F59/#REF!*100</f>
        <v>#REF!</v>
      </c>
      <c r="H59" s="82">
        <f t="shared" si="7"/>
        <v>456.9230769230769</v>
      </c>
      <c r="I59" s="80">
        <f t="shared" si="8"/>
        <v>99</v>
      </c>
    </row>
    <row r="60" spans="1:9" ht="12.75">
      <c r="A60" s="75" t="s">
        <v>197</v>
      </c>
      <c r="B60" s="75"/>
      <c r="C60" s="129" t="s">
        <v>198</v>
      </c>
      <c r="D60" s="80">
        <v>8054</v>
      </c>
      <c r="E60" s="81">
        <v>8114</v>
      </c>
      <c r="F60" s="81">
        <v>6136.5</v>
      </c>
      <c r="G60" s="82" t="e">
        <f>F60/#REF!*100</f>
        <v>#REF!</v>
      </c>
      <c r="H60" s="82">
        <f t="shared" si="7"/>
        <v>76.19195430841818</v>
      </c>
      <c r="I60" s="80">
        <f t="shared" si="8"/>
        <v>75.62854325856544</v>
      </c>
    </row>
    <row r="61" spans="1:9" ht="12.75">
      <c r="A61" s="75" t="s">
        <v>199</v>
      </c>
      <c r="B61" s="75"/>
      <c r="C61" s="129" t="s">
        <v>200</v>
      </c>
      <c r="D61" s="80"/>
      <c r="E61" s="81">
        <v>10.6</v>
      </c>
      <c r="F61" s="81">
        <v>10.6</v>
      </c>
      <c r="G61" s="82"/>
      <c r="H61" s="82"/>
      <c r="I61" s="80">
        <f t="shared" si="8"/>
        <v>100</v>
      </c>
    </row>
    <row r="62" spans="1:9" ht="24">
      <c r="A62" s="76" t="s">
        <v>203</v>
      </c>
      <c r="B62" s="76"/>
      <c r="C62" s="129" t="s">
        <v>204</v>
      </c>
      <c r="D62" s="80">
        <v>6623.5</v>
      </c>
      <c r="E62" s="81">
        <v>6903.5</v>
      </c>
      <c r="F62" s="81">
        <v>7036.9</v>
      </c>
      <c r="G62" s="82" t="e">
        <f>F62/#REF!*100</f>
        <v>#REF!</v>
      </c>
      <c r="H62" s="82">
        <f t="shared" si="7"/>
        <v>106.2414131501472</v>
      </c>
      <c r="I62" s="80">
        <f t="shared" si="8"/>
        <v>101.93235315419714</v>
      </c>
    </row>
    <row r="63" spans="1:9" ht="24">
      <c r="A63" s="131" t="s">
        <v>207</v>
      </c>
      <c r="B63" s="131"/>
      <c r="C63" s="129" t="s">
        <v>208</v>
      </c>
      <c r="D63" s="80"/>
      <c r="E63" s="81">
        <v>19.7</v>
      </c>
      <c r="F63" s="81">
        <v>19.7</v>
      </c>
      <c r="G63" s="82" t="e">
        <f>F63/#REF!*100</f>
        <v>#REF!</v>
      </c>
      <c r="H63" s="82"/>
      <c r="I63" s="80">
        <f t="shared" si="8"/>
        <v>100</v>
      </c>
    </row>
    <row r="64" spans="1:9" ht="24">
      <c r="A64" s="130" t="s">
        <v>209</v>
      </c>
      <c r="B64" s="130"/>
      <c r="C64" s="129" t="s">
        <v>210</v>
      </c>
      <c r="D64" s="80">
        <v>436.5</v>
      </c>
      <c r="E64" s="81">
        <v>902.7</v>
      </c>
      <c r="F64" s="81">
        <v>936</v>
      </c>
      <c r="G64" s="82" t="e">
        <f>F64/#REF!*100</f>
        <v>#REF!</v>
      </c>
      <c r="H64" s="82">
        <f t="shared" si="7"/>
        <v>214.43298969072166</v>
      </c>
      <c r="I64" s="80">
        <f t="shared" si="8"/>
        <v>103.6889332003988</v>
      </c>
    </row>
    <row r="65" spans="1:9" ht="12.75">
      <c r="A65" s="85" t="s">
        <v>213</v>
      </c>
      <c r="B65" s="85"/>
      <c r="C65" s="129" t="s">
        <v>214</v>
      </c>
      <c r="D65" s="80"/>
      <c r="E65" s="81">
        <v>974.1</v>
      </c>
      <c r="F65" s="81">
        <v>1201.5</v>
      </c>
      <c r="G65" s="82"/>
      <c r="H65" s="82"/>
      <c r="I65" s="80">
        <f t="shared" si="8"/>
        <v>123.34462580843855</v>
      </c>
    </row>
    <row r="66" spans="1:9" ht="12.75">
      <c r="A66" s="132" t="s">
        <v>215</v>
      </c>
      <c r="B66" s="133"/>
      <c r="C66" s="79" t="s">
        <v>216</v>
      </c>
      <c r="D66" s="80"/>
      <c r="E66" s="81">
        <v>83</v>
      </c>
      <c r="F66" s="81">
        <v>96</v>
      </c>
      <c r="G66" s="82"/>
      <c r="H66" s="82"/>
      <c r="I66" s="80">
        <f t="shared" si="8"/>
        <v>115.66265060240964</v>
      </c>
    </row>
    <row r="67" spans="1:9" ht="12.75">
      <c r="A67" s="126" t="s">
        <v>219</v>
      </c>
      <c r="B67" s="126"/>
      <c r="C67" s="134" t="s">
        <v>220</v>
      </c>
      <c r="D67" s="135">
        <f>D68+D69</f>
        <v>32714.9</v>
      </c>
      <c r="E67" s="135">
        <f>E68+E69</f>
        <v>47612.700000000004</v>
      </c>
      <c r="F67" s="135">
        <f>F68+F69</f>
        <v>45011.8</v>
      </c>
      <c r="G67" s="128" t="e">
        <f>F67/#REF!*100</f>
        <v>#REF!</v>
      </c>
      <c r="H67" s="128">
        <f>F67/D67*100</f>
        <v>137.58807149036068</v>
      </c>
      <c r="I67" s="136">
        <f t="shared" si="8"/>
        <v>94.53738183299834</v>
      </c>
    </row>
    <row r="68" spans="1:9" ht="24">
      <c r="A68" s="77" t="s">
        <v>221</v>
      </c>
      <c r="B68" s="75"/>
      <c r="C68" s="137" t="s">
        <v>222</v>
      </c>
      <c r="D68" s="80">
        <v>32714.9</v>
      </c>
      <c r="E68" s="81">
        <v>47632.4</v>
      </c>
      <c r="F68" s="81">
        <v>45031.5</v>
      </c>
      <c r="G68" s="82" t="e">
        <f>F68/#REF!*100</f>
        <v>#REF!</v>
      </c>
      <c r="H68" s="82">
        <f>F68/D68*100</f>
        <v>137.64828870025585</v>
      </c>
      <c r="I68" s="80">
        <f t="shared" si="8"/>
        <v>94.53964108463987</v>
      </c>
    </row>
    <row r="69" spans="1:9" ht="36">
      <c r="A69" s="77" t="s">
        <v>227</v>
      </c>
      <c r="B69" s="83"/>
      <c r="C69" s="84" t="s">
        <v>228</v>
      </c>
      <c r="D69" s="80"/>
      <c r="E69" s="81">
        <v>-19.7</v>
      </c>
      <c r="F69" s="81">
        <v>-19.7</v>
      </c>
      <c r="G69" s="82" t="e">
        <f>F69/#REF!*100</f>
        <v>#REF!</v>
      </c>
      <c r="H69" s="82"/>
      <c r="I69" s="80">
        <f t="shared" si="8"/>
        <v>100</v>
      </c>
    </row>
    <row r="70" spans="1:9" ht="12.75">
      <c r="A70" s="85"/>
      <c r="B70" s="86"/>
      <c r="C70" s="87" t="s">
        <v>229</v>
      </c>
      <c r="D70" s="88">
        <f>D67+D57</f>
        <v>65879.1</v>
      </c>
      <c r="E70" s="88">
        <f>E67+E57</f>
        <v>81522.2</v>
      </c>
      <c r="F70" s="88">
        <f>F67+F57</f>
        <v>76427</v>
      </c>
      <c r="G70" s="88" t="e">
        <f>G67+G57</f>
        <v>#REF!</v>
      </c>
      <c r="H70" s="128">
        <f>F70/D70*100</f>
        <v>116.01099590006541</v>
      </c>
      <c r="I70" s="136">
        <f t="shared" si="8"/>
        <v>93.74992333376676</v>
      </c>
    </row>
    <row r="71" spans="1:9" ht="12.75">
      <c r="A71" s="192"/>
      <c r="B71" s="193"/>
      <c r="C71" s="193"/>
      <c r="D71" s="193"/>
      <c r="E71" s="193"/>
      <c r="F71" s="193"/>
      <c r="G71" s="193"/>
      <c r="H71" s="194"/>
      <c r="I71" s="139"/>
    </row>
    <row r="72" spans="1:9" ht="12.75">
      <c r="A72" s="191" t="s">
        <v>233</v>
      </c>
      <c r="B72" s="191"/>
      <c r="C72" s="191"/>
      <c r="D72" s="191"/>
      <c r="E72" s="191"/>
      <c r="F72" s="191"/>
      <c r="G72" s="191"/>
      <c r="H72" s="191"/>
      <c r="I72" s="191"/>
    </row>
    <row r="73" spans="1:9" ht="12.75">
      <c r="A73" s="126" t="s">
        <v>191</v>
      </c>
      <c r="B73" s="126"/>
      <c r="C73" s="127" t="s">
        <v>192</v>
      </c>
      <c r="D73" s="128">
        <f>D74+D75+D76+D77+D78+D79+D80+D81+D82</f>
        <v>22061</v>
      </c>
      <c r="E73" s="128">
        <f>E74+E75+E76+E77+E78+E79+E80+E81+E82+E83</f>
        <v>24216.8</v>
      </c>
      <c r="F73" s="128">
        <f>F74+F75+F76+F77+F78+F79+F80+F81+F82+F83</f>
        <v>23791.600000000006</v>
      </c>
      <c r="G73" s="128" t="e">
        <f>F73/#REF!*100</f>
        <v>#REF!</v>
      </c>
      <c r="H73" s="128">
        <f>F73/D73*100</f>
        <v>107.84461266488377</v>
      </c>
      <c r="I73" s="128">
        <f aca="true" t="shared" si="9" ref="I73:I81">F73*100/E73</f>
        <v>98.24419411317766</v>
      </c>
    </row>
    <row r="74" spans="1:9" ht="12.75">
      <c r="A74" s="85" t="s">
        <v>193</v>
      </c>
      <c r="B74" s="85"/>
      <c r="C74" s="129" t="s">
        <v>194</v>
      </c>
      <c r="D74" s="80">
        <v>14559</v>
      </c>
      <c r="E74" s="81">
        <v>14606.9</v>
      </c>
      <c r="F74" s="81">
        <v>14518.5</v>
      </c>
      <c r="G74" s="82" t="e">
        <f>F74/#REF!*100</f>
        <v>#REF!</v>
      </c>
      <c r="H74" s="82">
        <f>F74/D74*100</f>
        <v>99.72182155367814</v>
      </c>
      <c r="I74" s="80">
        <f t="shared" si="9"/>
        <v>99.39480656402111</v>
      </c>
    </row>
    <row r="75" spans="1:9" ht="12.75">
      <c r="A75" s="75" t="s">
        <v>195</v>
      </c>
      <c r="B75" s="75"/>
      <c r="C75" s="129" t="s">
        <v>196</v>
      </c>
      <c r="D75" s="80"/>
      <c r="E75" s="81"/>
      <c r="F75" s="81"/>
      <c r="G75" s="82"/>
      <c r="H75" s="82"/>
      <c r="I75" s="80" t="e">
        <f t="shared" si="9"/>
        <v>#DIV/0!</v>
      </c>
    </row>
    <row r="76" spans="1:9" ht="12.75">
      <c r="A76" s="75" t="s">
        <v>197</v>
      </c>
      <c r="B76" s="75"/>
      <c r="C76" s="129" t="s">
        <v>198</v>
      </c>
      <c r="D76" s="80">
        <v>873</v>
      </c>
      <c r="E76" s="81">
        <v>1480.4</v>
      </c>
      <c r="F76" s="81">
        <v>1622.2</v>
      </c>
      <c r="G76" s="82" t="e">
        <f>F76/#REF!*100</f>
        <v>#REF!</v>
      </c>
      <c r="H76" s="82">
        <f>F76/D76*100</f>
        <v>185.81901489117985</v>
      </c>
      <c r="I76" s="80">
        <f t="shared" si="9"/>
        <v>109.57849229937854</v>
      </c>
    </row>
    <row r="77" spans="1:9" ht="12.75">
      <c r="A77" s="75" t="s">
        <v>199</v>
      </c>
      <c r="B77" s="75"/>
      <c r="C77" s="129" t="s">
        <v>200</v>
      </c>
      <c r="D77" s="80"/>
      <c r="E77" s="81"/>
      <c r="F77" s="81"/>
      <c r="G77" s="82"/>
      <c r="H77" s="82"/>
      <c r="I77" s="80" t="e">
        <f t="shared" si="9"/>
        <v>#DIV/0!</v>
      </c>
    </row>
    <row r="78" spans="1:9" ht="24">
      <c r="A78" s="76" t="s">
        <v>203</v>
      </c>
      <c r="B78" s="76"/>
      <c r="C78" s="129" t="s">
        <v>204</v>
      </c>
      <c r="D78" s="80">
        <v>5527</v>
      </c>
      <c r="E78" s="81">
        <v>6233.2</v>
      </c>
      <c r="F78" s="81">
        <v>5811.1</v>
      </c>
      <c r="G78" s="82" t="e">
        <f>F78/#REF!*100</f>
        <v>#REF!</v>
      </c>
      <c r="H78" s="82">
        <f>F78/D78*100</f>
        <v>105.14022073457572</v>
      </c>
      <c r="I78" s="80">
        <f t="shared" si="9"/>
        <v>93.22819739459668</v>
      </c>
    </row>
    <row r="79" spans="1:9" ht="24">
      <c r="A79" s="131" t="s">
        <v>207</v>
      </c>
      <c r="B79" s="131"/>
      <c r="C79" s="129" t="s">
        <v>208</v>
      </c>
      <c r="D79" s="80">
        <v>466</v>
      </c>
      <c r="E79" s="81">
        <v>432.1</v>
      </c>
      <c r="F79" s="81">
        <v>426.7</v>
      </c>
      <c r="G79" s="82" t="e">
        <f>F79/#REF!*100</f>
        <v>#REF!</v>
      </c>
      <c r="H79" s="82">
        <f>F79/D79*100</f>
        <v>91.56652360515021</v>
      </c>
      <c r="I79" s="80">
        <f t="shared" si="9"/>
        <v>98.75028928488776</v>
      </c>
    </row>
    <row r="80" spans="1:9" ht="24">
      <c r="A80" s="130" t="s">
        <v>209</v>
      </c>
      <c r="B80" s="130"/>
      <c r="C80" s="129" t="s">
        <v>210</v>
      </c>
      <c r="D80" s="80">
        <v>636</v>
      </c>
      <c r="E80" s="81">
        <v>1464.2</v>
      </c>
      <c r="F80" s="81">
        <v>1469.7</v>
      </c>
      <c r="G80" s="82" t="e">
        <f>F80/#REF!*100</f>
        <v>#REF!</v>
      </c>
      <c r="H80" s="82">
        <f>F80/D80*100</f>
        <v>231.0849056603774</v>
      </c>
      <c r="I80" s="80">
        <f t="shared" si="9"/>
        <v>100.37563174429722</v>
      </c>
    </row>
    <row r="81" spans="1:9" ht="12.75">
      <c r="A81" s="85" t="s">
        <v>213</v>
      </c>
      <c r="B81" s="85"/>
      <c r="C81" s="129" t="s">
        <v>214</v>
      </c>
      <c r="D81" s="80"/>
      <c r="E81" s="81"/>
      <c r="F81" s="81"/>
      <c r="G81" s="128"/>
      <c r="H81" s="128"/>
      <c r="I81" s="80" t="e">
        <f t="shared" si="9"/>
        <v>#DIV/0!</v>
      </c>
    </row>
    <row r="82" spans="1:9" ht="12.75">
      <c r="A82" s="132" t="s">
        <v>215</v>
      </c>
      <c r="B82" s="133"/>
      <c r="C82" s="79" t="s">
        <v>216</v>
      </c>
      <c r="D82" s="80"/>
      <c r="E82" s="81"/>
      <c r="F82" s="81">
        <v>-56.6</v>
      </c>
      <c r="G82" s="128"/>
      <c r="H82" s="128"/>
      <c r="I82" s="80"/>
    </row>
    <row r="83" spans="1:9" ht="12.75">
      <c r="A83" s="132" t="s">
        <v>217</v>
      </c>
      <c r="B83" s="133"/>
      <c r="C83" s="79" t="s">
        <v>218</v>
      </c>
      <c r="D83" s="80" t="e">
        <f>E83+#REF!+#REF!+#REF!</f>
        <v>#REF!</v>
      </c>
      <c r="E83" s="81"/>
      <c r="F83" s="81"/>
      <c r="G83" s="128"/>
      <c r="H83" s="128"/>
      <c r="I83" s="80" t="e">
        <f>F83*100/E83</f>
        <v>#DIV/0!</v>
      </c>
    </row>
    <row r="84" spans="1:9" ht="12.75">
      <c r="A84" s="126" t="s">
        <v>219</v>
      </c>
      <c r="B84" s="126"/>
      <c r="C84" s="134" t="s">
        <v>220</v>
      </c>
      <c r="D84" s="135">
        <f>D85+D86</f>
        <v>63596</v>
      </c>
      <c r="E84" s="135">
        <f>E85+E86</f>
        <v>94185.59999999999</v>
      </c>
      <c r="F84" s="135">
        <f>F85+F86</f>
        <v>94163.5</v>
      </c>
      <c r="G84" s="128" t="e">
        <f>F84/#REF!*100</f>
        <v>#REF!</v>
      </c>
      <c r="H84" s="128">
        <f>F84/D84*100</f>
        <v>148.06512988238254</v>
      </c>
      <c r="I84" s="136">
        <f>F84*100/E84</f>
        <v>99.97653569123094</v>
      </c>
    </row>
    <row r="85" spans="1:9" ht="24">
      <c r="A85" s="77" t="s">
        <v>221</v>
      </c>
      <c r="B85" s="75"/>
      <c r="C85" s="137" t="s">
        <v>222</v>
      </c>
      <c r="D85" s="80">
        <v>63596</v>
      </c>
      <c r="E85" s="81">
        <v>85978.4</v>
      </c>
      <c r="F85" s="81">
        <v>85957.9</v>
      </c>
      <c r="G85" s="82" t="e">
        <f>F85/#REF!*100</f>
        <v>#REF!</v>
      </c>
      <c r="H85" s="82">
        <f>F85/D85*100</f>
        <v>135.16243159947166</v>
      </c>
      <c r="I85" s="80">
        <f>F85*100/E85</f>
        <v>99.97615680217358</v>
      </c>
    </row>
    <row r="86" spans="1:9" ht="12.75">
      <c r="A86" s="77" t="s">
        <v>223</v>
      </c>
      <c r="B86" s="77"/>
      <c r="C86" s="138" t="s">
        <v>224</v>
      </c>
      <c r="D86" s="80"/>
      <c r="E86" s="81">
        <v>8207.2</v>
      </c>
      <c r="F86" s="81">
        <v>8205.6</v>
      </c>
      <c r="G86" s="82" t="e">
        <f>F86/#REF!*100</f>
        <v>#REF!</v>
      </c>
      <c r="H86" s="82"/>
      <c r="I86" s="80">
        <f>F86*100/E86</f>
        <v>99.98050492250705</v>
      </c>
    </row>
    <row r="87" spans="1:9" ht="12.75">
      <c r="A87" s="85"/>
      <c r="B87" s="86"/>
      <c r="C87" s="87" t="s">
        <v>229</v>
      </c>
      <c r="D87" s="88">
        <f>D84+D73</f>
        <v>85657</v>
      </c>
      <c r="E87" s="88">
        <f>E84+E73</f>
        <v>118402.4</v>
      </c>
      <c r="F87" s="88">
        <f>F84+F73</f>
        <v>117955.1</v>
      </c>
      <c r="G87" s="128" t="e">
        <f>F87/#REF!*100</f>
        <v>#REF!</v>
      </c>
      <c r="H87" s="128">
        <f>F87/D87*100</f>
        <v>137.70631705523192</v>
      </c>
      <c r="I87" s="136">
        <f>F87*100/E87</f>
        <v>99.6222204955305</v>
      </c>
    </row>
    <row r="88" spans="1:9" ht="12.75">
      <c r="A88" s="192"/>
      <c r="B88" s="193"/>
      <c r="C88" s="193"/>
      <c r="D88" s="193"/>
      <c r="E88" s="193"/>
      <c r="F88" s="193"/>
      <c r="G88" s="193"/>
      <c r="H88" s="194"/>
      <c r="I88" s="139"/>
    </row>
    <row r="89" spans="1:9" ht="12.75">
      <c r="A89" s="191" t="s">
        <v>234</v>
      </c>
      <c r="B89" s="191"/>
      <c r="C89" s="191"/>
      <c r="D89" s="191"/>
      <c r="E89" s="191"/>
      <c r="F89" s="191"/>
      <c r="G89" s="191"/>
      <c r="H89" s="191"/>
      <c r="I89" s="191"/>
    </row>
    <row r="90" spans="1:9" ht="12.75">
      <c r="A90" s="126" t="s">
        <v>191</v>
      </c>
      <c r="B90" s="126"/>
      <c r="C90" s="127" t="s">
        <v>192</v>
      </c>
      <c r="D90" s="128">
        <f>D91+D92+D96+D93+D94+D97+D95</f>
        <v>1451.5</v>
      </c>
      <c r="E90" s="128">
        <f>E91+E92+E96+E93+E94+E97+E95</f>
        <v>2553.7999999999997</v>
      </c>
      <c r="F90" s="128">
        <f>F91+F92+F96+F93+F94+F97+F95</f>
        <v>2717.1999999999994</v>
      </c>
      <c r="G90" s="128" t="e">
        <f>F90/#REF!*100</f>
        <v>#REF!</v>
      </c>
      <c r="H90" s="128">
        <f>F90/D90*100</f>
        <v>187.1994488460213</v>
      </c>
      <c r="I90" s="128">
        <f aca="true" t="shared" si="10" ref="I90:I101">F90*100/E90</f>
        <v>106.3983084031639</v>
      </c>
    </row>
    <row r="91" spans="1:9" ht="12.75">
      <c r="A91" s="85" t="s">
        <v>193</v>
      </c>
      <c r="B91" s="85"/>
      <c r="C91" s="129" t="s">
        <v>194</v>
      </c>
      <c r="D91" s="80">
        <v>1294.5</v>
      </c>
      <c r="E91" s="81">
        <v>2356.7</v>
      </c>
      <c r="F91" s="81">
        <v>2508.6</v>
      </c>
      <c r="G91" s="82"/>
      <c r="H91" s="82">
        <f>F91/D91*100</f>
        <v>193.78910776361528</v>
      </c>
      <c r="I91" s="80">
        <f t="shared" si="10"/>
        <v>106.44545338821234</v>
      </c>
    </row>
    <row r="92" spans="1:9" ht="12.75">
      <c r="A92" s="75" t="s">
        <v>197</v>
      </c>
      <c r="B92" s="75"/>
      <c r="C92" s="129" t="s">
        <v>198</v>
      </c>
      <c r="D92" s="80">
        <v>86</v>
      </c>
      <c r="E92" s="81">
        <v>36</v>
      </c>
      <c r="F92" s="81">
        <v>36.2</v>
      </c>
      <c r="G92" s="82"/>
      <c r="H92" s="82">
        <f aca="true" t="shared" si="11" ref="H92:H99">F92/D92*100</f>
        <v>42.093023255813954</v>
      </c>
      <c r="I92" s="80">
        <f t="shared" si="10"/>
        <v>100.55555555555557</v>
      </c>
    </row>
    <row r="93" spans="1:9" ht="12.75">
      <c r="A93" s="75" t="s">
        <v>199</v>
      </c>
      <c r="B93" s="75"/>
      <c r="C93" s="129" t="s">
        <v>200</v>
      </c>
      <c r="D93" s="80">
        <v>10</v>
      </c>
      <c r="E93" s="81">
        <v>5</v>
      </c>
      <c r="F93" s="81">
        <v>5.4</v>
      </c>
      <c r="G93" s="82"/>
      <c r="H93" s="82">
        <f t="shared" si="11"/>
        <v>54</v>
      </c>
      <c r="I93" s="80">
        <f t="shared" si="10"/>
        <v>108</v>
      </c>
    </row>
    <row r="94" spans="1:9" ht="24">
      <c r="A94" s="76" t="s">
        <v>203</v>
      </c>
      <c r="B94" s="76"/>
      <c r="C94" s="129" t="s">
        <v>204</v>
      </c>
      <c r="D94" s="80">
        <v>60</v>
      </c>
      <c r="E94" s="81">
        <v>114.5</v>
      </c>
      <c r="F94" s="81">
        <v>125.7</v>
      </c>
      <c r="G94" s="82"/>
      <c r="H94" s="82">
        <f t="shared" si="11"/>
        <v>209.50000000000003</v>
      </c>
      <c r="I94" s="80">
        <f t="shared" si="10"/>
        <v>109.78165938864629</v>
      </c>
    </row>
    <row r="95" spans="1:9" ht="24">
      <c r="A95" s="131" t="s">
        <v>207</v>
      </c>
      <c r="B95" s="131"/>
      <c r="C95" s="129" t="s">
        <v>208</v>
      </c>
      <c r="D95" s="80"/>
      <c r="E95" s="81">
        <v>34.1</v>
      </c>
      <c r="F95" s="81">
        <v>34.1</v>
      </c>
      <c r="G95" s="82"/>
      <c r="H95" s="82"/>
      <c r="I95" s="80">
        <f t="shared" si="10"/>
        <v>100</v>
      </c>
    </row>
    <row r="96" spans="1:9" ht="24">
      <c r="A96" s="131" t="s">
        <v>209</v>
      </c>
      <c r="B96" s="131"/>
      <c r="C96" s="129" t="s">
        <v>210</v>
      </c>
      <c r="D96" s="80">
        <v>1</v>
      </c>
      <c r="E96" s="81">
        <v>7.5</v>
      </c>
      <c r="F96" s="81">
        <v>7.2</v>
      </c>
      <c r="G96" s="82"/>
      <c r="H96" s="82">
        <f t="shared" si="11"/>
        <v>720</v>
      </c>
      <c r="I96" s="80">
        <f t="shared" si="10"/>
        <v>96</v>
      </c>
    </row>
    <row r="97" spans="1:9" ht="12.75">
      <c r="A97" s="131" t="s">
        <v>215</v>
      </c>
      <c r="B97" s="152"/>
      <c r="C97" s="79" t="s">
        <v>216</v>
      </c>
      <c r="D97" s="80"/>
      <c r="E97" s="81"/>
      <c r="F97" s="81"/>
      <c r="G97" s="128"/>
      <c r="H97" s="82" t="e">
        <f t="shared" si="11"/>
        <v>#DIV/0!</v>
      </c>
      <c r="I97" s="80" t="e">
        <f t="shared" si="10"/>
        <v>#DIV/0!</v>
      </c>
    </row>
    <row r="98" spans="1:9" ht="12.75">
      <c r="A98" s="146" t="s">
        <v>219</v>
      </c>
      <c r="B98" s="146"/>
      <c r="C98" s="134" t="s">
        <v>220</v>
      </c>
      <c r="D98" s="135">
        <f>D99+D100</f>
        <v>26148.3</v>
      </c>
      <c r="E98" s="135">
        <f>E99+E100</f>
        <v>34773.6</v>
      </c>
      <c r="F98" s="135">
        <f>F99+F100</f>
        <v>34768.5</v>
      </c>
      <c r="G98" s="135">
        <f>G99+G100</f>
        <v>0</v>
      </c>
      <c r="H98" s="128">
        <f>F98/D98*100</f>
        <v>132.9665790892716</v>
      </c>
      <c r="I98" s="136">
        <f t="shared" si="10"/>
        <v>99.98533370142867</v>
      </c>
    </row>
    <row r="99" spans="1:9" ht="24">
      <c r="A99" s="77" t="s">
        <v>221</v>
      </c>
      <c r="B99" s="75"/>
      <c r="C99" s="137" t="s">
        <v>222</v>
      </c>
      <c r="D99" s="80">
        <v>26148.3</v>
      </c>
      <c r="E99" s="81">
        <v>31773.6</v>
      </c>
      <c r="F99" s="81">
        <v>31768.5</v>
      </c>
      <c r="G99" s="82"/>
      <c r="H99" s="82">
        <f t="shared" si="11"/>
        <v>121.49355789860144</v>
      </c>
      <c r="I99" s="80">
        <f t="shared" si="10"/>
        <v>99.9839489387416</v>
      </c>
    </row>
    <row r="100" spans="1:9" ht="12.75">
      <c r="A100" s="77" t="s">
        <v>223</v>
      </c>
      <c r="B100" s="77"/>
      <c r="C100" s="138" t="s">
        <v>224</v>
      </c>
      <c r="D100" s="80"/>
      <c r="E100" s="81">
        <v>3000</v>
      </c>
      <c r="F100" s="81">
        <v>3000</v>
      </c>
      <c r="G100" s="82"/>
      <c r="H100" s="82"/>
      <c r="I100" s="80">
        <f t="shared" si="10"/>
        <v>100</v>
      </c>
    </row>
    <row r="101" spans="1:9" ht="12.75">
      <c r="A101" s="85"/>
      <c r="B101" s="86"/>
      <c r="C101" s="87" t="s">
        <v>229</v>
      </c>
      <c r="D101" s="88">
        <f>D98+D90</f>
        <v>27599.8</v>
      </c>
      <c r="E101" s="88">
        <f>E98+E90</f>
        <v>37327.4</v>
      </c>
      <c r="F101" s="88">
        <f>F98+F90</f>
        <v>37485.7</v>
      </c>
      <c r="G101" s="88" t="e">
        <f>G98+G90</f>
        <v>#REF!</v>
      </c>
      <c r="H101" s="128">
        <f>F101/D101*100</f>
        <v>135.81873781694068</v>
      </c>
      <c r="I101" s="136">
        <f t="shared" si="10"/>
        <v>100.42408525640681</v>
      </c>
    </row>
    <row r="102" spans="1:9" ht="12.75">
      <c r="A102" s="192"/>
      <c r="B102" s="193"/>
      <c r="C102" s="193"/>
      <c r="D102" s="193"/>
      <c r="E102" s="193"/>
      <c r="F102" s="193"/>
      <c r="G102" s="193"/>
      <c r="H102" s="194"/>
      <c r="I102" s="139"/>
    </row>
    <row r="103" spans="1:9" ht="12.75">
      <c r="A103" s="191" t="s">
        <v>235</v>
      </c>
      <c r="B103" s="191"/>
      <c r="C103" s="191"/>
      <c r="D103" s="191"/>
      <c r="E103" s="191"/>
      <c r="F103" s="191"/>
      <c r="G103" s="191"/>
      <c r="H103" s="191"/>
      <c r="I103" s="191"/>
    </row>
    <row r="104" spans="1:9" ht="12.75">
      <c r="A104" s="126" t="s">
        <v>191</v>
      </c>
      <c r="B104" s="126"/>
      <c r="C104" s="127" t="s">
        <v>192</v>
      </c>
      <c r="D104" s="128">
        <f>D105+D106+D110+D107+D108+D111+D109+D112</f>
        <v>1116.8</v>
      </c>
      <c r="E104" s="128">
        <f>E105+E106+E110+E107+E108+E111+E109+E112</f>
        <v>1684.8999999999999</v>
      </c>
      <c r="F104" s="128">
        <f>F105+F106+F110+F107+F108+F111+F109+F112</f>
        <v>1697.9999999999995</v>
      </c>
      <c r="G104" s="128" t="e">
        <f>F104/#REF!*100</f>
        <v>#REF!</v>
      </c>
      <c r="H104" s="128">
        <f aca="true" t="shared" si="12" ref="H104:H110">F104/D104*100</f>
        <v>152.04154727793693</v>
      </c>
      <c r="I104" s="128">
        <f aca="true" t="shared" si="13" ref="I104:I115">F104*100/E104</f>
        <v>100.7774942133064</v>
      </c>
    </row>
    <row r="105" spans="1:9" ht="12.75">
      <c r="A105" s="85" t="s">
        <v>193</v>
      </c>
      <c r="B105" s="85"/>
      <c r="C105" s="129" t="s">
        <v>194</v>
      </c>
      <c r="D105" s="80">
        <v>844</v>
      </c>
      <c r="E105" s="81">
        <v>1167.8</v>
      </c>
      <c r="F105" s="81">
        <v>1174.6</v>
      </c>
      <c r="G105" s="82" t="e">
        <f>F105/#REF!*100</f>
        <v>#REF!</v>
      </c>
      <c r="H105" s="82">
        <f t="shared" si="12"/>
        <v>139.17061611374407</v>
      </c>
      <c r="I105" s="80">
        <f t="shared" si="13"/>
        <v>100.58229148826852</v>
      </c>
    </row>
    <row r="106" spans="1:9" ht="12.75">
      <c r="A106" s="75" t="s">
        <v>197</v>
      </c>
      <c r="B106" s="75"/>
      <c r="C106" s="129" t="s">
        <v>198</v>
      </c>
      <c r="D106" s="80">
        <v>85</v>
      </c>
      <c r="E106" s="81">
        <v>54.7</v>
      </c>
      <c r="F106" s="81">
        <v>57.6</v>
      </c>
      <c r="G106" s="82" t="e">
        <f>F106/#REF!*100</f>
        <v>#REF!</v>
      </c>
      <c r="H106" s="82">
        <f t="shared" si="12"/>
        <v>67.76470588235294</v>
      </c>
      <c r="I106" s="80">
        <f t="shared" si="13"/>
        <v>105.3016453382084</v>
      </c>
    </row>
    <row r="107" spans="1:9" ht="12.75">
      <c r="A107" s="75" t="s">
        <v>199</v>
      </c>
      <c r="B107" s="75"/>
      <c r="C107" s="129" t="s">
        <v>200</v>
      </c>
      <c r="D107" s="80">
        <v>31</v>
      </c>
      <c r="E107" s="81">
        <v>34.8</v>
      </c>
      <c r="F107" s="81">
        <v>38.1</v>
      </c>
      <c r="G107" s="82" t="e">
        <f>F107/#REF!*100</f>
        <v>#REF!</v>
      </c>
      <c r="H107" s="82">
        <f t="shared" si="12"/>
        <v>122.90322580645162</v>
      </c>
      <c r="I107" s="80">
        <f t="shared" si="13"/>
        <v>109.48275862068967</v>
      </c>
    </row>
    <row r="108" spans="1:9" ht="24">
      <c r="A108" s="76" t="s">
        <v>203</v>
      </c>
      <c r="B108" s="76"/>
      <c r="C108" s="129" t="s">
        <v>204</v>
      </c>
      <c r="D108" s="80">
        <v>156</v>
      </c>
      <c r="E108" s="81">
        <v>323.5</v>
      </c>
      <c r="F108" s="81">
        <v>323.6</v>
      </c>
      <c r="G108" s="82" t="e">
        <f>F108/#REF!*100</f>
        <v>#REF!</v>
      </c>
      <c r="H108" s="82">
        <f t="shared" si="12"/>
        <v>207.43589743589746</v>
      </c>
      <c r="I108" s="80">
        <f t="shared" si="13"/>
        <v>100.03091190108192</v>
      </c>
    </row>
    <row r="109" spans="1:9" ht="24">
      <c r="A109" s="131" t="s">
        <v>207</v>
      </c>
      <c r="B109" s="131"/>
      <c r="C109" s="129" t="s">
        <v>208</v>
      </c>
      <c r="D109" s="80"/>
      <c r="E109" s="81">
        <v>90</v>
      </c>
      <c r="F109" s="81">
        <v>90</v>
      </c>
      <c r="G109" s="82" t="e">
        <f>F109/#REF!*100</f>
        <v>#REF!</v>
      </c>
      <c r="H109" s="82"/>
      <c r="I109" s="80">
        <f t="shared" si="13"/>
        <v>100</v>
      </c>
    </row>
    <row r="110" spans="1:9" ht="24">
      <c r="A110" s="130" t="s">
        <v>209</v>
      </c>
      <c r="B110" s="130"/>
      <c r="C110" s="129" t="s">
        <v>210</v>
      </c>
      <c r="D110" s="80">
        <v>0.8</v>
      </c>
      <c r="E110" s="81">
        <v>14.1</v>
      </c>
      <c r="F110" s="81">
        <v>14.1</v>
      </c>
      <c r="G110" s="82" t="e">
        <f>F110/#REF!*100</f>
        <v>#REF!</v>
      </c>
      <c r="H110" s="82">
        <f t="shared" si="12"/>
        <v>1762.5</v>
      </c>
      <c r="I110" s="80">
        <f t="shared" si="13"/>
        <v>100</v>
      </c>
    </row>
    <row r="111" spans="1:9" ht="12.75">
      <c r="A111" s="85" t="s">
        <v>213</v>
      </c>
      <c r="B111" s="85"/>
      <c r="C111" s="129" t="s">
        <v>214</v>
      </c>
      <c r="D111" s="80"/>
      <c r="E111" s="81"/>
      <c r="F111" s="81"/>
      <c r="G111" s="82"/>
      <c r="H111" s="82"/>
      <c r="I111" s="80" t="e">
        <f t="shared" si="13"/>
        <v>#DIV/0!</v>
      </c>
    </row>
    <row r="112" spans="1:9" ht="12.75">
      <c r="A112" s="130" t="s">
        <v>215</v>
      </c>
      <c r="B112" s="152"/>
      <c r="C112" s="79" t="s">
        <v>216</v>
      </c>
      <c r="D112" s="80"/>
      <c r="E112" s="81"/>
      <c r="F112" s="81"/>
      <c r="G112" s="82"/>
      <c r="H112" s="82"/>
      <c r="I112" s="80" t="e">
        <f t="shared" si="13"/>
        <v>#DIV/0!</v>
      </c>
    </row>
    <row r="113" spans="1:9" ht="12.75">
      <c r="A113" s="126" t="s">
        <v>219</v>
      </c>
      <c r="B113" s="126"/>
      <c r="C113" s="134" t="s">
        <v>220</v>
      </c>
      <c r="D113" s="135">
        <f>D114</f>
        <v>32592.4</v>
      </c>
      <c r="E113" s="135">
        <f>E114</f>
        <v>38434.5</v>
      </c>
      <c r="F113" s="135">
        <f>F114</f>
        <v>38434.5</v>
      </c>
      <c r="G113" s="135" t="e">
        <f>G114</f>
        <v>#REF!</v>
      </c>
      <c r="H113" s="128">
        <f>F113/D113*100</f>
        <v>117.92473091886451</v>
      </c>
      <c r="I113" s="136">
        <f t="shared" si="13"/>
        <v>100</v>
      </c>
    </row>
    <row r="114" spans="1:9" ht="24">
      <c r="A114" s="77" t="s">
        <v>221</v>
      </c>
      <c r="B114" s="75"/>
      <c r="C114" s="137" t="s">
        <v>222</v>
      </c>
      <c r="D114" s="80">
        <v>32592.4</v>
      </c>
      <c r="E114" s="81">
        <v>38434.5</v>
      </c>
      <c r="F114" s="81">
        <v>38434.5</v>
      </c>
      <c r="G114" s="82" t="e">
        <f>F114/#REF!*100</f>
        <v>#REF!</v>
      </c>
      <c r="H114" s="82">
        <f>F114/D114*100</f>
        <v>117.92473091886451</v>
      </c>
      <c r="I114" s="80">
        <f t="shared" si="13"/>
        <v>100</v>
      </c>
    </row>
    <row r="115" spans="1:9" ht="12.75">
      <c r="A115" s="85"/>
      <c r="B115" s="86"/>
      <c r="C115" s="87" t="s">
        <v>229</v>
      </c>
      <c r="D115" s="88">
        <f>D113+D104</f>
        <v>33709.200000000004</v>
      </c>
      <c r="E115" s="88">
        <f>E113+E104</f>
        <v>40119.4</v>
      </c>
      <c r="F115" s="88">
        <f>F113+F104</f>
        <v>40132.5</v>
      </c>
      <c r="G115" s="128" t="e">
        <f>F115/#REF!*100</f>
        <v>#REF!</v>
      </c>
      <c r="H115" s="128">
        <f>F115/D115*100</f>
        <v>119.05503542059732</v>
      </c>
      <c r="I115" s="136">
        <f t="shared" si="13"/>
        <v>100.0326525321914</v>
      </c>
    </row>
    <row r="116" spans="1:9" ht="12.75">
      <c r="A116" s="192"/>
      <c r="B116" s="193"/>
      <c r="C116" s="193"/>
      <c r="D116" s="193"/>
      <c r="E116" s="193"/>
      <c r="F116" s="193"/>
      <c r="G116" s="193"/>
      <c r="H116" s="194"/>
      <c r="I116" s="139"/>
    </row>
    <row r="117" spans="1:9" ht="12.75">
      <c r="A117" s="191" t="s">
        <v>236</v>
      </c>
      <c r="B117" s="191"/>
      <c r="C117" s="191"/>
      <c r="D117" s="191"/>
      <c r="E117" s="191"/>
      <c r="F117" s="191"/>
      <c r="G117" s="191"/>
      <c r="H117" s="191"/>
      <c r="I117" s="191"/>
    </row>
    <row r="118" spans="1:9" ht="12.75">
      <c r="A118" s="126" t="s">
        <v>191</v>
      </c>
      <c r="B118" s="126"/>
      <c r="C118" s="127" t="s">
        <v>192</v>
      </c>
      <c r="D118" s="128">
        <f>D119+D120+D121+D122+D124+D126+D123+D125</f>
        <v>2352.5</v>
      </c>
      <c r="E118" s="128">
        <f>E119+E120+E121+E122+E124+E126+E123+E125</f>
        <v>2532.4</v>
      </c>
      <c r="F118" s="128">
        <f>F119+F120+F121+F122+F124+F126+F123+F125</f>
        <v>2912.8000000000006</v>
      </c>
      <c r="G118" s="128" t="e">
        <f>F118/#REF!*100</f>
        <v>#REF!</v>
      </c>
      <c r="H118" s="128">
        <f aca="true" t="shared" si="14" ref="H118:H124">F118/D118*100</f>
        <v>123.81721572794902</v>
      </c>
      <c r="I118" s="128">
        <f aca="true" t="shared" si="15" ref="I118:I124">F118*100/E118</f>
        <v>115.02132364555365</v>
      </c>
    </row>
    <row r="119" spans="1:9" ht="12.75">
      <c r="A119" s="85" t="s">
        <v>193</v>
      </c>
      <c r="B119" s="85"/>
      <c r="C119" s="129" t="s">
        <v>194</v>
      </c>
      <c r="D119" s="80">
        <v>1793.5</v>
      </c>
      <c r="E119" s="81">
        <v>1820</v>
      </c>
      <c r="F119" s="81">
        <v>1849.8</v>
      </c>
      <c r="G119" s="82" t="e">
        <f>F119/#REF!*100</f>
        <v>#REF!</v>
      </c>
      <c r="H119" s="82">
        <f t="shared" si="14"/>
        <v>103.13911346529132</v>
      </c>
      <c r="I119" s="80">
        <f t="shared" si="15"/>
        <v>101.63736263736264</v>
      </c>
    </row>
    <row r="120" spans="1:9" ht="12.75">
      <c r="A120" s="75" t="s">
        <v>197</v>
      </c>
      <c r="B120" s="75"/>
      <c r="C120" s="129" t="s">
        <v>198</v>
      </c>
      <c r="D120" s="80">
        <v>232</v>
      </c>
      <c r="E120" s="81">
        <v>176</v>
      </c>
      <c r="F120" s="81">
        <v>177.4</v>
      </c>
      <c r="G120" s="82" t="e">
        <f>F120/#REF!*100</f>
        <v>#REF!</v>
      </c>
      <c r="H120" s="82">
        <f t="shared" si="14"/>
        <v>76.46551724137932</v>
      </c>
      <c r="I120" s="80">
        <f t="shared" si="15"/>
        <v>100.79545454545455</v>
      </c>
    </row>
    <row r="121" spans="1:9" ht="12.75">
      <c r="A121" s="75" t="s">
        <v>199</v>
      </c>
      <c r="B121" s="75"/>
      <c r="C121" s="129" t="s">
        <v>200</v>
      </c>
      <c r="D121" s="80">
        <v>35</v>
      </c>
      <c r="E121" s="81">
        <v>61</v>
      </c>
      <c r="F121" s="81">
        <v>62.1</v>
      </c>
      <c r="G121" s="82" t="e">
        <f>F121/#REF!*100</f>
        <v>#REF!</v>
      </c>
      <c r="H121" s="82">
        <f t="shared" si="14"/>
        <v>177.42857142857142</v>
      </c>
      <c r="I121" s="80">
        <f t="shared" si="15"/>
        <v>101.80327868852459</v>
      </c>
    </row>
    <row r="122" spans="1:9" ht="24">
      <c r="A122" s="76" t="s">
        <v>203</v>
      </c>
      <c r="B122" s="76"/>
      <c r="C122" s="129" t="s">
        <v>204</v>
      </c>
      <c r="D122" s="80">
        <v>180</v>
      </c>
      <c r="E122" s="81">
        <v>332</v>
      </c>
      <c r="F122" s="81">
        <v>339.8</v>
      </c>
      <c r="G122" s="82" t="e">
        <f>F122/#REF!*100</f>
        <v>#REF!</v>
      </c>
      <c r="H122" s="82">
        <f t="shared" si="14"/>
        <v>188.77777777777777</v>
      </c>
      <c r="I122" s="80">
        <f t="shared" si="15"/>
        <v>102.34939759036145</v>
      </c>
    </row>
    <row r="123" spans="1:9" ht="24">
      <c r="A123" s="131" t="s">
        <v>207</v>
      </c>
      <c r="B123" s="131"/>
      <c r="C123" s="129" t="s">
        <v>208</v>
      </c>
      <c r="D123" s="80">
        <v>90</v>
      </c>
      <c r="E123" s="81">
        <v>41.4</v>
      </c>
      <c r="F123" s="81">
        <v>41.4</v>
      </c>
      <c r="G123" s="82" t="e">
        <f>F123/#REF!*100</f>
        <v>#REF!</v>
      </c>
      <c r="H123" s="82">
        <f t="shared" si="14"/>
        <v>46</v>
      </c>
      <c r="I123" s="80">
        <f t="shared" si="15"/>
        <v>100</v>
      </c>
    </row>
    <row r="124" spans="1:9" ht="24">
      <c r="A124" s="131" t="s">
        <v>209</v>
      </c>
      <c r="B124" s="131"/>
      <c r="C124" s="129" t="s">
        <v>210</v>
      </c>
      <c r="D124" s="80">
        <v>22</v>
      </c>
      <c r="E124" s="81">
        <v>102</v>
      </c>
      <c r="F124" s="81">
        <v>101.6</v>
      </c>
      <c r="G124" s="82" t="e">
        <f>F124/#REF!*100</f>
        <v>#REF!</v>
      </c>
      <c r="H124" s="82">
        <f t="shared" si="14"/>
        <v>461.8181818181818</v>
      </c>
      <c r="I124" s="80">
        <f t="shared" si="15"/>
        <v>99.6078431372549</v>
      </c>
    </row>
    <row r="125" spans="1:9" ht="12.75">
      <c r="A125" s="85" t="s">
        <v>213</v>
      </c>
      <c r="B125" s="85"/>
      <c r="C125" s="129" t="s">
        <v>214</v>
      </c>
      <c r="D125" s="80"/>
      <c r="E125" s="81"/>
      <c r="F125" s="81">
        <v>323.4</v>
      </c>
      <c r="G125" s="82"/>
      <c r="H125" s="82"/>
      <c r="I125" s="80"/>
    </row>
    <row r="126" spans="1:9" ht="12.75">
      <c r="A126" s="131" t="s">
        <v>215</v>
      </c>
      <c r="B126" s="152"/>
      <c r="C126" s="79" t="s">
        <v>216</v>
      </c>
      <c r="D126" s="80"/>
      <c r="E126" s="81"/>
      <c r="F126" s="80">
        <v>17.3</v>
      </c>
      <c r="G126" s="82"/>
      <c r="H126" s="82"/>
      <c r="I126" s="80"/>
    </row>
    <row r="127" spans="1:9" ht="12.75">
      <c r="A127" s="146" t="s">
        <v>219</v>
      </c>
      <c r="B127" s="146"/>
      <c r="C127" s="134" t="s">
        <v>220</v>
      </c>
      <c r="D127" s="135">
        <f>D128+D129</f>
        <v>47061.8</v>
      </c>
      <c r="E127" s="135">
        <f>E128+E129</f>
        <v>57843</v>
      </c>
      <c r="F127" s="135">
        <f>F128+F129</f>
        <v>57713.5</v>
      </c>
      <c r="G127" s="128" t="e">
        <f>F127/#REF!*100</f>
        <v>#REF!</v>
      </c>
      <c r="H127" s="128">
        <f>F127/D127*100</f>
        <v>122.63343093549332</v>
      </c>
      <c r="I127" s="136">
        <f>F127*100/E127</f>
        <v>99.77611811282264</v>
      </c>
    </row>
    <row r="128" spans="1:9" ht="24">
      <c r="A128" s="77" t="s">
        <v>221</v>
      </c>
      <c r="B128" s="75"/>
      <c r="C128" s="137" t="s">
        <v>222</v>
      </c>
      <c r="D128" s="80">
        <v>47061.8</v>
      </c>
      <c r="E128" s="81">
        <v>57530.7</v>
      </c>
      <c r="F128" s="81">
        <v>57401.2</v>
      </c>
      <c r="G128" s="82" t="e">
        <f>F128/#REF!*100</f>
        <v>#REF!</v>
      </c>
      <c r="H128" s="82">
        <f>F128/D128*100</f>
        <v>121.96983540791044</v>
      </c>
      <c r="I128" s="80">
        <f>F128*100/E128</f>
        <v>99.77490279103158</v>
      </c>
    </row>
    <row r="129" spans="1:9" ht="12.75">
      <c r="A129" s="77" t="s">
        <v>223</v>
      </c>
      <c r="B129" s="77"/>
      <c r="C129" s="138" t="s">
        <v>224</v>
      </c>
      <c r="D129" s="80"/>
      <c r="E129" s="81">
        <v>312.3</v>
      </c>
      <c r="F129" s="81">
        <v>312.3</v>
      </c>
      <c r="G129" s="82"/>
      <c r="H129" s="82"/>
      <c r="I129" s="80">
        <f>F129*100/E129</f>
        <v>100</v>
      </c>
    </row>
    <row r="130" spans="1:9" ht="12.75">
      <c r="A130" s="85"/>
      <c r="B130" s="86"/>
      <c r="C130" s="87" t="s">
        <v>229</v>
      </c>
      <c r="D130" s="88">
        <f>D127+D118</f>
        <v>49414.3</v>
      </c>
      <c r="E130" s="88">
        <f>E127+E118</f>
        <v>60375.4</v>
      </c>
      <c r="F130" s="88">
        <f>F127+F118</f>
        <v>60626.3</v>
      </c>
      <c r="G130" s="128" t="e">
        <f>F130/#REF!*100</f>
        <v>#REF!</v>
      </c>
      <c r="H130" s="128">
        <f>F130/D130*100</f>
        <v>122.6897881787256</v>
      </c>
      <c r="I130" s="136">
        <f>F130*100/E130</f>
        <v>100.41556660494174</v>
      </c>
    </row>
    <row r="131" spans="1:9" ht="12.75">
      <c r="A131" s="200"/>
      <c r="B131" s="201"/>
      <c r="C131" s="201"/>
      <c r="D131" s="201"/>
      <c r="E131" s="201"/>
      <c r="F131" s="201"/>
      <c r="G131" s="201"/>
      <c r="H131" s="202"/>
      <c r="I131" s="139"/>
    </row>
    <row r="132" spans="1:9" ht="12.75">
      <c r="A132" s="191" t="s">
        <v>237</v>
      </c>
      <c r="B132" s="191"/>
      <c r="C132" s="191"/>
      <c r="D132" s="191"/>
      <c r="E132" s="191"/>
      <c r="F132" s="191"/>
      <c r="G132" s="191"/>
      <c r="H132" s="191"/>
      <c r="I132" s="191"/>
    </row>
    <row r="133" spans="1:9" ht="12.75">
      <c r="A133" s="126" t="s">
        <v>191</v>
      </c>
      <c r="B133" s="126"/>
      <c r="C133" s="127" t="s">
        <v>192</v>
      </c>
      <c r="D133" s="128">
        <f>D134+D136+D138+D140+D137+D141+D139+D142+D135</f>
        <v>15260.5</v>
      </c>
      <c r="E133" s="128">
        <f>E134+E136+E138+E140+E137+E141+E139+E142+E135</f>
        <v>15260.599999999999</v>
      </c>
      <c r="F133" s="128">
        <f>F134+F136+F138+F140+F137+F141+F139+F142+F135</f>
        <v>14448.6</v>
      </c>
      <c r="G133" s="128" t="e">
        <f>F133/#REF!*100</f>
        <v>#REF!</v>
      </c>
      <c r="H133" s="128">
        <f>F133/D133*100</f>
        <v>94.67972871137906</v>
      </c>
      <c r="I133" s="128">
        <f aca="true" t="shared" si="16" ref="I133:I146">F133*100/E133</f>
        <v>94.67910829194135</v>
      </c>
    </row>
    <row r="134" spans="1:9" ht="12.75">
      <c r="A134" s="85" t="s">
        <v>193</v>
      </c>
      <c r="B134" s="85"/>
      <c r="C134" s="129" t="s">
        <v>194</v>
      </c>
      <c r="D134" s="80">
        <v>13398.5</v>
      </c>
      <c r="E134" s="81">
        <v>13312.2</v>
      </c>
      <c r="F134" s="81">
        <v>12556.6</v>
      </c>
      <c r="G134" s="82" t="e">
        <f>F134/#REF!*100</f>
        <v>#REF!</v>
      </c>
      <c r="H134" s="82">
        <f>F134/D134*100</f>
        <v>93.71646079785052</v>
      </c>
      <c r="I134" s="80">
        <f t="shared" si="16"/>
        <v>94.3240035456198</v>
      </c>
    </row>
    <row r="135" spans="1:9" ht="12.75">
      <c r="A135" s="75" t="s">
        <v>195</v>
      </c>
      <c r="B135" s="75"/>
      <c r="C135" s="129" t="s">
        <v>196</v>
      </c>
      <c r="D135" s="80"/>
      <c r="E135" s="81">
        <v>0.5</v>
      </c>
      <c r="F135" s="81">
        <v>0.5</v>
      </c>
      <c r="G135" s="82"/>
      <c r="H135" s="82"/>
      <c r="I135" s="80">
        <f t="shared" si="16"/>
        <v>100</v>
      </c>
    </row>
    <row r="136" spans="1:9" ht="12.75">
      <c r="A136" s="75" t="s">
        <v>197</v>
      </c>
      <c r="B136" s="75"/>
      <c r="C136" s="129" t="s">
        <v>198</v>
      </c>
      <c r="D136" s="80">
        <v>632</v>
      </c>
      <c r="E136" s="81">
        <v>764.3</v>
      </c>
      <c r="F136" s="81">
        <v>769.5</v>
      </c>
      <c r="G136" s="82" t="e">
        <f>F136/#REF!*100</f>
        <v>#REF!</v>
      </c>
      <c r="H136" s="82">
        <f>F136/D136*100</f>
        <v>121.75632911392404</v>
      </c>
      <c r="I136" s="80">
        <f t="shared" si="16"/>
        <v>100.68036111474552</v>
      </c>
    </row>
    <row r="137" spans="1:9" ht="12.75">
      <c r="A137" s="75" t="s">
        <v>199</v>
      </c>
      <c r="B137" s="75"/>
      <c r="C137" s="129" t="s">
        <v>200</v>
      </c>
      <c r="D137" s="80">
        <v>120</v>
      </c>
      <c r="E137" s="81">
        <v>148.8</v>
      </c>
      <c r="F137" s="81">
        <v>163.2</v>
      </c>
      <c r="G137" s="82" t="e">
        <f>F137/#REF!*100</f>
        <v>#REF!</v>
      </c>
      <c r="H137" s="82">
        <f>F137/D137*100</f>
        <v>136</v>
      </c>
      <c r="I137" s="80">
        <f t="shared" si="16"/>
        <v>109.67741935483869</v>
      </c>
    </row>
    <row r="138" spans="1:9" ht="24">
      <c r="A138" s="76" t="s">
        <v>203</v>
      </c>
      <c r="B138" s="76"/>
      <c r="C138" s="129" t="s">
        <v>204</v>
      </c>
      <c r="D138" s="80">
        <v>1102</v>
      </c>
      <c r="E138" s="81">
        <v>953.2</v>
      </c>
      <c r="F138" s="81">
        <v>876.9</v>
      </c>
      <c r="G138" s="82" t="e">
        <f>F138/#REF!*100</f>
        <v>#REF!</v>
      </c>
      <c r="H138" s="82">
        <f>F138/D138*100</f>
        <v>79.57350272232304</v>
      </c>
      <c r="I138" s="80">
        <f t="shared" si="16"/>
        <v>91.99538396978598</v>
      </c>
    </row>
    <row r="139" spans="1:9" ht="24">
      <c r="A139" s="131" t="s">
        <v>207</v>
      </c>
      <c r="B139" s="131"/>
      <c r="C139" s="129" t="s">
        <v>208</v>
      </c>
      <c r="D139" s="80"/>
      <c r="E139" s="81"/>
      <c r="F139" s="81"/>
      <c r="G139" s="82"/>
      <c r="H139" s="82"/>
      <c r="I139" s="80" t="e">
        <f t="shared" si="16"/>
        <v>#DIV/0!</v>
      </c>
    </row>
    <row r="140" spans="1:9" ht="24">
      <c r="A140" s="130" t="s">
        <v>209</v>
      </c>
      <c r="B140" s="130"/>
      <c r="C140" s="129" t="s">
        <v>210</v>
      </c>
      <c r="D140" s="80">
        <v>8</v>
      </c>
      <c r="E140" s="81">
        <v>43.8</v>
      </c>
      <c r="F140" s="81">
        <v>44.1</v>
      </c>
      <c r="G140" s="82" t="e">
        <f>F140/#REF!*100</f>
        <v>#REF!</v>
      </c>
      <c r="H140" s="82">
        <f>F140/D140*100</f>
        <v>551.25</v>
      </c>
      <c r="I140" s="80">
        <f t="shared" si="16"/>
        <v>100.68493150684932</v>
      </c>
    </row>
    <row r="141" spans="1:9" ht="12.75">
      <c r="A141" s="85" t="s">
        <v>213</v>
      </c>
      <c r="B141" s="85"/>
      <c r="C141" s="129" t="s">
        <v>214</v>
      </c>
      <c r="D141" s="80"/>
      <c r="E141" s="81">
        <v>37.8</v>
      </c>
      <c r="F141" s="81">
        <v>37.8</v>
      </c>
      <c r="G141" s="82" t="e">
        <f>F141/#REF!*100</f>
        <v>#REF!</v>
      </c>
      <c r="H141" s="82"/>
      <c r="I141" s="80">
        <f t="shared" si="16"/>
        <v>100</v>
      </c>
    </row>
    <row r="142" spans="1:9" ht="12.75">
      <c r="A142" s="130" t="s">
        <v>215</v>
      </c>
      <c r="B142" s="153"/>
      <c r="C142" s="79" t="s">
        <v>216</v>
      </c>
      <c r="D142" s="80"/>
      <c r="E142" s="81"/>
      <c r="F142" s="81"/>
      <c r="G142" s="82"/>
      <c r="H142" s="82"/>
      <c r="I142" s="80" t="e">
        <f t="shared" si="16"/>
        <v>#DIV/0!</v>
      </c>
    </row>
    <row r="143" spans="1:9" ht="12.75">
      <c r="A143" s="130" t="s">
        <v>217</v>
      </c>
      <c r="B143" s="153"/>
      <c r="C143" s="79" t="s">
        <v>218</v>
      </c>
      <c r="D143" s="80" t="e">
        <f>E143+#REF!+#REF!+#REF!</f>
        <v>#REF!</v>
      </c>
      <c r="E143" s="81"/>
      <c r="F143" s="81"/>
      <c r="G143" s="128"/>
      <c r="H143" s="128"/>
      <c r="I143" s="80" t="e">
        <f t="shared" si="16"/>
        <v>#DIV/0!</v>
      </c>
    </row>
    <row r="144" spans="1:9" ht="12.75">
      <c r="A144" s="126" t="s">
        <v>219</v>
      </c>
      <c r="B144" s="126"/>
      <c r="C144" s="134" t="s">
        <v>220</v>
      </c>
      <c r="D144" s="135">
        <f>D145</f>
        <v>27846.4</v>
      </c>
      <c r="E144" s="135">
        <f>E145</f>
        <v>37875.6</v>
      </c>
      <c r="F144" s="135">
        <f>F145</f>
        <v>37873.6</v>
      </c>
      <c r="G144" s="128" t="e">
        <f>F144/#REF!*100</f>
        <v>#REF!</v>
      </c>
      <c r="H144" s="128">
        <f>F144/D144*100</f>
        <v>136.0089634566766</v>
      </c>
      <c r="I144" s="136">
        <f t="shared" si="16"/>
        <v>99.9947195555978</v>
      </c>
    </row>
    <row r="145" spans="1:9" ht="24">
      <c r="A145" s="77" t="s">
        <v>221</v>
      </c>
      <c r="B145" s="75"/>
      <c r="C145" s="137" t="s">
        <v>222</v>
      </c>
      <c r="D145" s="80">
        <v>27846.4</v>
      </c>
      <c r="E145" s="81">
        <v>37875.6</v>
      </c>
      <c r="F145" s="81">
        <v>37873.6</v>
      </c>
      <c r="G145" s="82" t="e">
        <f>F145/#REF!*100</f>
        <v>#REF!</v>
      </c>
      <c r="H145" s="82">
        <f>F145/D145*100</f>
        <v>136.0089634566766</v>
      </c>
      <c r="I145" s="80">
        <f t="shared" si="16"/>
        <v>99.9947195555978</v>
      </c>
    </row>
    <row r="146" spans="1:9" ht="12.75">
      <c r="A146" s="85"/>
      <c r="B146" s="86"/>
      <c r="C146" s="87" t="s">
        <v>229</v>
      </c>
      <c r="D146" s="88">
        <f>D144+D133</f>
        <v>43106.9</v>
      </c>
      <c r="E146" s="88">
        <f>E144+E133</f>
        <v>53136.2</v>
      </c>
      <c r="F146" s="88">
        <f>F144+F133</f>
        <v>52322.2</v>
      </c>
      <c r="G146" s="128" t="e">
        <f>F146/#REF!*100</f>
        <v>#REF!</v>
      </c>
      <c r="H146" s="128">
        <f>F146/D146*100</f>
        <v>121.3777840670519</v>
      </c>
      <c r="I146" s="136">
        <f t="shared" si="16"/>
        <v>98.46808766904672</v>
      </c>
    </row>
    <row r="147" spans="1:9" ht="12.75">
      <c r="A147" s="192"/>
      <c r="B147" s="193"/>
      <c r="C147" s="193"/>
      <c r="D147" s="193"/>
      <c r="E147" s="193"/>
      <c r="F147" s="193"/>
      <c r="G147" s="193"/>
      <c r="H147" s="194"/>
      <c r="I147" s="139"/>
    </row>
    <row r="148" spans="1:9" ht="12.75">
      <c r="A148" s="191" t="s">
        <v>238</v>
      </c>
      <c r="B148" s="191"/>
      <c r="C148" s="191"/>
      <c r="D148" s="191"/>
      <c r="E148" s="191"/>
      <c r="F148" s="191"/>
      <c r="G148" s="191"/>
      <c r="H148" s="191"/>
      <c r="I148" s="191"/>
    </row>
    <row r="149" spans="1:9" ht="12.75">
      <c r="A149" s="126" t="s">
        <v>191</v>
      </c>
      <c r="B149" s="126"/>
      <c r="C149" s="127" t="s">
        <v>192</v>
      </c>
      <c r="D149" s="128">
        <f>D150+D151+D152+D153+D155+D156+D157+D154</f>
        <v>3590</v>
      </c>
      <c r="E149" s="128">
        <f>E150+E151+E152+E153+E155+E156+E157+E154</f>
        <v>4208</v>
      </c>
      <c r="F149" s="128">
        <f>F150+F151+F152+F153+F155+F156+F157+F154</f>
        <v>4454</v>
      </c>
      <c r="G149" s="128" t="e">
        <f>F149/#REF!*100</f>
        <v>#REF!</v>
      </c>
      <c r="H149" s="128">
        <f aca="true" t="shared" si="17" ref="H149:H155">F149/D149*100</f>
        <v>124.06685236768801</v>
      </c>
      <c r="I149" s="128">
        <f aca="true" t="shared" si="18" ref="I149:I161">F149*100/E149</f>
        <v>105.84600760456274</v>
      </c>
    </row>
    <row r="150" spans="1:9" ht="12.75">
      <c r="A150" s="85" t="s">
        <v>193</v>
      </c>
      <c r="B150" s="85"/>
      <c r="C150" s="129" t="s">
        <v>194</v>
      </c>
      <c r="D150" s="80">
        <v>3059.5</v>
      </c>
      <c r="E150" s="81">
        <v>2996.5</v>
      </c>
      <c r="F150" s="81">
        <v>3236</v>
      </c>
      <c r="G150" s="82" t="e">
        <f>F150/#REF!*100</f>
        <v>#REF!</v>
      </c>
      <c r="H150" s="82">
        <f t="shared" si="17"/>
        <v>105.76891648962248</v>
      </c>
      <c r="I150" s="80">
        <f t="shared" si="18"/>
        <v>107.99265810111797</v>
      </c>
    </row>
    <row r="151" spans="1:9" ht="12.75">
      <c r="A151" s="75" t="s">
        <v>197</v>
      </c>
      <c r="B151" s="75"/>
      <c r="C151" s="129" t="s">
        <v>198</v>
      </c>
      <c r="D151" s="80">
        <v>219</v>
      </c>
      <c r="E151" s="81">
        <v>320</v>
      </c>
      <c r="F151" s="81">
        <v>320.6</v>
      </c>
      <c r="G151" s="82" t="e">
        <f>F151/#REF!*100</f>
        <v>#REF!</v>
      </c>
      <c r="H151" s="82">
        <f t="shared" si="17"/>
        <v>146.39269406392694</v>
      </c>
      <c r="I151" s="80">
        <f t="shared" si="18"/>
        <v>100.18750000000001</v>
      </c>
    </row>
    <row r="152" spans="1:9" ht="12.75">
      <c r="A152" s="75" t="s">
        <v>199</v>
      </c>
      <c r="B152" s="75"/>
      <c r="C152" s="129" t="s">
        <v>200</v>
      </c>
      <c r="D152" s="80">
        <v>20</v>
      </c>
      <c r="E152" s="81">
        <v>60</v>
      </c>
      <c r="F152" s="81">
        <v>62</v>
      </c>
      <c r="G152" s="82" t="e">
        <f>F152/#REF!*100</f>
        <v>#REF!</v>
      </c>
      <c r="H152" s="82">
        <f t="shared" si="17"/>
        <v>310</v>
      </c>
      <c r="I152" s="80">
        <f t="shared" si="18"/>
        <v>103.33333333333333</v>
      </c>
    </row>
    <row r="153" spans="1:9" ht="24">
      <c r="A153" s="76" t="s">
        <v>203</v>
      </c>
      <c r="B153" s="76"/>
      <c r="C153" s="129" t="s">
        <v>204</v>
      </c>
      <c r="D153" s="80">
        <v>246.5</v>
      </c>
      <c r="E153" s="81">
        <v>572.5</v>
      </c>
      <c r="F153" s="81">
        <v>573.3</v>
      </c>
      <c r="G153" s="82" t="e">
        <f>F153/#REF!*100</f>
        <v>#REF!</v>
      </c>
      <c r="H153" s="82">
        <f t="shared" si="17"/>
        <v>232.57606490872212</v>
      </c>
      <c r="I153" s="80">
        <f t="shared" si="18"/>
        <v>100.13973799126636</v>
      </c>
    </row>
    <row r="154" spans="1:9" ht="24">
      <c r="A154" s="131" t="s">
        <v>207</v>
      </c>
      <c r="B154" s="131"/>
      <c r="C154" s="129" t="s">
        <v>208</v>
      </c>
      <c r="D154" s="80">
        <v>38</v>
      </c>
      <c r="E154" s="81">
        <v>76</v>
      </c>
      <c r="F154" s="81">
        <v>77</v>
      </c>
      <c r="G154" s="82" t="e">
        <f>F154/#REF!*100</f>
        <v>#REF!</v>
      </c>
      <c r="H154" s="82">
        <f t="shared" si="17"/>
        <v>202.6315789473684</v>
      </c>
      <c r="I154" s="80">
        <f t="shared" si="18"/>
        <v>101.3157894736842</v>
      </c>
    </row>
    <row r="155" spans="1:9" ht="24">
      <c r="A155" s="130" t="s">
        <v>209</v>
      </c>
      <c r="B155" s="130"/>
      <c r="C155" s="129" t="s">
        <v>210</v>
      </c>
      <c r="D155" s="80">
        <v>7</v>
      </c>
      <c r="E155" s="81">
        <v>183</v>
      </c>
      <c r="F155" s="81">
        <v>185.1</v>
      </c>
      <c r="G155" s="82" t="e">
        <f>F155/#REF!*100</f>
        <v>#REF!</v>
      </c>
      <c r="H155" s="82">
        <f t="shared" si="17"/>
        <v>2644.285714285714</v>
      </c>
      <c r="I155" s="80">
        <f t="shared" si="18"/>
        <v>101.14754098360656</v>
      </c>
    </row>
    <row r="156" spans="1:9" ht="12.75">
      <c r="A156" s="85" t="s">
        <v>213</v>
      </c>
      <c r="B156" s="85"/>
      <c r="C156" s="129" t="s">
        <v>214</v>
      </c>
      <c r="D156" s="80"/>
      <c r="E156" s="81"/>
      <c r="F156" s="81"/>
      <c r="G156" s="82"/>
      <c r="H156" s="82"/>
      <c r="I156" s="80" t="e">
        <f t="shared" si="18"/>
        <v>#DIV/0!</v>
      </c>
    </row>
    <row r="157" spans="1:9" ht="12.75">
      <c r="A157" s="145" t="s">
        <v>215</v>
      </c>
      <c r="B157" s="133"/>
      <c r="C157" s="79" t="s">
        <v>216</v>
      </c>
      <c r="D157" s="80"/>
      <c r="E157" s="81"/>
      <c r="F157" s="81"/>
      <c r="G157" s="82"/>
      <c r="H157" s="82"/>
      <c r="I157" s="80" t="e">
        <f t="shared" si="18"/>
        <v>#DIV/0!</v>
      </c>
    </row>
    <row r="158" spans="1:9" ht="12.75">
      <c r="A158" s="126" t="s">
        <v>219</v>
      </c>
      <c r="B158" s="126"/>
      <c r="C158" s="134" t="s">
        <v>220</v>
      </c>
      <c r="D158" s="135">
        <f>D159+D160</f>
        <v>22538.9</v>
      </c>
      <c r="E158" s="135">
        <f>E159+E160</f>
        <v>32883.6</v>
      </c>
      <c r="F158" s="135">
        <f>F159+F160</f>
        <v>32879.5</v>
      </c>
      <c r="G158" s="128" t="e">
        <f>F158/#REF!*100</f>
        <v>#REF!</v>
      </c>
      <c r="H158" s="128">
        <f>F158/D158*100</f>
        <v>145.87890269711477</v>
      </c>
      <c r="I158" s="136">
        <f t="shared" si="18"/>
        <v>99.98753177875902</v>
      </c>
    </row>
    <row r="159" spans="1:9" ht="24">
      <c r="A159" s="77" t="s">
        <v>221</v>
      </c>
      <c r="B159" s="75"/>
      <c r="C159" s="137" t="s">
        <v>222</v>
      </c>
      <c r="D159" s="80">
        <v>22538.9</v>
      </c>
      <c r="E159" s="81">
        <v>32533.6</v>
      </c>
      <c r="F159" s="81">
        <v>32529.5</v>
      </c>
      <c r="G159" s="82" t="e">
        <f>F159/#REF!*100</f>
        <v>#REF!</v>
      </c>
      <c r="H159" s="82">
        <f>F159/D159*100</f>
        <v>144.3260318826562</v>
      </c>
      <c r="I159" s="80">
        <f t="shared" si="18"/>
        <v>99.98739764428161</v>
      </c>
    </row>
    <row r="160" spans="1:9" ht="12.75">
      <c r="A160" s="77" t="s">
        <v>223</v>
      </c>
      <c r="B160" s="77"/>
      <c r="C160" s="138" t="s">
        <v>224</v>
      </c>
      <c r="D160" s="80"/>
      <c r="E160" s="81">
        <v>350</v>
      </c>
      <c r="F160" s="81">
        <v>350</v>
      </c>
      <c r="G160" s="82" t="e">
        <f>F160/#REF!*100</f>
        <v>#REF!</v>
      </c>
      <c r="H160" s="82"/>
      <c r="I160" s="80">
        <f t="shared" si="18"/>
        <v>100</v>
      </c>
    </row>
    <row r="161" spans="1:9" ht="12.75">
      <c r="A161" s="85"/>
      <c r="B161" s="86"/>
      <c r="C161" s="87" t="s">
        <v>229</v>
      </c>
      <c r="D161" s="88">
        <f>D158+D149</f>
        <v>26128.9</v>
      </c>
      <c r="E161" s="88">
        <f>E158+E149</f>
        <v>37091.6</v>
      </c>
      <c r="F161" s="88">
        <f>F158+F149</f>
        <v>37333.5</v>
      </c>
      <c r="G161" s="128" t="e">
        <f>F161/#REF!*100</f>
        <v>#REF!</v>
      </c>
      <c r="H161" s="128">
        <f>F161/D161*100</f>
        <v>142.88201952627168</v>
      </c>
      <c r="I161" s="136">
        <f t="shared" si="18"/>
        <v>100.65216922429877</v>
      </c>
    </row>
    <row r="162" spans="1:9" ht="12.75">
      <c r="A162" s="192"/>
      <c r="B162" s="193"/>
      <c r="C162" s="193"/>
      <c r="D162" s="193"/>
      <c r="E162" s="193"/>
      <c r="F162" s="193"/>
      <c r="G162" s="193"/>
      <c r="H162" s="194"/>
      <c r="I162" s="139"/>
    </row>
    <row r="163" spans="1:9" ht="12.75">
      <c r="A163" s="191" t="s">
        <v>239</v>
      </c>
      <c r="B163" s="191"/>
      <c r="C163" s="191"/>
      <c r="D163" s="191"/>
      <c r="E163" s="191"/>
      <c r="F163" s="191"/>
      <c r="G163" s="191"/>
      <c r="H163" s="191"/>
      <c r="I163" s="191"/>
    </row>
    <row r="164" spans="1:9" ht="12.75">
      <c r="A164" s="126" t="s">
        <v>191</v>
      </c>
      <c r="B164" s="126"/>
      <c r="C164" s="127" t="s">
        <v>192</v>
      </c>
      <c r="D164" s="128">
        <f>D165+D166+D167+D168+D169+D171+D173+D172+D170</f>
        <v>16175</v>
      </c>
      <c r="E164" s="128">
        <f>E165+E166+E167+E168+E169+E171+E173+E172+E170</f>
        <v>14934.4</v>
      </c>
      <c r="F164" s="128">
        <f>F165+F166+F167+F168+F169+F171+F173+F172+F170</f>
        <v>15079.1</v>
      </c>
      <c r="G164" s="128" t="e">
        <f>F164/#REF!*100</f>
        <v>#REF!</v>
      </c>
      <c r="H164" s="128">
        <f>F164/D164*100</f>
        <v>93.22472952086554</v>
      </c>
      <c r="I164" s="128">
        <f aca="true" t="shared" si="19" ref="I164:I176">F164*100/E164</f>
        <v>100.96890400685666</v>
      </c>
    </row>
    <row r="165" spans="1:9" ht="12.75">
      <c r="A165" s="85" t="s">
        <v>193</v>
      </c>
      <c r="B165" s="85"/>
      <c r="C165" s="129" t="s">
        <v>194</v>
      </c>
      <c r="D165" s="80">
        <v>13504</v>
      </c>
      <c r="E165" s="81">
        <v>12469</v>
      </c>
      <c r="F165" s="81">
        <v>13164.9</v>
      </c>
      <c r="G165" s="82" t="e">
        <f>F165/#REF!*100</f>
        <v>#REF!</v>
      </c>
      <c r="H165" s="82">
        <f>F165/D165*100</f>
        <v>97.4888921800948</v>
      </c>
      <c r="I165" s="80">
        <f t="shared" si="19"/>
        <v>105.58104098163446</v>
      </c>
    </row>
    <row r="166" spans="1:9" ht="12.75">
      <c r="A166" s="75" t="s">
        <v>195</v>
      </c>
      <c r="B166" s="75"/>
      <c r="C166" s="129" t="s">
        <v>196</v>
      </c>
      <c r="D166" s="80"/>
      <c r="E166" s="81"/>
      <c r="F166" s="81"/>
      <c r="G166" s="82"/>
      <c r="H166" s="82"/>
      <c r="I166" s="80" t="e">
        <f t="shared" si="19"/>
        <v>#DIV/0!</v>
      </c>
    </row>
    <row r="167" spans="1:9" ht="12.75">
      <c r="A167" s="75" t="s">
        <v>197</v>
      </c>
      <c r="B167" s="75"/>
      <c r="C167" s="129" t="s">
        <v>198</v>
      </c>
      <c r="D167" s="80">
        <v>1700</v>
      </c>
      <c r="E167" s="81">
        <v>485</v>
      </c>
      <c r="F167" s="81">
        <v>-77.8</v>
      </c>
      <c r="G167" s="82" t="e">
        <f>F167/#REF!*100</f>
        <v>#REF!</v>
      </c>
      <c r="H167" s="82">
        <f>F167/D167*100</f>
        <v>-4.576470588235294</v>
      </c>
      <c r="I167" s="80">
        <f t="shared" si="19"/>
        <v>-16.04123711340206</v>
      </c>
    </row>
    <row r="168" spans="1:9" ht="12.75">
      <c r="A168" s="75" t="s">
        <v>199</v>
      </c>
      <c r="B168" s="75"/>
      <c r="C168" s="129" t="s">
        <v>200</v>
      </c>
      <c r="D168" s="80">
        <v>190</v>
      </c>
      <c r="E168" s="81">
        <v>170</v>
      </c>
      <c r="F168" s="81">
        <v>166.9</v>
      </c>
      <c r="G168" s="82" t="e">
        <f>F168/#REF!*100</f>
        <v>#REF!</v>
      </c>
      <c r="H168" s="82">
        <f>F168/D168*100</f>
        <v>87.8421052631579</v>
      </c>
      <c r="I168" s="80">
        <f t="shared" si="19"/>
        <v>98.17647058823529</v>
      </c>
    </row>
    <row r="169" spans="1:9" ht="24">
      <c r="A169" s="76" t="s">
        <v>203</v>
      </c>
      <c r="B169" s="76"/>
      <c r="C169" s="129" t="s">
        <v>204</v>
      </c>
      <c r="D169" s="80">
        <v>440.5</v>
      </c>
      <c r="E169" s="81">
        <v>980</v>
      </c>
      <c r="F169" s="81">
        <v>983.2</v>
      </c>
      <c r="G169" s="82" t="e">
        <f>F169/#REF!*100</f>
        <v>#REF!</v>
      </c>
      <c r="H169" s="82">
        <f>F169/D169*100</f>
        <v>223.20090805902387</v>
      </c>
      <c r="I169" s="80">
        <f t="shared" si="19"/>
        <v>100.3265306122449</v>
      </c>
    </row>
    <row r="170" spans="1:9" ht="24">
      <c r="A170" s="131" t="s">
        <v>207</v>
      </c>
      <c r="B170" s="131"/>
      <c r="C170" s="129" t="s">
        <v>208</v>
      </c>
      <c r="D170" s="80">
        <v>145</v>
      </c>
      <c r="E170" s="81">
        <v>180</v>
      </c>
      <c r="F170" s="81">
        <v>189.8</v>
      </c>
      <c r="G170" s="82" t="e">
        <f>F170/#REF!*100</f>
        <v>#REF!</v>
      </c>
      <c r="H170" s="82">
        <f>F170/D170*100</f>
        <v>130.89655172413794</v>
      </c>
      <c r="I170" s="80">
        <f t="shared" si="19"/>
        <v>105.44444444444444</v>
      </c>
    </row>
    <row r="171" spans="1:9" ht="24">
      <c r="A171" s="131" t="s">
        <v>209</v>
      </c>
      <c r="B171" s="131"/>
      <c r="C171" s="129" t="s">
        <v>210</v>
      </c>
      <c r="D171" s="80">
        <v>195.5</v>
      </c>
      <c r="E171" s="81">
        <v>107.5</v>
      </c>
      <c r="F171" s="81">
        <v>105.9</v>
      </c>
      <c r="G171" s="82" t="e">
        <f>F171/#REF!*100</f>
        <v>#REF!</v>
      </c>
      <c r="H171" s="82">
        <f>F171/D171*100</f>
        <v>54.1687979539642</v>
      </c>
      <c r="I171" s="80">
        <f t="shared" si="19"/>
        <v>98.51162790697674</v>
      </c>
    </row>
    <row r="172" spans="1:9" ht="12.75">
      <c r="A172" s="85" t="s">
        <v>213</v>
      </c>
      <c r="B172" s="85"/>
      <c r="C172" s="129" t="s">
        <v>214</v>
      </c>
      <c r="D172" s="80"/>
      <c r="E172" s="81">
        <v>542.9</v>
      </c>
      <c r="F172" s="81">
        <v>546.2</v>
      </c>
      <c r="G172" s="82" t="e">
        <f>F172/#REF!*100</f>
        <v>#REF!</v>
      </c>
      <c r="H172" s="82"/>
      <c r="I172" s="80">
        <f t="shared" si="19"/>
        <v>100.60784674894089</v>
      </c>
    </row>
    <row r="173" spans="1:9" ht="12.75">
      <c r="A173" s="145" t="s">
        <v>215</v>
      </c>
      <c r="B173" s="133"/>
      <c r="C173" s="79" t="s">
        <v>216</v>
      </c>
      <c r="D173" s="80"/>
      <c r="E173" s="81"/>
      <c r="F173" s="81"/>
      <c r="G173" s="82" t="e">
        <f>F173/#REF!*100</f>
        <v>#REF!</v>
      </c>
      <c r="H173" s="82"/>
      <c r="I173" s="80" t="e">
        <f t="shared" si="19"/>
        <v>#DIV/0!</v>
      </c>
    </row>
    <row r="174" spans="1:9" ht="12.75">
      <c r="A174" s="126" t="s">
        <v>219</v>
      </c>
      <c r="B174" s="126"/>
      <c r="C174" s="134" t="s">
        <v>220</v>
      </c>
      <c r="D174" s="136">
        <f>D175</f>
        <v>42542</v>
      </c>
      <c r="E174" s="136">
        <f>E175</f>
        <v>62937.4</v>
      </c>
      <c r="F174" s="136">
        <f>F175</f>
        <v>62937.4</v>
      </c>
      <c r="G174" s="128" t="e">
        <f>F174/#REF!*100</f>
        <v>#REF!</v>
      </c>
      <c r="H174" s="128">
        <f>F174/D174*100</f>
        <v>147.94179869305628</v>
      </c>
      <c r="I174" s="136">
        <f t="shared" si="19"/>
        <v>100</v>
      </c>
    </row>
    <row r="175" spans="1:9" ht="24">
      <c r="A175" s="77" t="s">
        <v>221</v>
      </c>
      <c r="B175" s="75"/>
      <c r="C175" s="137" t="s">
        <v>222</v>
      </c>
      <c r="D175" s="80">
        <v>42542</v>
      </c>
      <c r="E175" s="81">
        <v>62937.4</v>
      </c>
      <c r="F175" s="81">
        <v>62937.4</v>
      </c>
      <c r="G175" s="82" t="e">
        <f>F175/#REF!*100</f>
        <v>#REF!</v>
      </c>
      <c r="H175" s="82">
        <f>F175/D175*100</f>
        <v>147.94179869305628</v>
      </c>
      <c r="I175" s="80">
        <f t="shared" si="19"/>
        <v>100</v>
      </c>
    </row>
    <row r="176" spans="1:9" ht="12.75">
      <c r="A176" s="85"/>
      <c r="B176" s="86"/>
      <c r="C176" s="87" t="s">
        <v>229</v>
      </c>
      <c r="D176" s="88">
        <f>D174+D164</f>
        <v>58717</v>
      </c>
      <c r="E176" s="88">
        <f>E174+E164</f>
        <v>77871.8</v>
      </c>
      <c r="F176" s="88">
        <f>F174+F164</f>
        <v>78016.5</v>
      </c>
      <c r="G176" s="128" t="e">
        <f>F176/#REF!*100</f>
        <v>#REF!</v>
      </c>
      <c r="H176" s="128">
        <f>F176/D176*100</f>
        <v>132.8686751707342</v>
      </c>
      <c r="I176" s="136">
        <f t="shared" si="19"/>
        <v>100.18581822944891</v>
      </c>
    </row>
    <row r="177" spans="1:9" ht="12.75">
      <c r="A177" s="192"/>
      <c r="B177" s="193"/>
      <c r="C177" s="193"/>
      <c r="D177" s="193"/>
      <c r="E177" s="193"/>
      <c r="F177" s="193"/>
      <c r="G177" s="193"/>
      <c r="H177" s="194"/>
      <c r="I177" s="139"/>
    </row>
    <row r="178" spans="1:9" ht="12.75">
      <c r="A178" s="191" t="s">
        <v>240</v>
      </c>
      <c r="B178" s="191"/>
      <c r="C178" s="191"/>
      <c r="D178" s="191"/>
      <c r="E178" s="191"/>
      <c r="F178" s="191"/>
      <c r="G178" s="191"/>
      <c r="H178" s="191"/>
      <c r="I178" s="191"/>
    </row>
    <row r="179" spans="1:9" ht="12.75">
      <c r="A179" s="126" t="s">
        <v>191</v>
      </c>
      <c r="B179" s="126"/>
      <c r="C179" s="127" t="s">
        <v>192</v>
      </c>
      <c r="D179" s="128">
        <f>D180+D182+D184+D185+D183+D186+D187+D181</f>
        <v>1347.8</v>
      </c>
      <c r="E179" s="128">
        <f>E180+E182+E184+E185+E183+E186+E187+E181</f>
        <v>1835.9000000000003</v>
      </c>
      <c r="F179" s="128">
        <f>F180+F182+F184+F185+F183+F186+F187+F181</f>
        <v>1878.3999999999999</v>
      </c>
      <c r="G179" s="128" t="e">
        <f>F179/#REF!*100</f>
        <v>#REF!</v>
      </c>
      <c r="H179" s="128">
        <f aca="true" t="shared" si="20" ref="H179:H185">F179/D179*100</f>
        <v>139.36785873274965</v>
      </c>
      <c r="I179" s="128">
        <f aca="true" t="shared" si="21" ref="I179:I186">F179*100/E179</f>
        <v>102.31494090092052</v>
      </c>
    </row>
    <row r="180" spans="1:9" ht="12.75">
      <c r="A180" s="85" t="s">
        <v>193</v>
      </c>
      <c r="B180" s="85"/>
      <c r="C180" s="129" t="s">
        <v>194</v>
      </c>
      <c r="D180" s="80">
        <v>1018.1</v>
      </c>
      <c r="E180" s="81">
        <v>1106.4</v>
      </c>
      <c r="F180" s="81">
        <v>1138.8</v>
      </c>
      <c r="G180" s="82" t="e">
        <f>F180/#REF!*100</f>
        <v>#REF!</v>
      </c>
      <c r="H180" s="82">
        <f t="shared" si="20"/>
        <v>111.85541695314802</v>
      </c>
      <c r="I180" s="80">
        <f t="shared" si="21"/>
        <v>102.92841648590021</v>
      </c>
    </row>
    <row r="181" spans="1:9" ht="36">
      <c r="A181" s="75" t="s">
        <v>195</v>
      </c>
      <c r="B181" s="154" t="s">
        <v>241</v>
      </c>
      <c r="C181" s="129" t="s">
        <v>196</v>
      </c>
      <c r="D181" s="80"/>
      <c r="E181" s="81">
        <v>13.2</v>
      </c>
      <c r="F181" s="81">
        <v>13.2</v>
      </c>
      <c r="G181" s="82" t="e">
        <f>F181/#REF!*100</f>
        <v>#REF!</v>
      </c>
      <c r="H181" s="82"/>
      <c r="I181" s="80">
        <f t="shared" si="21"/>
        <v>100</v>
      </c>
    </row>
    <row r="182" spans="1:9" ht="12.75">
      <c r="A182" s="75" t="s">
        <v>197</v>
      </c>
      <c r="B182" s="75"/>
      <c r="C182" s="129" t="s">
        <v>198</v>
      </c>
      <c r="D182" s="80">
        <v>127</v>
      </c>
      <c r="E182" s="81">
        <v>68.9</v>
      </c>
      <c r="F182" s="81">
        <v>70</v>
      </c>
      <c r="G182" s="82" t="e">
        <f>F182/#REF!*100</f>
        <v>#REF!</v>
      </c>
      <c r="H182" s="82">
        <f t="shared" si="20"/>
        <v>55.118110236220474</v>
      </c>
      <c r="I182" s="80">
        <f t="shared" si="21"/>
        <v>101.5965166908563</v>
      </c>
    </row>
    <row r="183" spans="1:9" ht="12.75">
      <c r="A183" s="75" t="s">
        <v>199</v>
      </c>
      <c r="B183" s="75"/>
      <c r="C183" s="129" t="s">
        <v>200</v>
      </c>
      <c r="D183" s="80">
        <v>27</v>
      </c>
      <c r="E183" s="81">
        <v>39.3</v>
      </c>
      <c r="F183" s="81">
        <v>40</v>
      </c>
      <c r="G183" s="82" t="e">
        <f>F183/#REF!*100</f>
        <v>#REF!</v>
      </c>
      <c r="H183" s="82">
        <f t="shared" si="20"/>
        <v>148.14814814814815</v>
      </c>
      <c r="I183" s="80">
        <f t="shared" si="21"/>
        <v>101.78117048346057</v>
      </c>
    </row>
    <row r="184" spans="1:9" ht="24">
      <c r="A184" s="76" t="s">
        <v>203</v>
      </c>
      <c r="B184" s="76"/>
      <c r="C184" s="129" t="s">
        <v>204</v>
      </c>
      <c r="D184" s="80">
        <v>175</v>
      </c>
      <c r="E184" s="81">
        <v>340.5</v>
      </c>
      <c r="F184" s="81">
        <v>346.3</v>
      </c>
      <c r="G184" s="82" t="e">
        <f>F184/#REF!*100</f>
        <v>#REF!</v>
      </c>
      <c r="H184" s="82">
        <f t="shared" si="20"/>
        <v>197.8857142857143</v>
      </c>
      <c r="I184" s="80">
        <f t="shared" si="21"/>
        <v>101.70337738619676</v>
      </c>
    </row>
    <row r="185" spans="1:9" ht="24">
      <c r="A185" s="130" t="s">
        <v>209</v>
      </c>
      <c r="B185" s="130"/>
      <c r="C185" s="129" t="s">
        <v>210</v>
      </c>
      <c r="D185" s="80">
        <v>0.7</v>
      </c>
      <c r="E185" s="81">
        <v>1</v>
      </c>
      <c r="F185" s="81">
        <v>3.5</v>
      </c>
      <c r="G185" s="82" t="e">
        <f>F185/#REF!*100</f>
        <v>#REF!</v>
      </c>
      <c r="H185" s="82">
        <f t="shared" si="20"/>
        <v>500</v>
      </c>
      <c r="I185" s="80">
        <f t="shared" si="21"/>
        <v>350</v>
      </c>
    </row>
    <row r="186" spans="1:9" ht="12.75">
      <c r="A186" s="130" t="s">
        <v>213</v>
      </c>
      <c r="B186" s="153"/>
      <c r="C186" s="129" t="s">
        <v>214</v>
      </c>
      <c r="D186" s="80"/>
      <c r="E186" s="81">
        <v>266.6</v>
      </c>
      <c r="F186" s="81">
        <v>266.6</v>
      </c>
      <c r="G186" s="82" t="e">
        <f>F186/#REF!*100</f>
        <v>#REF!</v>
      </c>
      <c r="H186" s="82"/>
      <c r="I186" s="80">
        <f t="shared" si="21"/>
        <v>100</v>
      </c>
    </row>
    <row r="187" spans="1:9" ht="12.75">
      <c r="A187" s="145" t="s">
        <v>215</v>
      </c>
      <c r="B187" s="133"/>
      <c r="C187" s="79" t="s">
        <v>216</v>
      </c>
      <c r="D187" s="80"/>
      <c r="E187" s="81"/>
      <c r="F187" s="81"/>
      <c r="G187" s="82" t="e">
        <f>F187/#REF!*100</f>
        <v>#REF!</v>
      </c>
      <c r="H187" s="82"/>
      <c r="I187" s="80"/>
    </row>
    <row r="188" spans="1:9" ht="12.75">
      <c r="A188" s="126" t="s">
        <v>219</v>
      </c>
      <c r="B188" s="126"/>
      <c r="C188" s="134" t="s">
        <v>220</v>
      </c>
      <c r="D188" s="135">
        <f>D189</f>
        <v>22445.6</v>
      </c>
      <c r="E188" s="135">
        <f>E189</f>
        <v>27442.5</v>
      </c>
      <c r="F188" s="135">
        <f>F189</f>
        <v>27442.5</v>
      </c>
      <c r="G188" s="128" t="e">
        <f>F188/#REF!*100</f>
        <v>#REF!</v>
      </c>
      <c r="H188" s="128">
        <f>F188/D188*100</f>
        <v>122.26226966532417</v>
      </c>
      <c r="I188" s="136">
        <f>F188*100/E188</f>
        <v>100</v>
      </c>
    </row>
    <row r="189" spans="1:9" ht="24">
      <c r="A189" s="77" t="s">
        <v>221</v>
      </c>
      <c r="B189" s="75"/>
      <c r="C189" s="137" t="s">
        <v>222</v>
      </c>
      <c r="D189" s="80">
        <v>22445.6</v>
      </c>
      <c r="E189" s="81">
        <v>27442.5</v>
      </c>
      <c r="F189" s="81">
        <v>27442.5</v>
      </c>
      <c r="G189" s="82" t="e">
        <f>F189/#REF!*100</f>
        <v>#REF!</v>
      </c>
      <c r="H189" s="82">
        <f>F189/D189*100</f>
        <v>122.26226966532417</v>
      </c>
      <c r="I189" s="80">
        <f>F189*100/E189</f>
        <v>100</v>
      </c>
    </row>
    <row r="190" spans="1:9" ht="12.75">
      <c r="A190" s="85"/>
      <c r="B190" s="86"/>
      <c r="C190" s="87" t="s">
        <v>229</v>
      </c>
      <c r="D190" s="88">
        <f>D188+D179</f>
        <v>23793.399999999998</v>
      </c>
      <c r="E190" s="88">
        <f>E188+E179</f>
        <v>29278.4</v>
      </c>
      <c r="F190" s="88">
        <f>F188+F179</f>
        <v>29320.9</v>
      </c>
      <c r="G190" s="128" t="e">
        <f>F190/#REF!*100</f>
        <v>#REF!</v>
      </c>
      <c r="H190" s="128">
        <f>F190/D190*100</f>
        <v>123.23123219043939</v>
      </c>
      <c r="I190" s="136">
        <f>F190*100/E190</f>
        <v>100.14515820536641</v>
      </c>
    </row>
    <row r="191" spans="1:9" ht="12.75">
      <c r="A191" s="192"/>
      <c r="B191" s="193"/>
      <c r="C191" s="193"/>
      <c r="D191" s="193"/>
      <c r="E191" s="193"/>
      <c r="F191" s="193"/>
      <c r="G191" s="193"/>
      <c r="H191" s="194"/>
      <c r="I191" s="139"/>
    </row>
    <row r="192" spans="1:9" ht="12.75">
      <c r="A192" s="191" t="s">
        <v>242</v>
      </c>
      <c r="B192" s="191"/>
      <c r="C192" s="191"/>
      <c r="D192" s="191"/>
      <c r="E192" s="191"/>
      <c r="F192" s="191"/>
      <c r="G192" s="191"/>
      <c r="H192" s="191"/>
      <c r="I192" s="191"/>
    </row>
    <row r="193" spans="1:9" ht="12.75">
      <c r="A193" s="126" t="s">
        <v>191</v>
      </c>
      <c r="B193" s="155"/>
      <c r="C193" s="127" t="s">
        <v>192</v>
      </c>
      <c r="D193" s="128">
        <f>D194+D196+D197+D198+D200+D201+D203+D205+D202+D199+D206+D204+D195</f>
        <v>762543.8999999999</v>
      </c>
      <c r="E193" s="128">
        <f>E194+E196+E197+E198+E200+E201+E203+E205+E202+E199+E206+E204+E195</f>
        <v>931560.7999999999</v>
      </c>
      <c r="F193" s="128">
        <f>F194+F196+F197+F198+F200+F201+F203+F205+F202+F199+F206+F204+F195</f>
        <v>933820.7999999998</v>
      </c>
      <c r="G193" s="128" t="e">
        <f>F193/#REF!*100</f>
        <v>#REF!</v>
      </c>
      <c r="H193" s="128">
        <f aca="true" t="shared" si="22" ref="H193:H205">F193/D193*100</f>
        <v>122.46125108338023</v>
      </c>
      <c r="I193" s="128">
        <f>F193*100/E193</f>
        <v>100.24260359602937</v>
      </c>
    </row>
    <row r="194" spans="1:9" ht="36">
      <c r="A194" s="85" t="s">
        <v>193</v>
      </c>
      <c r="B194" s="156" t="s">
        <v>243</v>
      </c>
      <c r="C194" s="129" t="s">
        <v>194</v>
      </c>
      <c r="D194" s="81">
        <f>D9+D31+D43+D58+D74+D91+D105+D119+D134+D150+D165+D180</f>
        <v>594406.7999999999</v>
      </c>
      <c r="E194" s="81">
        <f>E9+E31+E43+E58+E74+E91+E105+E119+E134+E150+E165+E180</f>
        <v>684714</v>
      </c>
      <c r="F194" s="81">
        <f>F9+F31+F43+F58+F74+F91+F105+F119+F134+F150+F165+F180</f>
        <v>677092.8</v>
      </c>
      <c r="G194" s="82" t="e">
        <f>F194/#REF!*100</f>
        <v>#REF!</v>
      </c>
      <c r="H194" s="82">
        <f t="shared" si="22"/>
        <v>113.91067531528915</v>
      </c>
      <c r="I194" s="80">
        <f>F194*100/E194</f>
        <v>98.88695134026761</v>
      </c>
    </row>
    <row r="195" spans="1:9" ht="12.75">
      <c r="A195" s="75" t="s">
        <v>274</v>
      </c>
      <c r="B195" s="75"/>
      <c r="C195" s="129" t="s">
        <v>275</v>
      </c>
      <c r="D195" s="81">
        <f aca="true" t="shared" si="23" ref="D195:I195">D10</f>
        <v>0</v>
      </c>
      <c r="E195" s="81">
        <f t="shared" si="23"/>
        <v>0</v>
      </c>
      <c r="F195" s="81">
        <f t="shared" si="23"/>
        <v>0</v>
      </c>
      <c r="G195" s="81">
        <f t="shared" si="23"/>
        <v>0</v>
      </c>
      <c r="H195" s="81">
        <f t="shared" si="23"/>
        <v>0</v>
      </c>
      <c r="I195" s="81">
        <f t="shared" si="23"/>
        <v>0</v>
      </c>
    </row>
    <row r="196" spans="1:9" ht="36">
      <c r="A196" s="75" t="s">
        <v>195</v>
      </c>
      <c r="B196" s="154" t="s">
        <v>241</v>
      </c>
      <c r="C196" s="129" t="s">
        <v>196</v>
      </c>
      <c r="D196" s="81">
        <f>D11+D44+D59+D181+D135</f>
        <v>33985.6</v>
      </c>
      <c r="E196" s="81">
        <f>E11+E44+E59+E181+E135</f>
        <v>34371.2</v>
      </c>
      <c r="F196" s="81">
        <f>F11+F44+F59+F181+F135</f>
        <v>34579.7</v>
      </c>
      <c r="G196" s="82" t="e">
        <f>F196/#REF!*100</f>
        <v>#REF!</v>
      </c>
      <c r="H196" s="82">
        <f t="shared" si="22"/>
        <v>101.7480933101078</v>
      </c>
      <c r="I196" s="80">
        <f aca="true" t="shared" si="24" ref="I196:I211">F196*100/E196</f>
        <v>100.6066125128014</v>
      </c>
    </row>
    <row r="197" spans="1:9" ht="36">
      <c r="A197" s="75" t="s">
        <v>197</v>
      </c>
      <c r="B197" s="154" t="s">
        <v>244</v>
      </c>
      <c r="C197" s="129" t="s">
        <v>198</v>
      </c>
      <c r="D197" s="81">
        <f>D12+D32+D45+D60+D76+D92+D106+D120+D136+D151+D167+D182</f>
        <v>27770.8</v>
      </c>
      <c r="E197" s="81">
        <f>E12+E32+E45+E60+E76+E92+E106+E120+E136+E151+E167+E182-0.1</f>
        <v>31197.000000000007</v>
      </c>
      <c r="F197" s="81">
        <f>F12+F32+F45+F60+F76+F92+F106+F120+F136+F151+F167+F182</f>
        <v>29312.100000000002</v>
      </c>
      <c r="G197" s="82" t="e">
        <f>F197/#REF!*100</f>
        <v>#REF!</v>
      </c>
      <c r="H197" s="82">
        <f t="shared" si="22"/>
        <v>105.5500741786337</v>
      </c>
      <c r="I197" s="80">
        <f t="shared" si="24"/>
        <v>93.95807289162417</v>
      </c>
    </row>
    <row r="198" spans="1:9" ht="36">
      <c r="A198" s="75" t="s">
        <v>199</v>
      </c>
      <c r="B198" s="154" t="s">
        <v>245</v>
      </c>
      <c r="C198" s="129" t="s">
        <v>200</v>
      </c>
      <c r="D198" s="81">
        <f>D13+D33+D61+D77+D93+D107+D121+D137+D152+D168+D183</f>
        <v>3353</v>
      </c>
      <c r="E198" s="81">
        <f>E13+E33+E61+E77+E93+E107+E121+E137+E152+E168+E183</f>
        <v>4036.1000000000004</v>
      </c>
      <c r="F198" s="81">
        <f>F13+F33+F46+F61+F77+F93+F107+F121+F137+F152+F168+F183-0.2</f>
        <v>4423.2</v>
      </c>
      <c r="G198" s="82" t="e">
        <f>F198/#REF!*100</f>
        <v>#REF!</v>
      </c>
      <c r="H198" s="82">
        <f t="shared" si="22"/>
        <v>131.91768565463764</v>
      </c>
      <c r="I198" s="80">
        <f t="shared" si="24"/>
        <v>109.59094175069993</v>
      </c>
    </row>
    <row r="199" spans="1:9" ht="24">
      <c r="A199" s="75" t="s">
        <v>201</v>
      </c>
      <c r="B199" s="154" t="s">
        <v>246</v>
      </c>
      <c r="C199" s="129" t="s">
        <v>202</v>
      </c>
      <c r="D199" s="157">
        <f>D14</f>
        <v>0</v>
      </c>
      <c r="E199" s="157">
        <f>E14</f>
        <v>1.6</v>
      </c>
      <c r="F199" s="157">
        <f>F14</f>
        <v>-11.1</v>
      </c>
      <c r="G199" s="82" t="e">
        <f>F199/#REF!*100</f>
        <v>#REF!</v>
      </c>
      <c r="H199" s="82"/>
      <c r="I199" s="80">
        <f t="shared" si="24"/>
        <v>-693.75</v>
      </c>
    </row>
    <row r="200" spans="1:9" ht="36">
      <c r="A200" s="76" t="s">
        <v>203</v>
      </c>
      <c r="B200" s="158" t="s">
        <v>247</v>
      </c>
      <c r="C200" s="129" t="s">
        <v>204</v>
      </c>
      <c r="D200" s="81">
        <f>D15+D34+D47+D62+D78+D94+D108+D122+D138+D153+D169+D184</f>
        <v>77551</v>
      </c>
      <c r="E200" s="81">
        <f>E15+E34+E47+E62+E78+E94+E108+E122+E138+E153+E169+E184-0.1</f>
        <v>107104.2</v>
      </c>
      <c r="F200" s="81">
        <f>F15+F34+F47+F62+F78+F94+F108+F122+F138+F153+F169+F184+0.2</f>
        <v>113544.9</v>
      </c>
      <c r="G200" s="82" t="e">
        <f>F200/#REF!*100</f>
        <v>#REF!</v>
      </c>
      <c r="H200" s="82">
        <f t="shared" si="22"/>
        <v>146.41319905610501</v>
      </c>
      <c r="I200" s="80">
        <f t="shared" si="24"/>
        <v>106.01348966707188</v>
      </c>
    </row>
    <row r="201" spans="1:9" ht="12.75">
      <c r="A201" s="130" t="s">
        <v>205</v>
      </c>
      <c r="B201" s="159" t="s">
        <v>248</v>
      </c>
      <c r="C201" s="129" t="s">
        <v>206</v>
      </c>
      <c r="D201" s="81">
        <f>D16</f>
        <v>13500</v>
      </c>
      <c r="E201" s="81">
        <f>E16</f>
        <v>17650.3</v>
      </c>
      <c r="F201" s="81">
        <f>F16</f>
        <v>17673.7</v>
      </c>
      <c r="G201" s="82" t="e">
        <f>F201/#REF!*100</f>
        <v>#REF!</v>
      </c>
      <c r="H201" s="82">
        <f t="shared" si="22"/>
        <v>130.9162962962963</v>
      </c>
      <c r="I201" s="80">
        <f t="shared" si="24"/>
        <v>100.13257565027224</v>
      </c>
    </row>
    <row r="202" spans="1:9" ht="24">
      <c r="A202" s="131" t="s">
        <v>207</v>
      </c>
      <c r="B202" s="160" t="s">
        <v>249</v>
      </c>
      <c r="C202" s="129" t="s">
        <v>208</v>
      </c>
      <c r="D202" s="161">
        <f>D17+D79+D95+D123+D139+D154+D170+D109+D63</f>
        <v>1870</v>
      </c>
      <c r="E202" s="161">
        <f>E17+E79+E95+E123+E139+E154+E170+E109+E63</f>
        <v>21049</v>
      </c>
      <c r="F202" s="161">
        <f>F17+F79+F95+F123+F139+F154+F170+F109+F63+0.1</f>
        <v>21610.1</v>
      </c>
      <c r="G202" s="82" t="e">
        <f>F202/#REF!*100</f>
        <v>#REF!</v>
      </c>
      <c r="H202" s="82">
        <f t="shared" si="22"/>
        <v>1155.6203208556149</v>
      </c>
      <c r="I202" s="80">
        <f t="shared" si="24"/>
        <v>102.66568483063328</v>
      </c>
    </row>
    <row r="203" spans="1:9" ht="24">
      <c r="A203" s="131" t="s">
        <v>209</v>
      </c>
      <c r="B203" s="160" t="s">
        <v>250</v>
      </c>
      <c r="C203" s="129" t="s">
        <v>210</v>
      </c>
      <c r="D203" s="81">
        <f>D18+D35+D48+D64+D80+D96+D110+D140+D155+D171+D185+D124</f>
        <v>6790</v>
      </c>
      <c r="E203" s="81">
        <f>E18+E35+E48+E64+E80+E96+E110+E140+E155+E171+E185+E124</f>
        <v>15056.900000000001</v>
      </c>
      <c r="F203" s="81">
        <f>F18+F35+F48+F64+F80+F96+F110+F140+F155+F171+F185+F124</f>
        <v>15687.700000000003</v>
      </c>
      <c r="G203" s="82" t="e">
        <f>F203/#REF!*100</f>
        <v>#REF!</v>
      </c>
      <c r="H203" s="82">
        <f t="shared" si="22"/>
        <v>231.04123711340213</v>
      </c>
      <c r="I203" s="80">
        <f t="shared" si="24"/>
        <v>104.189441385677</v>
      </c>
    </row>
    <row r="204" spans="1:9" ht="12.75">
      <c r="A204" s="131" t="s">
        <v>211</v>
      </c>
      <c r="B204" s="131"/>
      <c r="C204" s="129" t="s">
        <v>212</v>
      </c>
      <c r="D204" s="81">
        <f>D19</f>
        <v>10</v>
      </c>
      <c r="E204" s="81">
        <f>E19</f>
        <v>11.5</v>
      </c>
      <c r="F204" s="81">
        <f>F19</f>
        <v>11.5</v>
      </c>
      <c r="G204" s="82" t="e">
        <f>F204/#REF!*100</f>
        <v>#REF!</v>
      </c>
      <c r="H204" s="82">
        <f t="shared" si="22"/>
        <v>114.99999999999999</v>
      </c>
      <c r="I204" s="80">
        <f t="shared" si="24"/>
        <v>100</v>
      </c>
    </row>
    <row r="205" spans="1:9" ht="36">
      <c r="A205" s="85" t="s">
        <v>213</v>
      </c>
      <c r="B205" s="156" t="s">
        <v>251</v>
      </c>
      <c r="C205" s="129" t="s">
        <v>214</v>
      </c>
      <c r="D205" s="81">
        <f>D20+D172+D186+D65+D125+D49+D141</f>
        <v>3306.7</v>
      </c>
      <c r="E205" s="81">
        <f>E20+E172+E186+E65+E125+E49+E141-0.1</f>
        <v>16286</v>
      </c>
      <c r="F205" s="81">
        <f>F20+F172+F186+F65+F125+F49+F141-0.1</f>
        <v>21054.000000000004</v>
      </c>
      <c r="G205" s="82" t="e">
        <f>F205/#REF!*100</f>
        <v>#REF!</v>
      </c>
      <c r="H205" s="82">
        <f t="shared" si="22"/>
        <v>636.7072912571447</v>
      </c>
      <c r="I205" s="80">
        <f t="shared" si="24"/>
        <v>129.27667935650254</v>
      </c>
    </row>
    <row r="206" spans="1:9" ht="12.75">
      <c r="A206" s="132" t="s">
        <v>215</v>
      </c>
      <c r="B206" s="162" t="s">
        <v>246</v>
      </c>
      <c r="C206" s="79" t="s">
        <v>216</v>
      </c>
      <c r="D206" s="81">
        <f>D21+D36+D50+D66+D82+D97+D112+D126+D142+D157+D173+D187</f>
        <v>0</v>
      </c>
      <c r="E206" s="81">
        <f>E21+E36+E50+E66+E82+E97+E112+E126+E142+E157+E173+E187</f>
        <v>83</v>
      </c>
      <c r="F206" s="81">
        <f>F21+F36+F50+F66+F82+F97+F112+F126+F142+F157+F173+F187</f>
        <v>-1157.8</v>
      </c>
      <c r="G206" s="82"/>
      <c r="H206" s="82"/>
      <c r="I206" s="80">
        <f t="shared" si="24"/>
        <v>-1394.9397590361446</v>
      </c>
    </row>
    <row r="207" spans="1:9" ht="12.75">
      <c r="A207" s="126" t="s">
        <v>219</v>
      </c>
      <c r="B207" s="155"/>
      <c r="C207" s="134" t="s">
        <v>220</v>
      </c>
      <c r="D207" s="135">
        <f>D208+D209+D210</f>
        <v>2383209.9000000004</v>
      </c>
      <c r="E207" s="135">
        <f>E208+E209+E210</f>
        <v>3514179.8000000003</v>
      </c>
      <c r="F207" s="135">
        <f>F208+F209+F210+0.1</f>
        <v>3392973.7</v>
      </c>
      <c r="G207" s="128" t="e">
        <f>F207/#REF!*100</f>
        <v>#REF!</v>
      </c>
      <c r="H207" s="128">
        <f>F207/D207*100</f>
        <v>142.36990623444456</v>
      </c>
      <c r="I207" s="136">
        <f t="shared" si="24"/>
        <v>96.55094198651986</v>
      </c>
    </row>
    <row r="208" spans="1:9" ht="36">
      <c r="A208" s="77" t="s">
        <v>221</v>
      </c>
      <c r="B208" s="154" t="s">
        <v>252</v>
      </c>
      <c r="C208" s="137" t="s">
        <v>222</v>
      </c>
      <c r="D208" s="80">
        <f>D23-26506.3</f>
        <v>2358029.9000000004</v>
      </c>
      <c r="E208" s="80">
        <f>E23-27251.5</f>
        <v>3481844</v>
      </c>
      <c r="F208" s="80">
        <f>F23-27251.5</f>
        <v>3360383.4</v>
      </c>
      <c r="G208" s="82" t="e">
        <f>F208/#REF!*100</f>
        <v>#REF!</v>
      </c>
      <c r="H208" s="82">
        <f>F208/D208*100</f>
        <v>142.50809118238914</v>
      </c>
      <c r="I208" s="80">
        <f t="shared" si="24"/>
        <v>96.51160132389619</v>
      </c>
    </row>
    <row r="209" spans="1:9" ht="36">
      <c r="A209" s="77" t="s">
        <v>223</v>
      </c>
      <c r="B209" s="77" t="s">
        <v>253</v>
      </c>
      <c r="C209" s="138" t="s">
        <v>224</v>
      </c>
      <c r="D209" s="81">
        <f>D24+D86+D100+D160+D129</f>
        <v>25180</v>
      </c>
      <c r="E209" s="81">
        <f>E24+E86+E100+E160+E129</f>
        <v>53968.7</v>
      </c>
      <c r="F209" s="81">
        <f>F24+F86+F100+F160+F129</f>
        <v>54225.1</v>
      </c>
      <c r="G209" s="82" t="e">
        <f>F209/#REF!*100</f>
        <v>#REF!</v>
      </c>
      <c r="H209" s="82">
        <f>F209/D209*100</f>
        <v>215.34988085782368</v>
      </c>
      <c r="I209" s="80">
        <f t="shared" si="24"/>
        <v>100.47509019116637</v>
      </c>
    </row>
    <row r="210" spans="1:9" ht="36">
      <c r="A210" s="77" t="s">
        <v>227</v>
      </c>
      <c r="B210" s="78"/>
      <c r="C210" s="84" t="s">
        <v>228</v>
      </c>
      <c r="D210" s="81">
        <f>D26</f>
        <v>0</v>
      </c>
      <c r="E210" s="81">
        <f>E26</f>
        <v>-21632.9</v>
      </c>
      <c r="F210" s="81">
        <f>F26</f>
        <v>-21634.9</v>
      </c>
      <c r="G210" s="82" t="e">
        <f>F210/#REF!*100</f>
        <v>#REF!</v>
      </c>
      <c r="H210" s="82"/>
      <c r="I210" s="80">
        <f t="shared" si="24"/>
        <v>100.00924517748429</v>
      </c>
    </row>
    <row r="211" spans="1:9" ht="12.75">
      <c r="A211" s="85"/>
      <c r="B211" s="86"/>
      <c r="C211" s="87" t="s">
        <v>229</v>
      </c>
      <c r="D211" s="88">
        <f>D207+D193</f>
        <v>3145753.8000000003</v>
      </c>
      <c r="E211" s="88">
        <f>E207+E193</f>
        <v>4445740.600000001</v>
      </c>
      <c r="F211" s="88">
        <f>F207+F193</f>
        <v>4326794.5</v>
      </c>
      <c r="G211" s="128" t="e">
        <f>F211/#REF!*100</f>
        <v>#REF!</v>
      </c>
      <c r="H211" s="128">
        <f>F211/D211*100</f>
        <v>137.54396482013308</v>
      </c>
      <c r="I211" s="136">
        <f t="shared" si="24"/>
        <v>97.32449302147766</v>
      </c>
    </row>
  </sheetData>
  <sheetProtection/>
  <mergeCells count="27">
    <mergeCell ref="A56:I56"/>
    <mergeCell ref="A71:H71"/>
    <mergeCell ref="A178:I178"/>
    <mergeCell ref="A191:H191"/>
    <mergeCell ref="A192:I192"/>
    <mergeCell ref="A131:H131"/>
    <mergeCell ref="A132:I132"/>
    <mergeCell ref="A147:H147"/>
    <mergeCell ref="A148:I148"/>
    <mergeCell ref="A162:H162"/>
    <mergeCell ref="A1:H1"/>
    <mergeCell ref="A2:H2"/>
    <mergeCell ref="A7:I7"/>
    <mergeCell ref="A28:H28"/>
    <mergeCell ref="A72:I72"/>
    <mergeCell ref="A88:H88"/>
    <mergeCell ref="A29:I29"/>
    <mergeCell ref="C40:H40"/>
    <mergeCell ref="A41:I41"/>
    <mergeCell ref="A55:H55"/>
    <mergeCell ref="A89:I89"/>
    <mergeCell ref="A102:H102"/>
    <mergeCell ref="A103:I103"/>
    <mergeCell ref="A116:H116"/>
    <mergeCell ref="A117:I117"/>
    <mergeCell ref="A177:H177"/>
    <mergeCell ref="A163:I16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115">
      <selection activeCell="A1" sqref="A1:K137"/>
    </sheetView>
  </sheetViews>
  <sheetFormatPr defaultColWidth="9.00390625" defaultRowHeight="12.75"/>
  <cols>
    <col min="2" max="2" width="49.875" style="0" customWidth="1"/>
    <col min="3" max="3" width="13.75390625" style="0" customWidth="1"/>
    <col min="4" max="4" width="12.875" style="0" customWidth="1"/>
    <col min="5" max="5" width="6.25390625" style="0" customWidth="1"/>
    <col min="6" max="6" width="12.625" style="0" customWidth="1"/>
    <col min="7" max="7" width="10.875" style="0" customWidth="1"/>
    <col min="8" max="8" width="6.875" style="0" customWidth="1"/>
    <col min="9" max="9" width="12.625" style="0" customWidth="1"/>
    <col min="10" max="10" width="11.875" style="0" customWidth="1"/>
  </cols>
  <sheetData>
    <row r="1" spans="1:11" ht="14.25" customHeight="1">
      <c r="A1" s="171" t="s">
        <v>257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 customHeight="1">
      <c r="A3" s="172" t="s">
        <v>98</v>
      </c>
      <c r="B3" s="174" t="s">
        <v>97</v>
      </c>
      <c r="C3" s="176" t="s">
        <v>113</v>
      </c>
      <c r="D3" s="176"/>
      <c r="E3" s="176"/>
      <c r="F3" s="177" t="s">
        <v>112</v>
      </c>
      <c r="G3" s="177"/>
      <c r="H3" s="177"/>
      <c r="I3" s="178" t="s">
        <v>111</v>
      </c>
      <c r="J3" s="178"/>
      <c r="K3" s="179"/>
    </row>
    <row r="4" spans="1:11" ht="12.75" customHeight="1">
      <c r="A4" s="173"/>
      <c r="B4" s="175"/>
      <c r="C4" s="185" t="s">
        <v>78</v>
      </c>
      <c r="D4" s="185" t="s">
        <v>258</v>
      </c>
      <c r="E4" s="185" t="s">
        <v>77</v>
      </c>
      <c r="F4" s="185" t="s">
        <v>78</v>
      </c>
      <c r="G4" s="180" t="s">
        <v>258</v>
      </c>
      <c r="H4" s="180" t="s">
        <v>77</v>
      </c>
      <c r="I4" s="182" t="s">
        <v>78</v>
      </c>
      <c r="J4" s="184" t="s">
        <v>259</v>
      </c>
      <c r="K4" s="186" t="s">
        <v>77</v>
      </c>
    </row>
    <row r="5" spans="1:11" ht="12.75">
      <c r="A5" s="173"/>
      <c r="B5" s="175"/>
      <c r="C5" s="181"/>
      <c r="D5" s="185"/>
      <c r="E5" s="190"/>
      <c r="F5" s="181"/>
      <c r="G5" s="180"/>
      <c r="H5" s="181"/>
      <c r="I5" s="183"/>
      <c r="J5" s="184"/>
      <c r="K5" s="187"/>
    </row>
    <row r="6" spans="1:11" ht="12.75">
      <c r="A6" s="173"/>
      <c r="B6" s="188" t="s">
        <v>0</v>
      </c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73"/>
      <c r="B7" s="188"/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2.75">
      <c r="A8" s="173"/>
      <c r="B8" s="188"/>
      <c r="C8" s="188"/>
      <c r="D8" s="188"/>
      <c r="E8" s="188"/>
      <c r="F8" s="188"/>
      <c r="G8" s="188"/>
      <c r="H8" s="188"/>
      <c r="I8" s="188"/>
      <c r="J8" s="188"/>
      <c r="K8" s="189"/>
    </row>
    <row r="9" spans="1:11" ht="12.75">
      <c r="A9" s="89" t="s">
        <v>1</v>
      </c>
      <c r="B9" s="90" t="s">
        <v>2</v>
      </c>
      <c r="C9" s="91">
        <f>SUM(C10:C17)</f>
        <v>271748.39999999997</v>
      </c>
      <c r="D9" s="91">
        <f>SUM(D10:D17)</f>
        <v>268804.8</v>
      </c>
      <c r="E9" s="91">
        <f>D9/C9*100</f>
        <v>98.91679215038619</v>
      </c>
      <c r="F9" s="91">
        <f>F10+F11+F12+F13+F14+F16+F17+F15</f>
        <v>206444.80000000002</v>
      </c>
      <c r="G9" s="91">
        <f>SUM(G10:G17)</f>
        <v>201427.19999999998</v>
      </c>
      <c r="H9" s="92">
        <f>G9/F9*100</f>
        <v>97.5695197941532</v>
      </c>
      <c r="I9" s="91">
        <f>SUM(I10:I17)</f>
        <v>477479.19999999995</v>
      </c>
      <c r="J9" s="91">
        <f>SUM(J10:J17)</f>
        <v>469522</v>
      </c>
      <c r="K9" s="93">
        <f>J9/I9*100</f>
        <v>98.33349808745596</v>
      </c>
    </row>
    <row r="10" spans="1:11" ht="12.75">
      <c r="A10" s="94" t="s">
        <v>3</v>
      </c>
      <c r="B10" s="95" t="s">
        <v>4</v>
      </c>
      <c r="C10" s="96">
        <v>16144.7</v>
      </c>
      <c r="D10" s="96">
        <v>16132.1</v>
      </c>
      <c r="E10" s="96">
        <f>D10/C10*100</f>
        <v>99.9219558121241</v>
      </c>
      <c r="F10" s="97">
        <v>35944.4</v>
      </c>
      <c r="G10" s="98">
        <v>35823.7</v>
      </c>
      <c r="H10" s="97">
        <f>G10/F10*100</f>
        <v>99.66420360334293</v>
      </c>
      <c r="I10" s="99">
        <f aca="true" t="shared" si="0" ref="I10:J86">C10+F10</f>
        <v>52089.100000000006</v>
      </c>
      <c r="J10" s="100">
        <f t="shared" si="0"/>
        <v>51955.799999999996</v>
      </c>
      <c r="K10" s="101">
        <f aca="true" t="shared" si="1" ref="K10:K88">J10/I10*100</f>
        <v>99.74409233409675</v>
      </c>
    </row>
    <row r="11" spans="1:11" ht="24">
      <c r="A11" s="94" t="s">
        <v>5</v>
      </c>
      <c r="B11" s="95" t="s">
        <v>89</v>
      </c>
      <c r="C11" s="96">
        <v>27079.3</v>
      </c>
      <c r="D11" s="96">
        <v>26935.1</v>
      </c>
      <c r="E11" s="96">
        <f aca="true" t="shared" si="2" ref="E11:E19">D11/C11*100</f>
        <v>99.46748992773077</v>
      </c>
      <c r="F11" s="97">
        <v>0</v>
      </c>
      <c r="G11" s="98">
        <v>0</v>
      </c>
      <c r="H11" s="97">
        <v>0</v>
      </c>
      <c r="I11" s="99">
        <f t="shared" si="0"/>
        <v>27079.3</v>
      </c>
      <c r="J11" s="100">
        <f t="shared" si="0"/>
        <v>26935.1</v>
      </c>
      <c r="K11" s="101">
        <f t="shared" si="1"/>
        <v>99.46748992773077</v>
      </c>
    </row>
    <row r="12" spans="1:11" ht="12.75">
      <c r="A12" s="94" t="s">
        <v>6</v>
      </c>
      <c r="B12" s="95" t="s">
        <v>7</v>
      </c>
      <c r="C12" s="96">
        <v>117656.3</v>
      </c>
      <c r="D12" s="96">
        <v>117616.7</v>
      </c>
      <c r="E12" s="96">
        <f t="shared" si="2"/>
        <v>99.96634264378532</v>
      </c>
      <c r="F12" s="97">
        <v>117323.8</v>
      </c>
      <c r="G12" s="98">
        <v>116627.4</v>
      </c>
      <c r="H12" s="97">
        <f aca="true" t="shared" si="3" ref="H12:H19">G12/F12*100</f>
        <v>99.40642904508718</v>
      </c>
      <c r="I12" s="99">
        <f t="shared" si="0"/>
        <v>234980.1</v>
      </c>
      <c r="J12" s="100">
        <f t="shared" si="0"/>
        <v>234244.09999999998</v>
      </c>
      <c r="K12" s="101">
        <f t="shared" si="1"/>
        <v>99.68678198707039</v>
      </c>
    </row>
    <row r="13" spans="1:11" ht="12.75">
      <c r="A13" s="94" t="s">
        <v>8</v>
      </c>
      <c r="B13" s="95" t="s">
        <v>9</v>
      </c>
      <c r="C13" s="96">
        <v>5.8</v>
      </c>
      <c r="D13" s="96">
        <v>5.8</v>
      </c>
      <c r="E13" s="96">
        <f t="shared" si="2"/>
        <v>100</v>
      </c>
      <c r="F13" s="97">
        <v>0</v>
      </c>
      <c r="G13" s="98">
        <v>0</v>
      </c>
      <c r="H13" s="97">
        <v>0</v>
      </c>
      <c r="I13" s="99">
        <f t="shared" si="0"/>
        <v>5.8</v>
      </c>
      <c r="J13" s="100">
        <f t="shared" si="0"/>
        <v>5.8</v>
      </c>
      <c r="K13" s="101">
        <f t="shared" si="1"/>
        <v>100</v>
      </c>
    </row>
    <row r="14" spans="1:11" ht="12.75">
      <c r="A14" s="94" t="s">
        <v>10</v>
      </c>
      <c r="B14" s="95" t="s">
        <v>11</v>
      </c>
      <c r="C14" s="96">
        <v>29687</v>
      </c>
      <c r="D14" s="96">
        <v>29681.2</v>
      </c>
      <c r="E14" s="96">
        <f t="shared" si="2"/>
        <v>99.98046282884765</v>
      </c>
      <c r="F14" s="97">
        <v>594</v>
      </c>
      <c r="G14" s="98">
        <v>594</v>
      </c>
      <c r="H14" s="97">
        <f t="shared" si="3"/>
        <v>100</v>
      </c>
      <c r="I14" s="99">
        <f>C14+F14-594</f>
        <v>29687</v>
      </c>
      <c r="J14" s="100">
        <f>D14+G14-594</f>
        <v>29681.2</v>
      </c>
      <c r="K14" s="101">
        <f t="shared" si="1"/>
        <v>99.98046282884765</v>
      </c>
    </row>
    <row r="15" spans="1:11" ht="12.75">
      <c r="A15" s="102" t="s">
        <v>12</v>
      </c>
      <c r="B15" s="95" t="s">
        <v>169</v>
      </c>
      <c r="C15" s="96">
        <v>0</v>
      </c>
      <c r="D15" s="96">
        <v>0</v>
      </c>
      <c r="E15" s="96">
        <v>0</v>
      </c>
      <c r="F15" s="97">
        <v>8670.1</v>
      </c>
      <c r="G15" s="98">
        <v>8668.7</v>
      </c>
      <c r="H15" s="97">
        <f t="shared" si="3"/>
        <v>99.9838525507203</v>
      </c>
      <c r="I15" s="99">
        <f>C15+F15</f>
        <v>8670.1</v>
      </c>
      <c r="J15" s="100">
        <f t="shared" si="0"/>
        <v>8668.7</v>
      </c>
      <c r="K15" s="101">
        <f t="shared" si="1"/>
        <v>99.9838525507203</v>
      </c>
    </row>
    <row r="16" spans="1:11" ht="12.75">
      <c r="A16" s="102" t="s">
        <v>13</v>
      </c>
      <c r="B16" s="95" t="s">
        <v>14</v>
      </c>
      <c r="C16" s="96">
        <v>2180.4</v>
      </c>
      <c r="D16" s="96">
        <v>0</v>
      </c>
      <c r="E16" s="96">
        <f t="shared" si="2"/>
        <v>0</v>
      </c>
      <c r="F16" s="97">
        <v>828.5</v>
      </c>
      <c r="G16" s="98">
        <v>0</v>
      </c>
      <c r="H16" s="97">
        <f t="shared" si="3"/>
        <v>0</v>
      </c>
      <c r="I16" s="99">
        <f t="shared" si="0"/>
        <v>3008.9</v>
      </c>
      <c r="J16" s="100">
        <f t="shared" si="0"/>
        <v>0</v>
      </c>
      <c r="K16" s="101">
        <f t="shared" si="1"/>
        <v>0</v>
      </c>
    </row>
    <row r="17" spans="1:11" ht="12.75">
      <c r="A17" s="94" t="s">
        <v>80</v>
      </c>
      <c r="B17" s="95" t="s">
        <v>15</v>
      </c>
      <c r="C17" s="96">
        <v>78994.9</v>
      </c>
      <c r="D17" s="96">
        <v>78433.9</v>
      </c>
      <c r="E17" s="96">
        <f t="shared" si="2"/>
        <v>99.28982757114699</v>
      </c>
      <c r="F17" s="97">
        <v>43084</v>
      </c>
      <c r="G17" s="98">
        <v>39713.4</v>
      </c>
      <c r="H17" s="97">
        <f t="shared" si="3"/>
        <v>92.17667811716646</v>
      </c>
      <c r="I17" s="99">
        <f>C17+F17-120</f>
        <v>121958.9</v>
      </c>
      <c r="J17" s="100">
        <f>D17+G17-116</f>
        <v>118031.29999999999</v>
      </c>
      <c r="K17" s="101">
        <f t="shared" si="1"/>
        <v>96.7795708226296</v>
      </c>
    </row>
    <row r="18" spans="1:11" ht="12.75">
      <c r="A18" s="89" t="s">
        <v>16</v>
      </c>
      <c r="B18" s="90" t="s">
        <v>17</v>
      </c>
      <c r="C18" s="91">
        <f aca="true" t="shared" si="4" ref="C18:J18">C19</f>
        <v>3567.9</v>
      </c>
      <c r="D18" s="91">
        <f t="shared" si="4"/>
        <v>3567.9</v>
      </c>
      <c r="E18" s="91">
        <f t="shared" si="4"/>
        <v>100</v>
      </c>
      <c r="F18" s="91">
        <f t="shared" si="4"/>
        <v>3567.9</v>
      </c>
      <c r="G18" s="91">
        <f t="shared" si="4"/>
        <v>3567.9</v>
      </c>
      <c r="H18" s="103">
        <f t="shared" si="4"/>
        <v>100</v>
      </c>
      <c r="I18" s="91">
        <f t="shared" si="4"/>
        <v>3567.9</v>
      </c>
      <c r="J18" s="91">
        <f t="shared" si="4"/>
        <v>3567.9</v>
      </c>
      <c r="K18" s="104">
        <f t="shared" si="1"/>
        <v>100</v>
      </c>
    </row>
    <row r="19" spans="1:11" ht="12.75">
      <c r="A19" s="94" t="s">
        <v>18</v>
      </c>
      <c r="B19" s="95" t="s">
        <v>19</v>
      </c>
      <c r="C19" s="96">
        <v>3567.9</v>
      </c>
      <c r="D19" s="96">
        <v>3567.9</v>
      </c>
      <c r="E19" s="96">
        <f t="shared" si="2"/>
        <v>100</v>
      </c>
      <c r="F19" s="97">
        <v>3567.9</v>
      </c>
      <c r="G19" s="98">
        <v>3567.9</v>
      </c>
      <c r="H19" s="97">
        <f t="shared" si="3"/>
        <v>100</v>
      </c>
      <c r="I19" s="99">
        <f>C19+F19-3567.9</f>
        <v>3567.9</v>
      </c>
      <c r="J19" s="100">
        <f>D19+G19-3567.9</f>
        <v>3567.9</v>
      </c>
      <c r="K19" s="101">
        <f t="shared" si="1"/>
        <v>100</v>
      </c>
    </row>
    <row r="20" spans="1:11" ht="12.75" customHeight="1">
      <c r="A20" s="204" t="s">
        <v>20</v>
      </c>
      <c r="B20" s="205" t="s">
        <v>102</v>
      </c>
      <c r="C20" s="203">
        <f>C23+C24+C22</f>
        <v>32389.4</v>
      </c>
      <c r="D20" s="203">
        <f>D23+D24+D22</f>
        <v>18293.1</v>
      </c>
      <c r="E20" s="203">
        <f>D20/C20*100</f>
        <v>56.47866277238849</v>
      </c>
      <c r="F20" s="203">
        <f>F23+F24+F22</f>
        <v>10007</v>
      </c>
      <c r="G20" s="203">
        <f>G23+G24+G22</f>
        <v>9593.1</v>
      </c>
      <c r="H20" s="203">
        <f>G20/F20*100</f>
        <v>95.86389527330869</v>
      </c>
      <c r="I20" s="203">
        <f>I23+I24+I22</f>
        <v>40248.899999999994</v>
      </c>
      <c r="J20" s="203">
        <f>SUM(J22:J24)</f>
        <v>25741</v>
      </c>
      <c r="K20" s="203">
        <f>J20/I20*100</f>
        <v>63.954542857071885</v>
      </c>
    </row>
    <row r="21" spans="1:11" ht="12.75">
      <c r="A21" s="204"/>
      <c r="B21" s="205"/>
      <c r="C21" s="203"/>
      <c r="D21" s="203"/>
      <c r="E21" s="203"/>
      <c r="F21" s="203"/>
      <c r="G21" s="203"/>
      <c r="H21" s="203"/>
      <c r="I21" s="203"/>
      <c r="J21" s="203"/>
      <c r="K21" s="203"/>
    </row>
    <row r="22" spans="1:11" ht="12.75">
      <c r="A22" s="102" t="s">
        <v>116</v>
      </c>
      <c r="B22" s="95" t="s">
        <v>103</v>
      </c>
      <c r="C22" s="96">
        <v>5628.2</v>
      </c>
      <c r="D22" s="96">
        <v>5628.2</v>
      </c>
      <c r="E22" s="96">
        <f aca="true" t="shared" si="5" ref="E22:E102">D22/C22*100</f>
        <v>100</v>
      </c>
      <c r="F22" s="105">
        <v>787.5</v>
      </c>
      <c r="G22" s="98">
        <v>787.5</v>
      </c>
      <c r="H22" s="97">
        <f>G22/F22*100</f>
        <v>100</v>
      </c>
      <c r="I22" s="99">
        <f>C22+F22-787.5</f>
        <v>5628.2</v>
      </c>
      <c r="J22" s="100">
        <f>D22+G22-787.5</f>
        <v>5628.2</v>
      </c>
      <c r="K22" s="101">
        <f>J22/I22*100</f>
        <v>100</v>
      </c>
    </row>
    <row r="23" spans="1:11" ht="12.75">
      <c r="A23" s="94" t="s">
        <v>21</v>
      </c>
      <c r="B23" s="95" t="s">
        <v>117</v>
      </c>
      <c r="C23" s="96">
        <v>17215.5</v>
      </c>
      <c r="D23" s="96">
        <v>11618.6</v>
      </c>
      <c r="E23" s="96">
        <f t="shared" si="5"/>
        <v>67.48918126107287</v>
      </c>
      <c r="F23" s="97">
        <v>9108.3</v>
      </c>
      <c r="G23" s="98">
        <v>8694.4</v>
      </c>
      <c r="H23" s="97">
        <f>G23/F23*100</f>
        <v>95.45579306786118</v>
      </c>
      <c r="I23" s="99">
        <f>C23+F23-1320</f>
        <v>25003.8</v>
      </c>
      <c r="J23" s="100">
        <f>D23+G23-1317.7</f>
        <v>18995.3</v>
      </c>
      <c r="K23" s="101">
        <f>J23/I23*100</f>
        <v>75.96965261280285</v>
      </c>
    </row>
    <row r="24" spans="1:11" ht="24">
      <c r="A24" s="102" t="s">
        <v>107</v>
      </c>
      <c r="B24" s="95" t="s">
        <v>108</v>
      </c>
      <c r="C24" s="96">
        <v>9545.7</v>
      </c>
      <c r="D24" s="96">
        <v>1046.3</v>
      </c>
      <c r="E24" s="96">
        <f t="shared" si="5"/>
        <v>10.960956242077584</v>
      </c>
      <c r="F24" s="97">
        <v>111.2</v>
      </c>
      <c r="G24" s="98">
        <v>111.2</v>
      </c>
      <c r="H24" s="97">
        <f>G24/F24*100</f>
        <v>100</v>
      </c>
      <c r="I24" s="99">
        <f>C24+F24-40</f>
        <v>9616.900000000001</v>
      </c>
      <c r="J24" s="100">
        <f>D24+G24-40</f>
        <v>1117.5</v>
      </c>
      <c r="K24" s="101">
        <f>J24/I24*100</f>
        <v>11.620168661418958</v>
      </c>
    </row>
    <row r="25" spans="1:11" ht="12.75">
      <c r="A25" s="89" t="s">
        <v>22</v>
      </c>
      <c r="B25" s="90" t="s">
        <v>23</v>
      </c>
      <c r="C25" s="91">
        <f>SUM(C26:C46)</f>
        <v>208809.39999999997</v>
      </c>
      <c r="D25" s="91">
        <f>SUM(D26:D46)</f>
        <v>203515.1</v>
      </c>
      <c r="E25" s="91">
        <f>D25/C25*100</f>
        <v>97.4645298535411</v>
      </c>
      <c r="F25" s="91">
        <f>SUM(F26:F46)</f>
        <v>106818.2</v>
      </c>
      <c r="G25" s="91">
        <f>SUM(G26:G46)</f>
        <v>103819.00000000001</v>
      </c>
      <c r="H25" s="92">
        <f>G25/F25*100</f>
        <v>97.19223877578916</v>
      </c>
      <c r="I25" s="91">
        <f>SUM(I26:I46)</f>
        <v>258320.8</v>
      </c>
      <c r="J25" s="91">
        <f>SUM(J26:J46)</f>
        <v>250163.9</v>
      </c>
      <c r="K25" s="93">
        <f t="shared" si="1"/>
        <v>96.84233712500117</v>
      </c>
    </row>
    <row r="26" spans="1:11" ht="24">
      <c r="A26" s="102" t="s">
        <v>24</v>
      </c>
      <c r="B26" s="106" t="s">
        <v>99</v>
      </c>
      <c r="C26" s="96">
        <v>12084.3</v>
      </c>
      <c r="D26" s="96">
        <v>11569.1</v>
      </c>
      <c r="E26" s="96">
        <f t="shared" si="5"/>
        <v>95.73661693271436</v>
      </c>
      <c r="F26" s="107">
        <v>12213.3</v>
      </c>
      <c r="G26" s="108">
        <v>12044.2</v>
      </c>
      <c r="H26" s="97">
        <f>G26/F26*100</f>
        <v>98.61544381944275</v>
      </c>
      <c r="I26" s="99">
        <f>C26+F26-9752</f>
        <v>14545.599999999999</v>
      </c>
      <c r="J26" s="99">
        <f>D26+G26-9752</f>
        <v>13861.300000000003</v>
      </c>
      <c r="K26" s="101">
        <f t="shared" si="1"/>
        <v>95.29548454515458</v>
      </c>
    </row>
    <row r="27" spans="1:11" ht="12.75">
      <c r="A27" s="94" t="s">
        <v>25</v>
      </c>
      <c r="B27" s="95" t="s">
        <v>26</v>
      </c>
      <c r="C27" s="96">
        <v>50879.8</v>
      </c>
      <c r="D27" s="96">
        <v>49785.5</v>
      </c>
      <c r="E27" s="96">
        <f t="shared" si="5"/>
        <v>97.84924469042724</v>
      </c>
      <c r="F27" s="97">
        <v>0</v>
      </c>
      <c r="G27" s="98">
        <v>0</v>
      </c>
      <c r="H27" s="97">
        <v>0</v>
      </c>
      <c r="I27" s="99">
        <f t="shared" si="0"/>
        <v>50879.8</v>
      </c>
      <c r="J27" s="100">
        <f t="shared" si="0"/>
        <v>49785.5</v>
      </c>
      <c r="K27" s="101">
        <f t="shared" si="1"/>
        <v>97.84924469042724</v>
      </c>
    </row>
    <row r="28" spans="1:11" ht="12.75">
      <c r="A28" s="94" t="s">
        <v>27</v>
      </c>
      <c r="B28" s="95" t="s">
        <v>121</v>
      </c>
      <c r="C28" s="107">
        <v>10650</v>
      </c>
      <c r="D28" s="96">
        <v>10650</v>
      </c>
      <c r="E28" s="96">
        <f t="shared" si="5"/>
        <v>100</v>
      </c>
      <c r="F28" s="97">
        <v>0</v>
      </c>
      <c r="G28" s="98">
        <v>0</v>
      </c>
      <c r="H28" s="97">
        <v>0</v>
      </c>
      <c r="I28" s="99">
        <f t="shared" si="0"/>
        <v>10650</v>
      </c>
      <c r="J28" s="100">
        <f t="shared" si="0"/>
        <v>10650</v>
      </c>
      <c r="K28" s="101">
        <f t="shared" si="1"/>
        <v>100</v>
      </c>
    </row>
    <row r="29" spans="1:11" ht="12.75">
      <c r="A29" s="94" t="s">
        <v>27</v>
      </c>
      <c r="B29" s="95" t="s">
        <v>119</v>
      </c>
      <c r="C29" s="107">
        <v>19315</v>
      </c>
      <c r="D29" s="96">
        <v>19315</v>
      </c>
      <c r="E29" s="96">
        <f t="shared" si="5"/>
        <v>100</v>
      </c>
      <c r="F29" s="108">
        <v>14669.8</v>
      </c>
      <c r="G29" s="105">
        <v>14669.8</v>
      </c>
      <c r="H29" s="97">
        <f>G29/F29*100</f>
        <v>100</v>
      </c>
      <c r="I29" s="99">
        <f t="shared" si="0"/>
        <v>33984.8</v>
      </c>
      <c r="J29" s="100">
        <f t="shared" si="0"/>
        <v>33984.8</v>
      </c>
      <c r="K29" s="101">
        <f t="shared" si="1"/>
        <v>100</v>
      </c>
    </row>
    <row r="30" spans="1:11" ht="12.75">
      <c r="A30" s="94" t="s">
        <v>27</v>
      </c>
      <c r="B30" s="95" t="s">
        <v>120</v>
      </c>
      <c r="C30" s="107">
        <v>10931</v>
      </c>
      <c r="D30" s="96">
        <v>10931</v>
      </c>
      <c r="E30" s="96">
        <f t="shared" si="5"/>
        <v>100</v>
      </c>
      <c r="F30" s="105">
        <v>0</v>
      </c>
      <c r="G30" s="105">
        <v>0</v>
      </c>
      <c r="H30" s="97">
        <v>0</v>
      </c>
      <c r="I30" s="99">
        <f t="shared" si="0"/>
        <v>10931</v>
      </c>
      <c r="J30" s="100">
        <f t="shared" si="0"/>
        <v>10931</v>
      </c>
      <c r="K30" s="101">
        <f t="shared" si="1"/>
        <v>100</v>
      </c>
    </row>
    <row r="31" spans="1:11" ht="12.75">
      <c r="A31" s="94" t="s">
        <v>74</v>
      </c>
      <c r="B31" s="95" t="s">
        <v>96</v>
      </c>
      <c r="C31" s="107">
        <v>40682</v>
      </c>
      <c r="D31" s="96">
        <v>40681.9</v>
      </c>
      <c r="E31" s="96">
        <f t="shared" si="5"/>
        <v>99.99975419104273</v>
      </c>
      <c r="F31" s="105">
        <v>40310.9</v>
      </c>
      <c r="G31" s="105">
        <v>40130</v>
      </c>
      <c r="H31" s="97">
        <f>G31/F31*100</f>
        <v>99.5512380026246</v>
      </c>
      <c r="I31" s="99">
        <f>C31+F31-36021.8</f>
        <v>44971.09999999999</v>
      </c>
      <c r="J31" s="100">
        <f>D31+G31-36021.7</f>
        <v>44790.2</v>
      </c>
      <c r="K31" s="101">
        <f t="shared" si="1"/>
        <v>99.59774166075547</v>
      </c>
    </row>
    <row r="32" spans="1:11" ht="36">
      <c r="A32" s="94" t="s">
        <v>74</v>
      </c>
      <c r="B32" s="109" t="s">
        <v>150</v>
      </c>
      <c r="C32" s="107">
        <v>2092.2</v>
      </c>
      <c r="D32" s="96">
        <v>2092.2</v>
      </c>
      <c r="E32" s="96">
        <f t="shared" si="5"/>
        <v>100</v>
      </c>
      <c r="F32" s="105">
        <v>0</v>
      </c>
      <c r="G32" s="105">
        <v>0</v>
      </c>
      <c r="H32" s="97">
        <v>0</v>
      </c>
      <c r="I32" s="99">
        <f t="shared" si="0"/>
        <v>2092.2</v>
      </c>
      <c r="J32" s="100">
        <f t="shared" si="0"/>
        <v>2092.2</v>
      </c>
      <c r="K32" s="101">
        <f t="shared" si="1"/>
        <v>100</v>
      </c>
    </row>
    <row r="33" spans="1:11" ht="12.75">
      <c r="A33" s="102" t="s">
        <v>74</v>
      </c>
      <c r="B33" s="95" t="s">
        <v>126</v>
      </c>
      <c r="C33" s="107">
        <v>0</v>
      </c>
      <c r="D33" s="96">
        <v>0</v>
      </c>
      <c r="E33" s="96">
        <v>0</v>
      </c>
      <c r="F33" s="108">
        <v>22896.5</v>
      </c>
      <c r="G33" s="108">
        <v>20404</v>
      </c>
      <c r="H33" s="97">
        <f>G33/F33*100</f>
        <v>89.1140567335619</v>
      </c>
      <c r="I33" s="99">
        <f>C33+F33</f>
        <v>22896.5</v>
      </c>
      <c r="J33" s="100">
        <f>D33+G33</f>
        <v>20404</v>
      </c>
      <c r="K33" s="101">
        <f>J33/I33*100</f>
        <v>89.1140567335619</v>
      </c>
    </row>
    <row r="34" spans="1:11" ht="36">
      <c r="A34" s="102" t="s">
        <v>74</v>
      </c>
      <c r="B34" s="95" t="s">
        <v>160</v>
      </c>
      <c r="C34" s="107">
        <v>5406.3</v>
      </c>
      <c r="D34" s="96">
        <v>5406.3</v>
      </c>
      <c r="E34" s="96">
        <f t="shared" si="5"/>
        <v>100</v>
      </c>
      <c r="F34" s="108">
        <v>6045</v>
      </c>
      <c r="G34" s="108">
        <v>6041.6</v>
      </c>
      <c r="H34" s="97">
        <f>G34/F34*100</f>
        <v>99.94375516956163</v>
      </c>
      <c r="I34" s="99">
        <f>C34+F34-5406.3</f>
        <v>6044.999999999999</v>
      </c>
      <c r="J34" s="100">
        <f>D34+G34-5406.3</f>
        <v>6041.600000000001</v>
      </c>
      <c r="K34" s="101">
        <f>J34/I34*100</f>
        <v>99.94375516956165</v>
      </c>
    </row>
    <row r="35" spans="1:11" ht="36">
      <c r="A35" s="102" t="s">
        <v>74</v>
      </c>
      <c r="B35" s="95" t="s">
        <v>176</v>
      </c>
      <c r="C35" s="107">
        <v>4600</v>
      </c>
      <c r="D35" s="96">
        <v>4600</v>
      </c>
      <c r="E35" s="96">
        <f t="shared" si="5"/>
        <v>100</v>
      </c>
      <c r="F35" s="108">
        <v>4600</v>
      </c>
      <c r="G35" s="108">
        <v>4600</v>
      </c>
      <c r="H35" s="97">
        <f>G35/F35*100</f>
        <v>100</v>
      </c>
      <c r="I35" s="99">
        <f>C35+F35-4600</f>
        <v>4600</v>
      </c>
      <c r="J35" s="100">
        <f>D35+G35-4600</f>
        <v>4600</v>
      </c>
      <c r="K35" s="101">
        <f>J35/I35*100</f>
        <v>100</v>
      </c>
    </row>
    <row r="36" spans="1:11" ht="12.75">
      <c r="A36" s="94" t="s">
        <v>67</v>
      </c>
      <c r="B36" s="95" t="s">
        <v>68</v>
      </c>
      <c r="C36" s="107">
        <v>6039.3</v>
      </c>
      <c r="D36" s="96">
        <v>5818.7</v>
      </c>
      <c r="E36" s="96">
        <f t="shared" si="5"/>
        <v>96.34725878827017</v>
      </c>
      <c r="F36" s="108">
        <v>4035.7</v>
      </c>
      <c r="G36" s="105">
        <v>4025.6</v>
      </c>
      <c r="H36" s="97">
        <f>G36/F36*100</f>
        <v>99.74973362737568</v>
      </c>
      <c r="I36" s="99">
        <f t="shared" si="0"/>
        <v>10075</v>
      </c>
      <c r="J36" s="100">
        <f t="shared" si="0"/>
        <v>9844.3</v>
      </c>
      <c r="K36" s="101">
        <f t="shared" si="1"/>
        <v>97.71017369727046</v>
      </c>
    </row>
    <row r="37" spans="1:11" ht="12.75">
      <c r="A37" s="94" t="s">
        <v>28</v>
      </c>
      <c r="B37" s="95" t="s">
        <v>75</v>
      </c>
      <c r="C37" s="107">
        <v>1659.9</v>
      </c>
      <c r="D37" s="107">
        <v>1659.9</v>
      </c>
      <c r="E37" s="107">
        <f t="shared" si="5"/>
        <v>100</v>
      </c>
      <c r="F37" s="108">
        <v>520.3</v>
      </c>
      <c r="G37" s="108">
        <v>513.6</v>
      </c>
      <c r="H37" s="97">
        <f>G37/F37*100</f>
        <v>98.71228137612917</v>
      </c>
      <c r="I37" s="99">
        <f t="shared" si="0"/>
        <v>2180.2</v>
      </c>
      <c r="J37" s="100">
        <f t="shared" si="0"/>
        <v>2173.5</v>
      </c>
      <c r="K37" s="101">
        <f t="shared" si="1"/>
        <v>99.69268874415192</v>
      </c>
    </row>
    <row r="38" spans="1:11" ht="48">
      <c r="A38" s="94" t="s">
        <v>28</v>
      </c>
      <c r="B38" s="109" t="s">
        <v>260</v>
      </c>
      <c r="C38" s="107">
        <v>500</v>
      </c>
      <c r="D38" s="107">
        <v>500</v>
      </c>
      <c r="E38" s="107">
        <f t="shared" si="5"/>
        <v>100</v>
      </c>
      <c r="F38" s="108"/>
      <c r="G38" s="108"/>
      <c r="H38" s="97"/>
      <c r="I38" s="99">
        <f t="shared" si="0"/>
        <v>500</v>
      </c>
      <c r="J38" s="100">
        <f t="shared" si="0"/>
        <v>500</v>
      </c>
      <c r="K38" s="101">
        <f t="shared" si="1"/>
        <v>100</v>
      </c>
    </row>
    <row r="39" spans="1:11" ht="60">
      <c r="A39" s="94" t="s">
        <v>28</v>
      </c>
      <c r="B39" s="109" t="s">
        <v>174</v>
      </c>
      <c r="C39" s="107">
        <v>9220.3</v>
      </c>
      <c r="D39" s="107">
        <v>7700.7</v>
      </c>
      <c r="E39" s="107">
        <f t="shared" si="5"/>
        <v>83.51897443684045</v>
      </c>
      <c r="F39" s="108">
        <v>0</v>
      </c>
      <c r="G39" s="108">
        <v>0</v>
      </c>
      <c r="H39" s="97">
        <v>0</v>
      </c>
      <c r="I39" s="99">
        <f t="shared" si="0"/>
        <v>9220.3</v>
      </c>
      <c r="J39" s="100">
        <f t="shared" si="0"/>
        <v>7700.7</v>
      </c>
      <c r="K39" s="101">
        <f t="shared" si="1"/>
        <v>83.51897443684045</v>
      </c>
    </row>
    <row r="40" spans="1:11" ht="36">
      <c r="A40" s="94" t="s">
        <v>28</v>
      </c>
      <c r="B40" s="109" t="s">
        <v>152</v>
      </c>
      <c r="C40" s="107">
        <v>1691.8</v>
      </c>
      <c r="D40" s="108">
        <v>1691.8</v>
      </c>
      <c r="E40" s="107">
        <f t="shared" si="5"/>
        <v>100</v>
      </c>
      <c r="F40" s="108">
        <v>0</v>
      </c>
      <c r="G40" s="108">
        <v>0</v>
      </c>
      <c r="H40" s="97">
        <v>0</v>
      </c>
      <c r="I40" s="99">
        <f t="shared" si="0"/>
        <v>1691.8</v>
      </c>
      <c r="J40" s="100">
        <f t="shared" si="0"/>
        <v>1691.8</v>
      </c>
      <c r="K40" s="101">
        <f t="shared" si="1"/>
        <v>100</v>
      </c>
    </row>
    <row r="41" spans="1:11" ht="36">
      <c r="A41" s="94" t="s">
        <v>28</v>
      </c>
      <c r="B41" s="109" t="s">
        <v>142</v>
      </c>
      <c r="C41" s="107">
        <v>4550</v>
      </c>
      <c r="D41" s="108">
        <v>4550</v>
      </c>
      <c r="E41" s="107">
        <f t="shared" si="5"/>
        <v>100</v>
      </c>
      <c r="F41" s="108">
        <v>0</v>
      </c>
      <c r="G41" s="108">
        <v>0</v>
      </c>
      <c r="H41" s="97">
        <v>0</v>
      </c>
      <c r="I41" s="99">
        <f t="shared" si="0"/>
        <v>4550</v>
      </c>
      <c r="J41" s="100">
        <f t="shared" si="0"/>
        <v>4550</v>
      </c>
      <c r="K41" s="101">
        <f t="shared" si="1"/>
        <v>100</v>
      </c>
    </row>
    <row r="42" spans="1:11" ht="24">
      <c r="A42" s="102" t="s">
        <v>28</v>
      </c>
      <c r="B42" s="109" t="s">
        <v>109</v>
      </c>
      <c r="C42" s="107">
        <v>18107.5</v>
      </c>
      <c r="D42" s="108">
        <v>18107.5</v>
      </c>
      <c r="E42" s="107">
        <f t="shared" si="5"/>
        <v>100</v>
      </c>
      <c r="F42" s="108">
        <v>0</v>
      </c>
      <c r="G42" s="108">
        <v>0</v>
      </c>
      <c r="H42" s="97">
        <v>0</v>
      </c>
      <c r="I42" s="99">
        <f t="shared" si="0"/>
        <v>18107.5</v>
      </c>
      <c r="J42" s="100">
        <f t="shared" si="0"/>
        <v>18107.5</v>
      </c>
      <c r="K42" s="101">
        <f t="shared" si="1"/>
        <v>100</v>
      </c>
    </row>
    <row r="43" spans="1:11" ht="24">
      <c r="A43" s="102" t="s">
        <v>28</v>
      </c>
      <c r="B43" s="109" t="s">
        <v>118</v>
      </c>
      <c r="C43" s="107">
        <v>1588.6</v>
      </c>
      <c r="D43" s="108">
        <v>1544</v>
      </c>
      <c r="E43" s="107">
        <f t="shared" si="5"/>
        <v>97.19249653783206</v>
      </c>
      <c r="F43" s="108">
        <v>0</v>
      </c>
      <c r="G43" s="108">
        <v>0</v>
      </c>
      <c r="H43" s="97">
        <v>0</v>
      </c>
      <c r="I43" s="99">
        <f t="shared" si="0"/>
        <v>1588.6</v>
      </c>
      <c r="J43" s="100">
        <f t="shared" si="0"/>
        <v>1544</v>
      </c>
      <c r="K43" s="101">
        <f>J43/I43*100</f>
        <v>97.19249653783206</v>
      </c>
    </row>
    <row r="44" spans="1:11" ht="48">
      <c r="A44" s="102" t="s">
        <v>28</v>
      </c>
      <c r="B44" s="109" t="s">
        <v>255</v>
      </c>
      <c r="C44" s="107">
        <v>4589.9</v>
      </c>
      <c r="D44" s="108">
        <v>2856.7</v>
      </c>
      <c r="E44" s="107">
        <f t="shared" si="5"/>
        <v>62.23882873265213</v>
      </c>
      <c r="F44" s="108">
        <v>0</v>
      </c>
      <c r="G44" s="108">
        <v>0</v>
      </c>
      <c r="H44" s="97"/>
      <c r="I44" s="99">
        <f t="shared" si="0"/>
        <v>4589.9</v>
      </c>
      <c r="J44" s="100">
        <f t="shared" si="0"/>
        <v>2856.7</v>
      </c>
      <c r="K44" s="101">
        <f>J44/I44*100</f>
        <v>62.23882873265213</v>
      </c>
    </row>
    <row r="45" spans="1:11" ht="36">
      <c r="A45" s="102" t="s">
        <v>28</v>
      </c>
      <c r="B45" s="95" t="s">
        <v>176</v>
      </c>
      <c r="C45" s="107">
        <v>1800</v>
      </c>
      <c r="D45" s="108">
        <v>1799.9</v>
      </c>
      <c r="E45" s="107">
        <f t="shared" si="5"/>
        <v>99.99444444444445</v>
      </c>
      <c r="F45" s="108"/>
      <c r="G45" s="108"/>
      <c r="H45" s="97"/>
      <c r="I45" s="99">
        <f t="shared" si="0"/>
        <v>1800</v>
      </c>
      <c r="J45" s="100">
        <f t="shared" si="0"/>
        <v>1799.9</v>
      </c>
      <c r="K45" s="101">
        <f>J45/I45*100</f>
        <v>99.99444444444445</v>
      </c>
    </row>
    <row r="46" spans="1:11" ht="36">
      <c r="A46" s="102" t="s">
        <v>28</v>
      </c>
      <c r="B46" s="109" t="s">
        <v>182</v>
      </c>
      <c r="C46" s="107">
        <v>2421.5</v>
      </c>
      <c r="D46" s="108">
        <v>2254.9</v>
      </c>
      <c r="E46" s="107">
        <f t="shared" si="5"/>
        <v>93.11996696262648</v>
      </c>
      <c r="F46" s="108">
        <v>1526.7</v>
      </c>
      <c r="G46" s="108">
        <v>1390.2</v>
      </c>
      <c r="H46" s="97">
        <f>G46/F46*100</f>
        <v>91.05914718019257</v>
      </c>
      <c r="I46" s="99">
        <f>C46+F46-1526.7</f>
        <v>2421.5</v>
      </c>
      <c r="J46" s="100">
        <f>D46+G46-1390.2</f>
        <v>2254.9000000000005</v>
      </c>
      <c r="K46" s="101">
        <f>J46/I46*100</f>
        <v>93.1199669626265</v>
      </c>
    </row>
    <row r="47" spans="1:11" ht="12.75">
      <c r="A47" s="89" t="s">
        <v>29</v>
      </c>
      <c r="B47" s="90" t="s">
        <v>30</v>
      </c>
      <c r="C47" s="91">
        <f>SUM(C48:C76)</f>
        <v>1282200.9999999998</v>
      </c>
      <c r="D47" s="91">
        <f>SUM(D48:D76)</f>
        <v>1229784.7999999998</v>
      </c>
      <c r="E47" s="91">
        <f t="shared" si="5"/>
        <v>95.91201379502901</v>
      </c>
      <c r="F47" s="91">
        <f>SUM(F48:F76)</f>
        <v>188535.30000000005</v>
      </c>
      <c r="G47" s="91">
        <f>SUM(G48:G76)</f>
        <v>175399.5</v>
      </c>
      <c r="H47" s="110">
        <f>G47/F47*100</f>
        <v>93.03271058523256</v>
      </c>
      <c r="I47" s="91">
        <f>SUM(I48:I76)</f>
        <v>1399233.5999999996</v>
      </c>
      <c r="J47" s="91">
        <f>SUM(J48:J76)</f>
        <v>1336291.3999999997</v>
      </c>
      <c r="K47" s="93">
        <f t="shared" si="1"/>
        <v>95.5016660549032</v>
      </c>
    </row>
    <row r="48" spans="1:11" ht="12.75">
      <c r="A48" s="94" t="s">
        <v>31</v>
      </c>
      <c r="B48" s="95" t="s">
        <v>71</v>
      </c>
      <c r="C48" s="107">
        <v>1492</v>
      </c>
      <c r="D48" s="107">
        <v>1244.7</v>
      </c>
      <c r="E48" s="96">
        <f t="shared" si="5"/>
        <v>83.42493297587131</v>
      </c>
      <c r="F48" s="108">
        <v>34741.6</v>
      </c>
      <c r="G48" s="108">
        <v>27879.1</v>
      </c>
      <c r="H48" s="97">
        <f>G48/F48*100</f>
        <v>80.24702374099063</v>
      </c>
      <c r="I48" s="99">
        <f t="shared" si="0"/>
        <v>36233.6</v>
      </c>
      <c r="J48" s="100">
        <f t="shared" si="0"/>
        <v>29123.8</v>
      </c>
      <c r="K48" s="101">
        <f t="shared" si="1"/>
        <v>80.37788130354147</v>
      </c>
    </row>
    <row r="49" spans="1:11" ht="48">
      <c r="A49" s="94" t="s">
        <v>31</v>
      </c>
      <c r="B49" s="95" t="s">
        <v>129</v>
      </c>
      <c r="C49" s="107">
        <v>614756.3</v>
      </c>
      <c r="D49" s="107">
        <v>614756.3</v>
      </c>
      <c r="E49" s="96">
        <f t="shared" si="5"/>
        <v>100</v>
      </c>
      <c r="F49" s="97">
        <v>0</v>
      </c>
      <c r="G49" s="98">
        <v>0</v>
      </c>
      <c r="H49" s="97">
        <v>0</v>
      </c>
      <c r="I49" s="99">
        <f>C49+F49</f>
        <v>614756.3</v>
      </c>
      <c r="J49" s="100">
        <f>D49+G49</f>
        <v>614756.3</v>
      </c>
      <c r="K49" s="101">
        <f t="shared" si="1"/>
        <v>100</v>
      </c>
    </row>
    <row r="50" spans="1:11" ht="48">
      <c r="A50" s="94" t="s">
        <v>31</v>
      </c>
      <c r="B50" s="95" t="s">
        <v>177</v>
      </c>
      <c r="C50" s="107">
        <v>4200</v>
      </c>
      <c r="D50" s="107">
        <v>3869.4</v>
      </c>
      <c r="E50" s="96">
        <f t="shared" si="5"/>
        <v>92.12857142857143</v>
      </c>
      <c r="F50" s="97"/>
      <c r="G50" s="98"/>
      <c r="H50" s="97"/>
      <c r="I50" s="99">
        <f t="shared" si="0"/>
        <v>4200</v>
      </c>
      <c r="J50" s="100">
        <f t="shared" si="0"/>
        <v>3869.4</v>
      </c>
      <c r="K50" s="101">
        <f t="shared" si="1"/>
        <v>92.12857142857143</v>
      </c>
    </row>
    <row r="51" spans="1:11" ht="36">
      <c r="A51" s="94" t="s">
        <v>31</v>
      </c>
      <c r="B51" s="95" t="s">
        <v>178</v>
      </c>
      <c r="C51" s="107">
        <v>65895</v>
      </c>
      <c r="D51" s="107">
        <v>65893.5</v>
      </c>
      <c r="E51" s="96">
        <f t="shared" si="5"/>
        <v>99.99772365126337</v>
      </c>
      <c r="F51" s="97">
        <v>0</v>
      </c>
      <c r="G51" s="98">
        <v>0</v>
      </c>
      <c r="H51" s="97">
        <v>0</v>
      </c>
      <c r="I51" s="99">
        <f t="shared" si="0"/>
        <v>65895</v>
      </c>
      <c r="J51" s="100">
        <f t="shared" si="0"/>
        <v>65893.5</v>
      </c>
      <c r="K51" s="101">
        <f t="shared" si="1"/>
        <v>99.99772365126337</v>
      </c>
    </row>
    <row r="52" spans="1:11" ht="24">
      <c r="A52" s="102" t="s">
        <v>31</v>
      </c>
      <c r="B52" s="95" t="s">
        <v>161</v>
      </c>
      <c r="C52" s="107">
        <v>30597</v>
      </c>
      <c r="D52" s="107">
        <v>30597</v>
      </c>
      <c r="E52" s="96">
        <f t="shared" si="5"/>
        <v>100</v>
      </c>
      <c r="F52" s="97">
        <v>33009.4</v>
      </c>
      <c r="G52" s="98">
        <v>33009.4</v>
      </c>
      <c r="H52" s="97">
        <f aca="true" t="shared" si="6" ref="H52:H60">G52/F52*100</f>
        <v>100</v>
      </c>
      <c r="I52" s="99">
        <f>C52+F52-30597</f>
        <v>33009.4</v>
      </c>
      <c r="J52" s="100">
        <f>D52+G52-30597</f>
        <v>33009.4</v>
      </c>
      <c r="K52" s="101">
        <f t="shared" si="1"/>
        <v>100</v>
      </c>
    </row>
    <row r="53" spans="1:11" ht="40.5" customHeight="1">
      <c r="A53" s="102" t="s">
        <v>31</v>
      </c>
      <c r="B53" s="95" t="s">
        <v>261</v>
      </c>
      <c r="C53" s="107">
        <v>163405.2</v>
      </c>
      <c r="D53" s="107">
        <v>163405.2</v>
      </c>
      <c r="E53" s="96">
        <f t="shared" si="5"/>
        <v>100</v>
      </c>
      <c r="F53" s="97"/>
      <c r="G53" s="98"/>
      <c r="H53" s="97"/>
      <c r="I53" s="99">
        <f>C53+F53</f>
        <v>163405.2</v>
      </c>
      <c r="J53" s="100">
        <f t="shared" si="0"/>
        <v>163405.2</v>
      </c>
      <c r="K53" s="101">
        <f t="shared" si="1"/>
        <v>100</v>
      </c>
    </row>
    <row r="54" spans="1:11" ht="72">
      <c r="A54" s="102" t="s">
        <v>31</v>
      </c>
      <c r="B54" s="95" t="s">
        <v>262</v>
      </c>
      <c r="C54" s="107">
        <v>9000</v>
      </c>
      <c r="D54" s="107">
        <v>9000</v>
      </c>
      <c r="E54" s="96">
        <f t="shared" si="5"/>
        <v>100</v>
      </c>
      <c r="F54" s="97"/>
      <c r="G54" s="98"/>
      <c r="H54" s="97"/>
      <c r="I54" s="99">
        <f>C54+F54</f>
        <v>9000</v>
      </c>
      <c r="J54" s="100">
        <f t="shared" si="0"/>
        <v>9000</v>
      </c>
      <c r="K54" s="101">
        <f t="shared" si="1"/>
        <v>100</v>
      </c>
    </row>
    <row r="55" spans="1:11" ht="48">
      <c r="A55" s="102" t="s">
        <v>31</v>
      </c>
      <c r="B55" s="95" t="s">
        <v>254</v>
      </c>
      <c r="C55" s="107">
        <v>187.6</v>
      </c>
      <c r="D55" s="107">
        <v>0</v>
      </c>
      <c r="E55" s="96">
        <f t="shared" si="5"/>
        <v>0</v>
      </c>
      <c r="F55" s="97"/>
      <c r="G55" s="98"/>
      <c r="H55" s="97"/>
      <c r="I55" s="99">
        <f>C55+F55</f>
        <v>187.6</v>
      </c>
      <c r="J55" s="100">
        <f t="shared" si="0"/>
        <v>0</v>
      </c>
      <c r="K55" s="101">
        <f t="shared" si="1"/>
        <v>0</v>
      </c>
    </row>
    <row r="56" spans="1:11" ht="36">
      <c r="A56" s="102" t="s">
        <v>31</v>
      </c>
      <c r="B56" s="95" t="s">
        <v>141</v>
      </c>
      <c r="C56" s="107">
        <v>200</v>
      </c>
      <c r="D56" s="107">
        <v>200</v>
      </c>
      <c r="E56" s="96">
        <v>0</v>
      </c>
      <c r="F56" s="97">
        <v>200</v>
      </c>
      <c r="G56" s="98">
        <v>200</v>
      </c>
      <c r="H56" s="97">
        <f t="shared" si="6"/>
        <v>100</v>
      </c>
      <c r="I56" s="99">
        <f>C56+F56-200</f>
        <v>200</v>
      </c>
      <c r="J56" s="100">
        <f>D56+G56-200</f>
        <v>200</v>
      </c>
      <c r="K56" s="101">
        <f t="shared" si="1"/>
        <v>100</v>
      </c>
    </row>
    <row r="57" spans="1:11" ht="48">
      <c r="A57" s="102" t="s">
        <v>31</v>
      </c>
      <c r="B57" s="109" t="s">
        <v>136</v>
      </c>
      <c r="C57" s="107">
        <v>107.7</v>
      </c>
      <c r="D57" s="107">
        <v>107.7</v>
      </c>
      <c r="E57" s="96">
        <v>0</v>
      </c>
      <c r="F57" s="97"/>
      <c r="G57" s="98"/>
      <c r="H57" s="97"/>
      <c r="I57" s="99">
        <f>C57+F57</f>
        <v>107.7</v>
      </c>
      <c r="J57" s="100">
        <f t="shared" si="0"/>
        <v>107.7</v>
      </c>
      <c r="K57" s="101">
        <f t="shared" si="1"/>
        <v>100</v>
      </c>
    </row>
    <row r="58" spans="1:11" ht="36">
      <c r="A58" s="94" t="s">
        <v>32</v>
      </c>
      <c r="B58" s="95" t="s">
        <v>70</v>
      </c>
      <c r="C58" s="107">
        <v>7894.5</v>
      </c>
      <c r="D58" s="107">
        <v>7088.1</v>
      </c>
      <c r="E58" s="96">
        <f t="shared" si="5"/>
        <v>89.78529355880677</v>
      </c>
      <c r="F58" s="97">
        <v>13054.6</v>
      </c>
      <c r="G58" s="98">
        <v>13054.6</v>
      </c>
      <c r="H58" s="97">
        <f t="shared" si="6"/>
        <v>100</v>
      </c>
      <c r="I58" s="99">
        <f t="shared" si="0"/>
        <v>20949.1</v>
      </c>
      <c r="J58" s="100">
        <f t="shared" si="0"/>
        <v>20142.7</v>
      </c>
      <c r="K58" s="101">
        <f t="shared" si="1"/>
        <v>96.15066995718195</v>
      </c>
    </row>
    <row r="59" spans="1:11" ht="48">
      <c r="A59" s="94" t="s">
        <v>32</v>
      </c>
      <c r="B59" s="95" t="s">
        <v>106</v>
      </c>
      <c r="C59" s="107">
        <v>9601.4</v>
      </c>
      <c r="D59" s="111">
        <v>8489</v>
      </c>
      <c r="E59" s="96">
        <f t="shared" si="5"/>
        <v>88.41418959735039</v>
      </c>
      <c r="F59" s="105">
        <v>770</v>
      </c>
      <c r="G59" s="105">
        <v>770</v>
      </c>
      <c r="H59" s="97">
        <f t="shared" si="6"/>
        <v>100</v>
      </c>
      <c r="I59" s="99">
        <f t="shared" si="0"/>
        <v>10371.4</v>
      </c>
      <c r="J59" s="100">
        <f t="shared" si="0"/>
        <v>9259</v>
      </c>
      <c r="K59" s="101">
        <f t="shared" si="1"/>
        <v>89.27435061804579</v>
      </c>
    </row>
    <row r="60" spans="1:11" ht="12.75">
      <c r="A60" s="94" t="s">
        <v>32</v>
      </c>
      <c r="B60" s="95" t="s">
        <v>69</v>
      </c>
      <c r="C60" s="107">
        <v>1203.3</v>
      </c>
      <c r="D60" s="111">
        <v>1109.2</v>
      </c>
      <c r="E60" s="96">
        <f>D60/C60*100</f>
        <v>92.17983877669742</v>
      </c>
      <c r="F60" s="97">
        <v>18996.1</v>
      </c>
      <c r="G60" s="105">
        <v>17129.3</v>
      </c>
      <c r="H60" s="97">
        <f t="shared" si="6"/>
        <v>90.17271966350988</v>
      </c>
      <c r="I60" s="99">
        <f>C60+F60-230</f>
        <v>19969.399999999998</v>
      </c>
      <c r="J60" s="100">
        <f>D60+G60-230</f>
        <v>18008.5</v>
      </c>
      <c r="K60" s="101">
        <f>J60/I60*100</f>
        <v>90.18047612847658</v>
      </c>
    </row>
    <row r="61" spans="1:11" ht="36">
      <c r="A61" s="94" t="s">
        <v>32</v>
      </c>
      <c r="B61" s="95" t="s">
        <v>175</v>
      </c>
      <c r="C61" s="107">
        <v>42141.9</v>
      </c>
      <c r="D61" s="111">
        <v>32034.2</v>
      </c>
      <c r="E61" s="96">
        <f>D61/C61*100</f>
        <v>76.0150823764472</v>
      </c>
      <c r="F61" s="97">
        <v>0</v>
      </c>
      <c r="G61" s="105"/>
      <c r="H61" s="97">
        <v>0</v>
      </c>
      <c r="I61" s="99">
        <f>C61+F61</f>
        <v>42141.9</v>
      </c>
      <c r="J61" s="100">
        <f>D61+G61</f>
        <v>32034.2</v>
      </c>
      <c r="K61" s="101">
        <f>J61/I61*100</f>
        <v>76.0150823764472</v>
      </c>
    </row>
    <row r="62" spans="1:11" ht="36">
      <c r="A62" s="102" t="s">
        <v>32</v>
      </c>
      <c r="B62" s="95" t="s">
        <v>144</v>
      </c>
      <c r="C62" s="107">
        <v>4137.3</v>
      </c>
      <c r="D62" s="111">
        <v>3965.7</v>
      </c>
      <c r="E62" s="96">
        <f t="shared" si="5"/>
        <v>95.85236748604162</v>
      </c>
      <c r="F62" s="97">
        <v>0</v>
      </c>
      <c r="G62" s="105"/>
      <c r="H62" s="97">
        <v>0</v>
      </c>
      <c r="I62" s="112">
        <f>C62+F62</f>
        <v>4137.3</v>
      </c>
      <c r="J62" s="99">
        <f>D62+G62</f>
        <v>3965.7</v>
      </c>
      <c r="K62" s="100">
        <f>J62/I62*100</f>
        <v>95.85236748604162</v>
      </c>
    </row>
    <row r="63" spans="1:11" ht="36">
      <c r="A63" s="94" t="s">
        <v>32</v>
      </c>
      <c r="B63" s="109" t="s">
        <v>127</v>
      </c>
      <c r="C63" s="107">
        <v>27478.8</v>
      </c>
      <c r="D63" s="111">
        <v>22998.7</v>
      </c>
      <c r="E63" s="96">
        <f t="shared" si="5"/>
        <v>83.69615849309287</v>
      </c>
      <c r="F63" s="97"/>
      <c r="G63" s="105"/>
      <c r="H63" s="97">
        <v>0</v>
      </c>
      <c r="I63" s="99">
        <f t="shared" si="0"/>
        <v>27478.8</v>
      </c>
      <c r="J63" s="100">
        <f t="shared" si="0"/>
        <v>22998.7</v>
      </c>
      <c r="K63" s="101">
        <f t="shared" si="1"/>
        <v>83.69615849309287</v>
      </c>
    </row>
    <row r="64" spans="1:11" ht="36">
      <c r="A64" s="94" t="s">
        <v>32</v>
      </c>
      <c r="B64" s="109" t="s">
        <v>128</v>
      </c>
      <c r="C64" s="107">
        <v>207926</v>
      </c>
      <c r="D64" s="107">
        <v>183173.4</v>
      </c>
      <c r="E64" s="96">
        <f t="shared" si="5"/>
        <v>88.09547627521329</v>
      </c>
      <c r="F64" s="97">
        <v>0</v>
      </c>
      <c r="G64" s="105"/>
      <c r="H64" s="97">
        <v>0</v>
      </c>
      <c r="I64" s="99">
        <f t="shared" si="0"/>
        <v>207926</v>
      </c>
      <c r="J64" s="100">
        <f t="shared" si="0"/>
        <v>183173.4</v>
      </c>
      <c r="K64" s="101">
        <f t="shared" si="1"/>
        <v>88.09547627521329</v>
      </c>
    </row>
    <row r="65" spans="1:11" ht="60">
      <c r="A65" s="102" t="s">
        <v>32</v>
      </c>
      <c r="B65" s="109" t="s">
        <v>135</v>
      </c>
      <c r="C65" s="107">
        <v>12400</v>
      </c>
      <c r="D65" s="111">
        <v>9380.2</v>
      </c>
      <c r="E65" s="96">
        <f t="shared" si="5"/>
        <v>75.6467741935484</v>
      </c>
      <c r="F65" s="97">
        <v>5734.1</v>
      </c>
      <c r="G65" s="105">
        <v>3134.3</v>
      </c>
      <c r="H65" s="97">
        <f>G65/F65*100</f>
        <v>54.66071397429414</v>
      </c>
      <c r="I65" s="99">
        <f>C65+F65-5734.1</f>
        <v>12399.999999999998</v>
      </c>
      <c r="J65" s="100">
        <f>D65+G65-3134.3</f>
        <v>9380.2</v>
      </c>
      <c r="K65" s="101">
        <f t="shared" si="1"/>
        <v>75.64677419354841</v>
      </c>
    </row>
    <row r="66" spans="1:11" ht="60">
      <c r="A66" s="102" t="s">
        <v>32</v>
      </c>
      <c r="B66" s="109" t="s">
        <v>179</v>
      </c>
      <c r="C66" s="107">
        <v>26612.6</v>
      </c>
      <c r="D66" s="111">
        <v>26612.6</v>
      </c>
      <c r="E66" s="96">
        <f t="shared" si="5"/>
        <v>100</v>
      </c>
      <c r="F66" s="97">
        <v>28277.7</v>
      </c>
      <c r="G66" s="105">
        <v>28277.2</v>
      </c>
      <c r="H66" s="97">
        <f>G66/F66*100</f>
        <v>99.99823182224863</v>
      </c>
      <c r="I66" s="99">
        <f>C66+F66-25612.6</f>
        <v>29277.700000000004</v>
      </c>
      <c r="J66" s="100">
        <f>D66+G66-25612.6</f>
        <v>29277.200000000004</v>
      </c>
      <c r="K66" s="101">
        <f t="shared" si="1"/>
        <v>99.99829221557704</v>
      </c>
    </row>
    <row r="67" spans="1:11" ht="60">
      <c r="A67" s="102" t="s">
        <v>32</v>
      </c>
      <c r="B67" s="109" t="s">
        <v>165</v>
      </c>
      <c r="C67" s="107">
        <v>6429</v>
      </c>
      <c r="D67" s="111">
        <v>6429</v>
      </c>
      <c r="E67" s="96">
        <f t="shared" si="5"/>
        <v>100</v>
      </c>
      <c r="F67" s="97">
        <v>6429</v>
      </c>
      <c r="G67" s="105">
        <v>6429</v>
      </c>
      <c r="H67" s="97">
        <f>G67/F67*100</f>
        <v>100</v>
      </c>
      <c r="I67" s="99">
        <f>C67+F67-6429</f>
        <v>6429</v>
      </c>
      <c r="J67" s="100">
        <f>D67+G67-6429</f>
        <v>6429</v>
      </c>
      <c r="K67" s="101">
        <f t="shared" si="1"/>
        <v>100</v>
      </c>
    </row>
    <row r="68" spans="1:11" ht="48">
      <c r="A68" s="102" t="s">
        <v>32</v>
      </c>
      <c r="B68" s="109" t="s">
        <v>136</v>
      </c>
      <c r="C68" s="107">
        <v>259.4</v>
      </c>
      <c r="D68" s="111">
        <v>259.4</v>
      </c>
      <c r="E68" s="96">
        <f t="shared" si="5"/>
        <v>100</v>
      </c>
      <c r="F68" s="97"/>
      <c r="G68" s="105"/>
      <c r="H68" s="97"/>
      <c r="I68" s="99">
        <f>C68+F68</f>
        <v>259.4</v>
      </c>
      <c r="J68" s="100">
        <f>D68+G68</f>
        <v>259.4</v>
      </c>
      <c r="K68" s="101">
        <f t="shared" si="1"/>
        <v>100</v>
      </c>
    </row>
    <row r="69" spans="1:11" ht="24">
      <c r="A69" s="94" t="s">
        <v>32</v>
      </c>
      <c r="B69" s="95" t="s">
        <v>145</v>
      </c>
      <c r="C69" s="107">
        <v>10563.5</v>
      </c>
      <c r="D69" s="107">
        <v>6673.6</v>
      </c>
      <c r="E69" s="96">
        <f t="shared" si="5"/>
        <v>63.17603067165239</v>
      </c>
      <c r="F69" s="97">
        <v>0</v>
      </c>
      <c r="G69" s="105"/>
      <c r="H69" s="97">
        <v>0</v>
      </c>
      <c r="I69" s="99">
        <f t="shared" si="0"/>
        <v>10563.5</v>
      </c>
      <c r="J69" s="100">
        <f t="shared" si="0"/>
        <v>6673.6</v>
      </c>
      <c r="K69" s="101">
        <f t="shared" si="1"/>
        <v>63.17603067165239</v>
      </c>
    </row>
    <row r="70" spans="1:11" ht="24">
      <c r="A70" s="94" t="s">
        <v>32</v>
      </c>
      <c r="B70" s="95" t="s">
        <v>146</v>
      </c>
      <c r="C70" s="107">
        <v>14349.7</v>
      </c>
      <c r="D70" s="107">
        <v>14016.9</v>
      </c>
      <c r="E70" s="96">
        <f t="shared" si="5"/>
        <v>97.6807877516603</v>
      </c>
      <c r="F70" s="97">
        <v>0</v>
      </c>
      <c r="G70" s="105"/>
      <c r="H70" s="97">
        <v>0</v>
      </c>
      <c r="I70" s="99">
        <f t="shared" si="0"/>
        <v>14349.7</v>
      </c>
      <c r="J70" s="100">
        <f t="shared" si="0"/>
        <v>14016.9</v>
      </c>
      <c r="K70" s="101">
        <f t="shared" si="1"/>
        <v>97.6807877516603</v>
      </c>
    </row>
    <row r="71" spans="1:11" ht="24">
      <c r="A71" s="94" t="s">
        <v>32</v>
      </c>
      <c r="B71" s="95" t="s">
        <v>147</v>
      </c>
      <c r="C71" s="107">
        <v>1577.3</v>
      </c>
      <c r="D71" s="107">
        <v>851.5</v>
      </c>
      <c r="E71" s="96">
        <f t="shared" si="5"/>
        <v>53.98465732580993</v>
      </c>
      <c r="F71" s="97">
        <v>0</v>
      </c>
      <c r="G71" s="105"/>
      <c r="H71" s="97">
        <v>0</v>
      </c>
      <c r="I71" s="99">
        <f t="shared" si="0"/>
        <v>1577.3</v>
      </c>
      <c r="J71" s="100">
        <f t="shared" si="0"/>
        <v>851.5</v>
      </c>
      <c r="K71" s="101">
        <f t="shared" si="1"/>
        <v>53.98465732580993</v>
      </c>
    </row>
    <row r="72" spans="1:11" ht="24">
      <c r="A72" s="94" t="s">
        <v>32</v>
      </c>
      <c r="B72" s="95" t="s">
        <v>148</v>
      </c>
      <c r="C72" s="107">
        <v>4434.2</v>
      </c>
      <c r="D72" s="107">
        <v>4416.1</v>
      </c>
      <c r="E72" s="96">
        <f t="shared" si="5"/>
        <v>99.59180912002165</v>
      </c>
      <c r="F72" s="97">
        <v>0</v>
      </c>
      <c r="G72" s="105"/>
      <c r="H72" s="97">
        <v>0</v>
      </c>
      <c r="I72" s="99">
        <f>C72+F72</f>
        <v>4434.2</v>
      </c>
      <c r="J72" s="100">
        <f>D72+G72</f>
        <v>4416.1</v>
      </c>
      <c r="K72" s="101">
        <f t="shared" si="1"/>
        <v>99.59180912002165</v>
      </c>
    </row>
    <row r="73" spans="1:11" ht="36">
      <c r="A73" s="102" t="s">
        <v>32</v>
      </c>
      <c r="B73" s="95" t="s">
        <v>149</v>
      </c>
      <c r="C73" s="107">
        <v>4583</v>
      </c>
      <c r="D73" s="107">
        <v>2455.1</v>
      </c>
      <c r="E73" s="96">
        <f t="shared" si="5"/>
        <v>53.56971416102989</v>
      </c>
      <c r="F73" s="97">
        <v>0</v>
      </c>
      <c r="G73" s="105"/>
      <c r="H73" s="97">
        <v>0</v>
      </c>
      <c r="I73" s="99">
        <f t="shared" si="0"/>
        <v>4583</v>
      </c>
      <c r="J73" s="100">
        <f t="shared" si="0"/>
        <v>2455.1</v>
      </c>
      <c r="K73" s="101">
        <f t="shared" si="1"/>
        <v>53.56971416102989</v>
      </c>
    </row>
    <row r="74" spans="1:11" ht="36">
      <c r="A74" s="94" t="s">
        <v>33</v>
      </c>
      <c r="B74" s="95" t="s">
        <v>166</v>
      </c>
      <c r="C74" s="107">
        <v>2921.9</v>
      </c>
      <c r="D74" s="107">
        <v>2921.9</v>
      </c>
      <c r="E74" s="96">
        <f t="shared" si="5"/>
        <v>100</v>
      </c>
      <c r="F74" s="108">
        <v>700</v>
      </c>
      <c r="G74" s="108">
        <v>700</v>
      </c>
      <c r="H74" s="97">
        <f>G74/F74*100</f>
        <v>100</v>
      </c>
      <c r="I74" s="99">
        <f>C74+F74-700</f>
        <v>2921.9</v>
      </c>
      <c r="J74" s="100">
        <f>D74+G74-700</f>
        <v>2921.9</v>
      </c>
      <c r="K74" s="101">
        <f t="shared" si="1"/>
        <v>100</v>
      </c>
    </row>
    <row r="75" spans="1:11" ht="24">
      <c r="A75" s="94" t="s">
        <v>33</v>
      </c>
      <c r="B75" s="95" t="s">
        <v>100</v>
      </c>
      <c r="C75" s="107">
        <v>5846.4</v>
      </c>
      <c r="D75" s="107">
        <v>5846.4</v>
      </c>
      <c r="E75" s="96">
        <f t="shared" si="5"/>
        <v>100</v>
      </c>
      <c r="F75" s="108">
        <v>44622.8</v>
      </c>
      <c r="G75" s="108">
        <v>42826.6</v>
      </c>
      <c r="H75" s="97">
        <f>G75/F75*100</f>
        <v>95.97470351479511</v>
      </c>
      <c r="I75" s="99">
        <f>C75+F75</f>
        <v>50469.200000000004</v>
      </c>
      <c r="J75" s="100">
        <f>D75+G75</f>
        <v>48673</v>
      </c>
      <c r="K75" s="101">
        <f t="shared" si="1"/>
        <v>96.4409976777916</v>
      </c>
    </row>
    <row r="76" spans="1:11" ht="36">
      <c r="A76" s="94" t="s">
        <v>33</v>
      </c>
      <c r="B76" s="95" t="s">
        <v>176</v>
      </c>
      <c r="C76" s="107">
        <v>2000</v>
      </c>
      <c r="D76" s="107">
        <v>1990</v>
      </c>
      <c r="E76" s="96">
        <f t="shared" si="5"/>
        <v>99.5</v>
      </c>
      <c r="F76" s="108">
        <v>2000</v>
      </c>
      <c r="G76" s="108">
        <v>1990</v>
      </c>
      <c r="H76" s="97">
        <f>G76/F76*100</f>
        <v>99.5</v>
      </c>
      <c r="I76" s="99">
        <f>C76+F76-2000</f>
        <v>2000</v>
      </c>
      <c r="J76" s="100">
        <f>D76+G76-1990</f>
        <v>1990</v>
      </c>
      <c r="K76" s="101">
        <f t="shared" si="1"/>
        <v>99.5</v>
      </c>
    </row>
    <row r="77" spans="1:11" ht="12.75">
      <c r="A77" s="113" t="s">
        <v>34</v>
      </c>
      <c r="B77" s="114" t="s">
        <v>35</v>
      </c>
      <c r="C77" s="110">
        <f aca="true" t="shared" si="7" ref="C77:H77">C78</f>
        <v>350</v>
      </c>
      <c r="D77" s="110">
        <f t="shared" si="7"/>
        <v>350</v>
      </c>
      <c r="E77" s="91">
        <f>D77/C77*100</f>
        <v>100</v>
      </c>
      <c r="F77" s="110">
        <f t="shared" si="7"/>
        <v>0</v>
      </c>
      <c r="G77" s="110">
        <f t="shared" si="7"/>
        <v>0</v>
      </c>
      <c r="H77" s="92">
        <f t="shared" si="7"/>
        <v>0</v>
      </c>
      <c r="I77" s="110">
        <f t="shared" si="0"/>
        <v>350</v>
      </c>
      <c r="J77" s="110">
        <f t="shared" si="0"/>
        <v>350</v>
      </c>
      <c r="K77" s="93">
        <f t="shared" si="1"/>
        <v>100</v>
      </c>
    </row>
    <row r="78" spans="1:11" ht="24">
      <c r="A78" s="102" t="s">
        <v>36</v>
      </c>
      <c r="B78" s="115" t="s">
        <v>37</v>
      </c>
      <c r="C78" s="108">
        <v>350</v>
      </c>
      <c r="D78" s="97">
        <v>350</v>
      </c>
      <c r="E78" s="96">
        <f t="shared" si="5"/>
        <v>100</v>
      </c>
      <c r="F78" s="97">
        <v>0</v>
      </c>
      <c r="G78" s="98">
        <v>0</v>
      </c>
      <c r="H78" s="97">
        <v>0</v>
      </c>
      <c r="I78" s="99">
        <f t="shared" si="0"/>
        <v>350</v>
      </c>
      <c r="J78" s="100">
        <f t="shared" si="0"/>
        <v>350</v>
      </c>
      <c r="K78" s="101">
        <f t="shared" si="1"/>
        <v>100</v>
      </c>
    </row>
    <row r="79" spans="1:11" ht="12.75">
      <c r="A79" s="89" t="s">
        <v>38</v>
      </c>
      <c r="B79" s="90" t="s">
        <v>39</v>
      </c>
      <c r="C79" s="91">
        <f>SUM(C80:C86)</f>
        <v>2204489.4000000004</v>
      </c>
      <c r="D79" s="91">
        <f>SUM(D80:D86)</f>
        <v>1966176.5</v>
      </c>
      <c r="E79" s="91">
        <f>D79/C79*100</f>
        <v>89.18965543676461</v>
      </c>
      <c r="F79" s="110">
        <f>F80+F81+F82+F85+F86</f>
        <v>5085.3</v>
      </c>
      <c r="G79" s="110">
        <f>SUM(G80:G86)</f>
        <v>5023.7</v>
      </c>
      <c r="H79" s="92">
        <f>G79/F79*100</f>
        <v>98.78866536880813</v>
      </c>
      <c r="I79" s="91">
        <f>SUM(I80:I86)</f>
        <v>2209574.7</v>
      </c>
      <c r="J79" s="91">
        <f>SUM(J80:J86)</f>
        <v>1971200.2</v>
      </c>
      <c r="K79" s="93">
        <f t="shared" si="1"/>
        <v>89.21174740098172</v>
      </c>
    </row>
    <row r="80" spans="1:11" ht="12.75">
      <c r="A80" s="94" t="s">
        <v>40</v>
      </c>
      <c r="B80" s="95" t="s">
        <v>41</v>
      </c>
      <c r="C80" s="96">
        <v>377036.9</v>
      </c>
      <c r="D80" s="96">
        <v>377001.8</v>
      </c>
      <c r="E80" s="96">
        <f t="shared" si="5"/>
        <v>99.99069056636101</v>
      </c>
      <c r="F80" s="97">
        <v>0</v>
      </c>
      <c r="G80" s="98">
        <v>0</v>
      </c>
      <c r="H80" s="97">
        <v>0</v>
      </c>
      <c r="I80" s="99">
        <f t="shared" si="0"/>
        <v>377036.9</v>
      </c>
      <c r="J80" s="100">
        <f t="shared" si="0"/>
        <v>377001.8</v>
      </c>
      <c r="K80" s="101">
        <f t="shared" si="1"/>
        <v>99.99069056636101</v>
      </c>
    </row>
    <row r="81" spans="1:11" ht="12.75">
      <c r="A81" s="94" t="s">
        <v>42</v>
      </c>
      <c r="B81" s="95" t="s">
        <v>43</v>
      </c>
      <c r="C81" s="96">
        <f>1736794.7-C82-C83-C84</f>
        <v>1028082.7000000001</v>
      </c>
      <c r="D81" s="96">
        <f>1513369.1-D82-D83-D84</f>
        <v>998341.1000000002</v>
      </c>
      <c r="E81" s="96">
        <f t="shared" si="5"/>
        <v>97.10708097704592</v>
      </c>
      <c r="F81" s="97">
        <v>0</v>
      </c>
      <c r="G81" s="98">
        <v>0</v>
      </c>
      <c r="H81" s="97">
        <v>0</v>
      </c>
      <c r="I81" s="99">
        <f t="shared" si="0"/>
        <v>1028082.7000000001</v>
      </c>
      <c r="J81" s="100">
        <f t="shared" si="0"/>
        <v>998341.1000000002</v>
      </c>
      <c r="K81" s="101">
        <f t="shared" si="1"/>
        <v>97.10708097704592</v>
      </c>
    </row>
    <row r="82" spans="1:11" ht="12.75">
      <c r="A82" s="94" t="s">
        <v>42</v>
      </c>
      <c r="B82" s="95" t="s">
        <v>76</v>
      </c>
      <c r="C82" s="96">
        <v>39526.4</v>
      </c>
      <c r="D82" s="96">
        <v>39526.4</v>
      </c>
      <c r="E82" s="96">
        <f t="shared" si="5"/>
        <v>100</v>
      </c>
      <c r="F82" s="97">
        <v>0</v>
      </c>
      <c r="G82" s="98">
        <v>0</v>
      </c>
      <c r="H82" s="97">
        <v>0</v>
      </c>
      <c r="I82" s="99">
        <f t="shared" si="0"/>
        <v>39526.4</v>
      </c>
      <c r="J82" s="100">
        <f t="shared" si="0"/>
        <v>39526.4</v>
      </c>
      <c r="K82" s="101">
        <f t="shared" si="1"/>
        <v>100</v>
      </c>
    </row>
    <row r="83" spans="1:11" ht="24">
      <c r="A83" s="94" t="s">
        <v>42</v>
      </c>
      <c r="B83" s="95" t="s">
        <v>167</v>
      </c>
      <c r="C83" s="96">
        <v>128456.5</v>
      </c>
      <c r="D83" s="96">
        <v>49261.2</v>
      </c>
      <c r="E83" s="96">
        <f t="shared" si="5"/>
        <v>38.34854600584634</v>
      </c>
      <c r="F83" s="97">
        <v>0</v>
      </c>
      <c r="G83" s="98">
        <v>0</v>
      </c>
      <c r="H83" s="97">
        <v>0</v>
      </c>
      <c r="I83" s="99">
        <f t="shared" si="0"/>
        <v>128456.5</v>
      </c>
      <c r="J83" s="100">
        <f t="shared" si="0"/>
        <v>49261.2</v>
      </c>
      <c r="K83" s="101">
        <f t="shared" si="1"/>
        <v>38.34854600584634</v>
      </c>
    </row>
    <row r="84" spans="1:11" ht="36">
      <c r="A84" s="94" t="s">
        <v>42</v>
      </c>
      <c r="B84" s="95" t="s">
        <v>133</v>
      </c>
      <c r="C84" s="96">
        <v>540729.1</v>
      </c>
      <c r="D84" s="96">
        <v>426240.4</v>
      </c>
      <c r="E84" s="96">
        <f>D84/C84*100</f>
        <v>78.82697639169042</v>
      </c>
      <c r="F84" s="97">
        <v>0</v>
      </c>
      <c r="G84" s="98">
        <v>0</v>
      </c>
      <c r="H84" s="97">
        <v>0</v>
      </c>
      <c r="I84" s="99">
        <f>C84+F84</f>
        <v>540729.1</v>
      </c>
      <c r="J84" s="100">
        <f>D84+G84</f>
        <v>426240.4</v>
      </c>
      <c r="K84" s="101">
        <f>J84/I84*100</f>
        <v>78.82697639169042</v>
      </c>
    </row>
    <row r="85" spans="1:11" ht="12.75">
      <c r="A85" s="94" t="s">
        <v>44</v>
      </c>
      <c r="B85" s="95" t="s">
        <v>45</v>
      </c>
      <c r="C85" s="96">
        <v>22285.2</v>
      </c>
      <c r="D85" s="96">
        <v>22279.5</v>
      </c>
      <c r="E85" s="96">
        <f t="shared" si="5"/>
        <v>99.97442248667276</v>
      </c>
      <c r="F85" s="97">
        <v>5085.3</v>
      </c>
      <c r="G85" s="98">
        <v>5023.7</v>
      </c>
      <c r="H85" s="97">
        <f>G85/F85*100</f>
        <v>98.78866536880813</v>
      </c>
      <c r="I85" s="99">
        <f t="shared" si="0"/>
        <v>27370.5</v>
      </c>
      <c r="J85" s="100">
        <f t="shared" si="0"/>
        <v>27303.2</v>
      </c>
      <c r="K85" s="101">
        <f t="shared" si="1"/>
        <v>99.75411483166184</v>
      </c>
    </row>
    <row r="86" spans="1:11" ht="12.75">
      <c r="A86" s="94" t="s">
        <v>46</v>
      </c>
      <c r="B86" s="95" t="s">
        <v>47</v>
      </c>
      <c r="C86" s="96">
        <v>68372.6</v>
      </c>
      <c r="D86" s="96">
        <v>53526.1</v>
      </c>
      <c r="E86" s="96">
        <f t="shared" si="5"/>
        <v>78.285892301887</v>
      </c>
      <c r="F86" s="97">
        <v>0</v>
      </c>
      <c r="G86" s="98">
        <v>0</v>
      </c>
      <c r="H86" s="97">
        <v>0</v>
      </c>
      <c r="I86" s="99">
        <f t="shared" si="0"/>
        <v>68372.6</v>
      </c>
      <c r="J86" s="100">
        <f t="shared" si="0"/>
        <v>53526.1</v>
      </c>
      <c r="K86" s="101">
        <f t="shared" si="1"/>
        <v>78.285892301887</v>
      </c>
    </row>
    <row r="87" spans="1:11" ht="12.75">
      <c r="A87" s="89" t="s">
        <v>48</v>
      </c>
      <c r="B87" s="90" t="s">
        <v>49</v>
      </c>
      <c r="C87" s="91">
        <f>SUM(C88:C94)</f>
        <v>275002</v>
      </c>
      <c r="D87" s="91">
        <f>SUM(D88:D94)</f>
        <v>184918.80000000005</v>
      </c>
      <c r="E87" s="91">
        <f>D87/C87*100</f>
        <v>67.24271096210211</v>
      </c>
      <c r="F87" s="110">
        <f>SUM(F88:F94)</f>
        <v>87868.59999999999</v>
      </c>
      <c r="G87" s="110">
        <f>SUM(G88:G94)</f>
        <v>87395.09999999999</v>
      </c>
      <c r="H87" s="92">
        <f>G87/F87*100</f>
        <v>99.46112718308929</v>
      </c>
      <c r="I87" s="110">
        <f>SUM(I88:I94)</f>
        <v>357099.2</v>
      </c>
      <c r="J87" s="110">
        <f>SUM(J88:J94)</f>
        <v>266563.10000000003</v>
      </c>
      <c r="K87" s="93">
        <f t="shared" si="1"/>
        <v>74.64679282395481</v>
      </c>
    </row>
    <row r="88" spans="1:11" ht="12.75">
      <c r="A88" s="94" t="s">
        <v>50</v>
      </c>
      <c r="B88" s="95" t="s">
        <v>90</v>
      </c>
      <c r="C88" s="96">
        <f>265747.1-C89-C92-C90-C91</f>
        <v>55244.39999999998</v>
      </c>
      <c r="D88" s="96">
        <f>175897.1-D89-D92-D90-D91</f>
        <v>55024.600000000006</v>
      </c>
      <c r="E88" s="96">
        <f t="shared" si="5"/>
        <v>99.60213161877046</v>
      </c>
      <c r="F88" s="97">
        <f>87048.8-F90</f>
        <v>86010.6</v>
      </c>
      <c r="G88" s="98">
        <f>86586-G90</f>
        <v>85547.8</v>
      </c>
      <c r="H88" s="97">
        <f>G88/F88*100</f>
        <v>99.46192678576826</v>
      </c>
      <c r="I88" s="99">
        <f>C88+F88-4551.3</f>
        <v>136703.7</v>
      </c>
      <c r="J88" s="100">
        <f>D88+G88-4530.7</f>
        <v>136041.7</v>
      </c>
      <c r="K88" s="101">
        <f t="shared" si="1"/>
        <v>99.51574097848119</v>
      </c>
    </row>
    <row r="89" spans="1:11" ht="60">
      <c r="A89" s="116" t="s">
        <v>50</v>
      </c>
      <c r="B89" s="117" t="s">
        <v>163</v>
      </c>
      <c r="C89" s="96">
        <v>199190.5</v>
      </c>
      <c r="D89" s="96">
        <v>112437.3</v>
      </c>
      <c r="E89" s="96">
        <f t="shared" si="5"/>
        <v>56.44711971705478</v>
      </c>
      <c r="F89" s="97">
        <v>0</v>
      </c>
      <c r="G89" s="98">
        <v>0</v>
      </c>
      <c r="H89" s="97">
        <v>0</v>
      </c>
      <c r="I89" s="99">
        <f aca="true" t="shared" si="8" ref="I89:J107">C89+F89</f>
        <v>199190.5</v>
      </c>
      <c r="J89" s="100">
        <f t="shared" si="8"/>
        <v>112437.3</v>
      </c>
      <c r="K89" s="101">
        <f>J89/I89*100</f>
        <v>56.44711971705478</v>
      </c>
    </row>
    <row r="90" spans="1:11" ht="12.75">
      <c r="A90" s="116" t="s">
        <v>50</v>
      </c>
      <c r="B90" s="117" t="s">
        <v>137</v>
      </c>
      <c r="C90" s="96">
        <v>1855.6</v>
      </c>
      <c r="D90" s="96">
        <v>1855.6</v>
      </c>
      <c r="E90" s="96">
        <f t="shared" si="5"/>
        <v>100</v>
      </c>
      <c r="F90" s="97">
        <v>1038.2</v>
      </c>
      <c r="G90" s="98">
        <v>1038.2</v>
      </c>
      <c r="H90" s="97">
        <f>G90/F90*100</f>
        <v>100</v>
      </c>
      <c r="I90" s="99">
        <f>C90+F90-1038.2</f>
        <v>1855.6000000000001</v>
      </c>
      <c r="J90" s="100">
        <f>D90+G90-1038.2</f>
        <v>1855.6000000000001</v>
      </c>
      <c r="K90" s="101">
        <f>J90/I90*100</f>
        <v>100</v>
      </c>
    </row>
    <row r="91" spans="1:11" ht="12.75">
      <c r="A91" s="116" t="s">
        <v>50</v>
      </c>
      <c r="B91" s="117" t="s">
        <v>256</v>
      </c>
      <c r="C91" s="96">
        <v>1210.5</v>
      </c>
      <c r="D91" s="96">
        <v>1210.5</v>
      </c>
      <c r="E91" s="96">
        <f t="shared" si="5"/>
        <v>100</v>
      </c>
      <c r="F91" s="97"/>
      <c r="G91" s="98"/>
      <c r="H91" s="97"/>
      <c r="I91" s="99">
        <f t="shared" si="8"/>
        <v>1210.5</v>
      </c>
      <c r="J91" s="100">
        <f>D91+G91</f>
        <v>1210.5</v>
      </c>
      <c r="K91" s="101">
        <f>J91/I91*100</f>
        <v>100</v>
      </c>
    </row>
    <row r="92" spans="1:11" ht="24">
      <c r="A92" s="116" t="s">
        <v>50</v>
      </c>
      <c r="B92" s="117" t="s">
        <v>181</v>
      </c>
      <c r="C92" s="96">
        <v>8246.1</v>
      </c>
      <c r="D92" s="96">
        <v>5369.1</v>
      </c>
      <c r="E92" s="96">
        <f t="shared" si="5"/>
        <v>65.11077964128498</v>
      </c>
      <c r="F92" s="97">
        <v>0</v>
      </c>
      <c r="G92" s="98">
        <v>0</v>
      </c>
      <c r="H92" s="97">
        <v>0</v>
      </c>
      <c r="I92" s="99">
        <f t="shared" si="8"/>
        <v>8246.1</v>
      </c>
      <c r="J92" s="100">
        <f>D92+G92</f>
        <v>5369.1</v>
      </c>
      <c r="K92" s="101">
        <f>J92/I92*100</f>
        <v>65.11077964128498</v>
      </c>
    </row>
    <row r="93" spans="1:11" ht="12.75">
      <c r="A93" s="94" t="s">
        <v>51</v>
      </c>
      <c r="B93" s="95" t="s">
        <v>52</v>
      </c>
      <c r="C93" s="96">
        <v>619</v>
      </c>
      <c r="D93" s="96">
        <v>619</v>
      </c>
      <c r="E93" s="96">
        <f t="shared" si="5"/>
        <v>100</v>
      </c>
      <c r="F93" s="97">
        <v>597.9</v>
      </c>
      <c r="G93" s="98">
        <v>591.2</v>
      </c>
      <c r="H93" s="97">
        <f>G93/F93*100</f>
        <v>98.8794112727881</v>
      </c>
      <c r="I93" s="99">
        <f t="shared" si="8"/>
        <v>1216.9</v>
      </c>
      <c r="J93" s="100">
        <f t="shared" si="8"/>
        <v>1210.2</v>
      </c>
      <c r="K93" s="101">
        <f aca="true" t="shared" si="9" ref="K93:K126">J93/I93*100</f>
        <v>99.4494206590517</v>
      </c>
    </row>
    <row r="94" spans="1:11" ht="12.75">
      <c r="A94" s="94" t="s">
        <v>53</v>
      </c>
      <c r="B94" s="95" t="s">
        <v>91</v>
      </c>
      <c r="C94" s="96">
        <v>8635.9</v>
      </c>
      <c r="D94" s="96">
        <v>8402.7</v>
      </c>
      <c r="E94" s="96">
        <f t="shared" si="5"/>
        <v>97.29964450723145</v>
      </c>
      <c r="F94" s="97">
        <v>221.9</v>
      </c>
      <c r="G94" s="98">
        <v>217.9</v>
      </c>
      <c r="H94" s="97">
        <f>G94/F94*100</f>
        <v>98.19738621000451</v>
      </c>
      <c r="I94" s="99">
        <f>C94+F94-181.9</f>
        <v>8675.9</v>
      </c>
      <c r="J94" s="100">
        <f>D94+G94-181.9</f>
        <v>8438.7</v>
      </c>
      <c r="K94" s="101">
        <f t="shared" si="9"/>
        <v>97.26598969559356</v>
      </c>
    </row>
    <row r="95" spans="1:11" ht="12.75">
      <c r="A95" s="89" t="s">
        <v>54</v>
      </c>
      <c r="B95" s="90" t="s">
        <v>92</v>
      </c>
      <c r="C95" s="91">
        <f>SUM(C96:C99)</f>
        <v>181715.6</v>
      </c>
      <c r="D95" s="91">
        <f>SUM(D96:D99)</f>
        <v>83565.70000000001</v>
      </c>
      <c r="E95" s="91">
        <f>D95/C95*100</f>
        <v>45.98708091105002</v>
      </c>
      <c r="F95" s="110">
        <f>SUM(F96:F98)</f>
        <v>0</v>
      </c>
      <c r="G95" s="110">
        <f>SUM(G96:G98)</f>
        <v>0</v>
      </c>
      <c r="H95" s="92"/>
      <c r="I95" s="110">
        <f>C95+F95</f>
        <v>181715.6</v>
      </c>
      <c r="J95" s="110">
        <f t="shared" si="8"/>
        <v>83565.70000000001</v>
      </c>
      <c r="K95" s="93">
        <f t="shared" si="9"/>
        <v>45.98708091105002</v>
      </c>
    </row>
    <row r="96" spans="1:11" ht="12.75">
      <c r="A96" s="94" t="s">
        <v>55</v>
      </c>
      <c r="B96" s="95" t="s">
        <v>56</v>
      </c>
      <c r="C96" s="96">
        <v>90810.6</v>
      </c>
      <c r="D96" s="96">
        <v>44671.3</v>
      </c>
      <c r="E96" s="96">
        <f t="shared" si="5"/>
        <v>49.19172431412192</v>
      </c>
      <c r="F96" s="97">
        <v>0</v>
      </c>
      <c r="G96" s="98">
        <v>0</v>
      </c>
      <c r="H96" s="97">
        <v>0</v>
      </c>
      <c r="I96" s="99">
        <f t="shared" si="8"/>
        <v>90810.6</v>
      </c>
      <c r="J96" s="100">
        <f t="shared" si="8"/>
        <v>44671.3</v>
      </c>
      <c r="K96" s="101">
        <f t="shared" si="9"/>
        <v>49.19172431412192</v>
      </c>
    </row>
    <row r="97" spans="1:11" ht="12.75">
      <c r="A97" s="94" t="s">
        <v>57</v>
      </c>
      <c r="B97" s="95" t="s">
        <v>58</v>
      </c>
      <c r="C97" s="96">
        <v>14759.7</v>
      </c>
      <c r="D97" s="96">
        <v>7191.9</v>
      </c>
      <c r="E97" s="96">
        <f t="shared" si="5"/>
        <v>48.72660013414906</v>
      </c>
      <c r="F97" s="97">
        <v>0</v>
      </c>
      <c r="G97" s="98">
        <v>0</v>
      </c>
      <c r="H97" s="97">
        <v>0</v>
      </c>
      <c r="I97" s="99">
        <f t="shared" si="8"/>
        <v>14759.7</v>
      </c>
      <c r="J97" s="100">
        <f t="shared" si="8"/>
        <v>7191.9</v>
      </c>
      <c r="K97" s="101">
        <f t="shared" si="9"/>
        <v>48.72660013414906</v>
      </c>
    </row>
    <row r="98" spans="1:11" ht="12.75">
      <c r="A98" s="102" t="s">
        <v>104</v>
      </c>
      <c r="B98" s="95" t="s">
        <v>88</v>
      </c>
      <c r="C98" s="96">
        <f>76145.3-C99</f>
        <v>13926.200000000004</v>
      </c>
      <c r="D98" s="97">
        <f>31702.5-D99</f>
        <v>13823.5</v>
      </c>
      <c r="E98" s="96">
        <f t="shared" si="5"/>
        <v>99.26254110956324</v>
      </c>
      <c r="F98" s="97">
        <v>0</v>
      </c>
      <c r="G98" s="98">
        <v>0</v>
      </c>
      <c r="H98" s="97">
        <v>0</v>
      </c>
      <c r="I98" s="99">
        <f t="shared" si="8"/>
        <v>13926.200000000004</v>
      </c>
      <c r="J98" s="100">
        <f t="shared" si="8"/>
        <v>13823.5</v>
      </c>
      <c r="K98" s="101">
        <f t="shared" si="9"/>
        <v>99.26254110956324</v>
      </c>
    </row>
    <row r="99" spans="1:11" ht="24">
      <c r="A99" s="102" t="s">
        <v>104</v>
      </c>
      <c r="B99" s="117" t="s">
        <v>132</v>
      </c>
      <c r="C99" s="96">
        <v>62219.1</v>
      </c>
      <c r="D99" s="97">
        <v>17879</v>
      </c>
      <c r="E99" s="96">
        <f t="shared" si="5"/>
        <v>28.73554905165777</v>
      </c>
      <c r="F99" s="97">
        <v>0</v>
      </c>
      <c r="G99" s="98">
        <v>0</v>
      </c>
      <c r="H99" s="97">
        <v>0</v>
      </c>
      <c r="I99" s="99">
        <f t="shared" si="8"/>
        <v>62219.1</v>
      </c>
      <c r="J99" s="100">
        <f t="shared" si="8"/>
        <v>17879</v>
      </c>
      <c r="K99" s="101">
        <f t="shared" si="9"/>
        <v>28.73554905165777</v>
      </c>
    </row>
    <row r="100" spans="1:11" ht="12.75">
      <c r="A100" s="89">
        <v>10</v>
      </c>
      <c r="B100" s="90" t="s">
        <v>60</v>
      </c>
      <c r="C100" s="91">
        <f>SUM(C101:C113)</f>
        <v>212371.1</v>
      </c>
      <c r="D100" s="91">
        <f>SUM(D101:D113)</f>
        <v>172085.9</v>
      </c>
      <c r="E100" s="91">
        <f>D100/C100*100</f>
        <v>81.03075230104284</v>
      </c>
      <c r="F100" s="91">
        <f>SUM(F101:F111)</f>
        <v>211.8</v>
      </c>
      <c r="G100" s="91">
        <f>SUM(G101:G111)</f>
        <v>211.8</v>
      </c>
      <c r="H100" s="92">
        <f>G100/F100*100</f>
        <v>100</v>
      </c>
      <c r="I100" s="91">
        <f>SUM(I101:I113)</f>
        <v>212582.9</v>
      </c>
      <c r="J100" s="91">
        <f>SUM(J101:J113)</f>
        <v>172297.7</v>
      </c>
      <c r="K100" s="93">
        <f t="shared" si="9"/>
        <v>81.04965168882352</v>
      </c>
    </row>
    <row r="101" spans="1:11" ht="12.75">
      <c r="A101" s="102">
        <v>1001</v>
      </c>
      <c r="B101" s="95" t="s">
        <v>61</v>
      </c>
      <c r="C101" s="96">
        <v>3354.4</v>
      </c>
      <c r="D101" s="96">
        <v>3354.3</v>
      </c>
      <c r="E101" s="96">
        <f t="shared" si="5"/>
        <v>99.99701884092535</v>
      </c>
      <c r="F101" s="97">
        <v>211.8</v>
      </c>
      <c r="G101" s="98">
        <v>211.8</v>
      </c>
      <c r="H101" s="97">
        <f>G101/F101*100</f>
        <v>100</v>
      </c>
      <c r="I101" s="99">
        <f t="shared" si="8"/>
        <v>3566.2000000000003</v>
      </c>
      <c r="J101" s="100">
        <f t="shared" si="8"/>
        <v>3566.1000000000004</v>
      </c>
      <c r="K101" s="101">
        <f t="shared" si="9"/>
        <v>99.99719589478997</v>
      </c>
    </row>
    <row r="102" spans="1:11" ht="24">
      <c r="A102" s="102">
        <v>1003</v>
      </c>
      <c r="B102" s="95" t="s">
        <v>79</v>
      </c>
      <c r="C102" s="96">
        <v>2165.4</v>
      </c>
      <c r="D102" s="96">
        <v>2165.4</v>
      </c>
      <c r="E102" s="96">
        <f t="shared" si="5"/>
        <v>100</v>
      </c>
      <c r="F102" s="97">
        <v>0</v>
      </c>
      <c r="G102" s="98">
        <v>0</v>
      </c>
      <c r="H102" s="97">
        <v>0</v>
      </c>
      <c r="I102" s="99">
        <f t="shared" si="8"/>
        <v>2165.4</v>
      </c>
      <c r="J102" s="100">
        <f t="shared" si="8"/>
        <v>2165.4</v>
      </c>
      <c r="K102" s="101">
        <f t="shared" si="9"/>
        <v>100</v>
      </c>
    </row>
    <row r="103" spans="1:11" ht="24">
      <c r="A103" s="102">
        <v>1003</v>
      </c>
      <c r="B103" s="95" t="s">
        <v>94</v>
      </c>
      <c r="C103" s="96">
        <v>13327.1</v>
      </c>
      <c r="D103" s="96">
        <v>5014.9</v>
      </c>
      <c r="E103" s="96">
        <f aca="true" t="shared" si="10" ref="E103:E125">D103/C103*100</f>
        <v>37.629341717252814</v>
      </c>
      <c r="F103" s="97">
        <v>0</v>
      </c>
      <c r="G103" s="98">
        <v>0</v>
      </c>
      <c r="H103" s="97">
        <v>0</v>
      </c>
      <c r="I103" s="99">
        <f t="shared" si="8"/>
        <v>13327.1</v>
      </c>
      <c r="J103" s="100">
        <f t="shared" si="8"/>
        <v>5014.9</v>
      </c>
      <c r="K103" s="101">
        <f t="shared" si="9"/>
        <v>37.629341717252814</v>
      </c>
    </row>
    <row r="104" spans="1:11" ht="24">
      <c r="A104" s="102">
        <v>1003</v>
      </c>
      <c r="B104" s="95" t="s">
        <v>93</v>
      </c>
      <c r="C104" s="96">
        <v>11451</v>
      </c>
      <c r="D104" s="96">
        <v>11432</v>
      </c>
      <c r="E104" s="96">
        <f t="shared" si="10"/>
        <v>99.83407562658283</v>
      </c>
      <c r="F104" s="97">
        <v>0</v>
      </c>
      <c r="G104" s="98">
        <v>0</v>
      </c>
      <c r="H104" s="97">
        <v>0</v>
      </c>
      <c r="I104" s="99">
        <f t="shared" si="8"/>
        <v>11451</v>
      </c>
      <c r="J104" s="100">
        <f t="shared" si="8"/>
        <v>11432</v>
      </c>
      <c r="K104" s="101">
        <f t="shared" si="9"/>
        <v>99.83407562658283</v>
      </c>
    </row>
    <row r="105" spans="1:11" ht="12.75">
      <c r="A105" s="102" t="s">
        <v>168</v>
      </c>
      <c r="B105" s="95" t="s">
        <v>180</v>
      </c>
      <c r="C105" s="96">
        <v>63.2</v>
      </c>
      <c r="D105" s="96">
        <v>0</v>
      </c>
      <c r="E105" s="96">
        <f t="shared" si="10"/>
        <v>0</v>
      </c>
      <c r="F105" s="97">
        <v>0</v>
      </c>
      <c r="G105" s="98">
        <v>0</v>
      </c>
      <c r="H105" s="97">
        <v>0</v>
      </c>
      <c r="I105" s="99">
        <f t="shared" si="8"/>
        <v>63.2</v>
      </c>
      <c r="J105" s="100">
        <f t="shared" si="8"/>
        <v>0</v>
      </c>
      <c r="K105" s="101">
        <f t="shared" si="9"/>
        <v>0</v>
      </c>
    </row>
    <row r="106" spans="1:11" ht="39" customHeight="1">
      <c r="A106" s="102" t="s">
        <v>168</v>
      </c>
      <c r="B106" s="95" t="s">
        <v>263</v>
      </c>
      <c r="C106" s="96">
        <v>1191.6</v>
      </c>
      <c r="D106" s="96">
        <v>245.2</v>
      </c>
      <c r="E106" s="96">
        <f t="shared" si="10"/>
        <v>20.577374958039613</v>
      </c>
      <c r="F106" s="97"/>
      <c r="G106" s="98"/>
      <c r="H106" s="97"/>
      <c r="I106" s="99">
        <f t="shared" si="8"/>
        <v>1191.6</v>
      </c>
      <c r="J106" s="100">
        <f t="shared" si="8"/>
        <v>245.2</v>
      </c>
      <c r="K106" s="101">
        <f t="shared" si="9"/>
        <v>20.577374958039613</v>
      </c>
    </row>
    <row r="107" spans="1:11" ht="24">
      <c r="A107" s="102" t="s">
        <v>168</v>
      </c>
      <c r="B107" s="95" t="s">
        <v>264</v>
      </c>
      <c r="C107" s="96">
        <v>12412.1</v>
      </c>
      <c r="D107" s="96">
        <v>2206.8</v>
      </c>
      <c r="E107" s="96">
        <v>0</v>
      </c>
      <c r="F107" s="97"/>
      <c r="G107" s="98"/>
      <c r="H107" s="97"/>
      <c r="I107" s="99">
        <f t="shared" si="8"/>
        <v>12412.1</v>
      </c>
      <c r="J107" s="100">
        <f t="shared" si="8"/>
        <v>2206.8</v>
      </c>
      <c r="K107" s="101">
        <f t="shared" si="9"/>
        <v>17.77942491600938</v>
      </c>
    </row>
    <row r="108" spans="1:11" ht="48">
      <c r="A108" s="102">
        <v>1004</v>
      </c>
      <c r="B108" s="95" t="s">
        <v>122</v>
      </c>
      <c r="C108" s="107">
        <v>11836.5</v>
      </c>
      <c r="D108" s="96">
        <v>11831.9</v>
      </c>
      <c r="E108" s="96">
        <f t="shared" si="10"/>
        <v>99.96113716047817</v>
      </c>
      <c r="F108" s="97">
        <v>0</v>
      </c>
      <c r="G108" s="98">
        <v>0</v>
      </c>
      <c r="H108" s="97">
        <v>0</v>
      </c>
      <c r="I108" s="99">
        <f aca="true" t="shared" si="11" ref="I108:J113">C108+F108</f>
        <v>11836.5</v>
      </c>
      <c r="J108" s="100">
        <f t="shared" si="11"/>
        <v>11831.9</v>
      </c>
      <c r="K108" s="101">
        <f t="shared" si="9"/>
        <v>99.96113716047817</v>
      </c>
    </row>
    <row r="109" spans="1:11" ht="36">
      <c r="A109" s="102">
        <v>1004</v>
      </c>
      <c r="B109" s="95" t="s">
        <v>131</v>
      </c>
      <c r="C109" s="107">
        <v>887</v>
      </c>
      <c r="D109" s="96">
        <v>806.4</v>
      </c>
      <c r="E109" s="96">
        <f t="shared" si="10"/>
        <v>90.91319052987599</v>
      </c>
      <c r="F109" s="97">
        <v>0</v>
      </c>
      <c r="G109" s="97">
        <v>0</v>
      </c>
      <c r="H109" s="97">
        <v>0</v>
      </c>
      <c r="I109" s="99">
        <f t="shared" si="11"/>
        <v>887</v>
      </c>
      <c r="J109" s="99">
        <f t="shared" si="11"/>
        <v>806.4</v>
      </c>
      <c r="K109" s="101">
        <f t="shared" si="9"/>
        <v>90.91319052987599</v>
      </c>
    </row>
    <row r="110" spans="1:11" ht="24">
      <c r="A110" s="102">
        <v>1004</v>
      </c>
      <c r="B110" s="95" t="s">
        <v>72</v>
      </c>
      <c r="C110" s="107">
        <v>80408.8</v>
      </c>
      <c r="D110" s="96">
        <v>80292.5</v>
      </c>
      <c r="E110" s="96">
        <f t="shared" si="10"/>
        <v>99.85536408950264</v>
      </c>
      <c r="F110" s="97">
        <v>0</v>
      </c>
      <c r="G110" s="98">
        <v>0</v>
      </c>
      <c r="H110" s="97">
        <v>0</v>
      </c>
      <c r="I110" s="99">
        <f t="shared" si="11"/>
        <v>80408.8</v>
      </c>
      <c r="J110" s="100">
        <f t="shared" si="11"/>
        <v>80292.5</v>
      </c>
      <c r="K110" s="101">
        <f t="shared" si="9"/>
        <v>99.85536408950264</v>
      </c>
    </row>
    <row r="111" spans="1:11" ht="12.75">
      <c r="A111" s="102">
        <v>1004</v>
      </c>
      <c r="B111" s="95" t="s">
        <v>73</v>
      </c>
      <c r="C111" s="107">
        <v>5145.7</v>
      </c>
      <c r="D111" s="96">
        <v>4678.7</v>
      </c>
      <c r="E111" s="96">
        <f t="shared" si="10"/>
        <v>90.9244612006141</v>
      </c>
      <c r="F111" s="97">
        <v>0</v>
      </c>
      <c r="G111" s="98">
        <v>0</v>
      </c>
      <c r="H111" s="97">
        <v>0</v>
      </c>
      <c r="I111" s="99">
        <f t="shared" si="11"/>
        <v>5145.7</v>
      </c>
      <c r="J111" s="100">
        <f t="shared" si="11"/>
        <v>4678.7</v>
      </c>
      <c r="K111" s="101">
        <f t="shared" si="9"/>
        <v>90.9244612006141</v>
      </c>
    </row>
    <row r="112" spans="1:11" ht="48">
      <c r="A112" s="102" t="s">
        <v>110</v>
      </c>
      <c r="B112" s="95" t="s">
        <v>134</v>
      </c>
      <c r="C112" s="107">
        <v>56733.2</v>
      </c>
      <c r="D112" s="96">
        <v>37110.6</v>
      </c>
      <c r="E112" s="96">
        <f>D112/C112*100</f>
        <v>65.41249215626829</v>
      </c>
      <c r="F112" s="97">
        <v>0</v>
      </c>
      <c r="G112" s="98">
        <v>0</v>
      </c>
      <c r="H112" s="97">
        <v>0</v>
      </c>
      <c r="I112" s="99">
        <f t="shared" si="11"/>
        <v>56733.2</v>
      </c>
      <c r="J112" s="100">
        <f t="shared" si="11"/>
        <v>37110.6</v>
      </c>
      <c r="K112" s="101">
        <f>J112/I112*100</f>
        <v>65.41249215626829</v>
      </c>
    </row>
    <row r="113" spans="1:11" ht="24">
      <c r="A113" s="102">
        <v>1006</v>
      </c>
      <c r="B113" s="95" t="s">
        <v>63</v>
      </c>
      <c r="C113" s="96">
        <v>13395.1</v>
      </c>
      <c r="D113" s="96">
        <v>12947.2</v>
      </c>
      <c r="E113" s="96">
        <f t="shared" si="10"/>
        <v>96.65623996834664</v>
      </c>
      <c r="F113" s="97">
        <v>0</v>
      </c>
      <c r="G113" s="98">
        <v>0</v>
      </c>
      <c r="H113" s="97">
        <v>0</v>
      </c>
      <c r="I113" s="99">
        <f t="shared" si="11"/>
        <v>13395.1</v>
      </c>
      <c r="J113" s="100">
        <f t="shared" si="11"/>
        <v>12947.2</v>
      </c>
      <c r="K113" s="101">
        <f t="shared" si="9"/>
        <v>96.65623996834664</v>
      </c>
    </row>
    <row r="114" spans="1:11" ht="12.75">
      <c r="A114" s="113">
        <v>1100</v>
      </c>
      <c r="B114" s="90" t="s">
        <v>59</v>
      </c>
      <c r="C114" s="91">
        <f>SUM(C115:C116)</f>
        <v>33533.9</v>
      </c>
      <c r="D114" s="91">
        <f>SUM(D115:D116)</f>
        <v>32940.100000000006</v>
      </c>
      <c r="E114" s="91">
        <f>D114/C114*100</f>
        <v>98.2292545752209</v>
      </c>
      <c r="F114" s="110">
        <f>F115+F116</f>
        <v>9848.7</v>
      </c>
      <c r="G114" s="110">
        <f>G115+G116</f>
        <v>9841.5</v>
      </c>
      <c r="H114" s="92">
        <f>G114/F114*100</f>
        <v>99.9268939047793</v>
      </c>
      <c r="I114" s="110">
        <f>SUM(I115:I116)</f>
        <v>43172.600000000006</v>
      </c>
      <c r="J114" s="110">
        <f>SUM(J115:J116)</f>
        <v>42571.600000000006</v>
      </c>
      <c r="K114" s="93">
        <f t="shared" si="9"/>
        <v>98.6079133524504</v>
      </c>
    </row>
    <row r="115" spans="1:11" ht="12.75">
      <c r="A115" s="102">
        <v>1101</v>
      </c>
      <c r="B115" s="95" t="s">
        <v>83</v>
      </c>
      <c r="C115" s="96">
        <v>11830</v>
      </c>
      <c r="D115" s="96">
        <v>11829.2</v>
      </c>
      <c r="E115" s="96">
        <f t="shared" si="10"/>
        <v>99.99323753169908</v>
      </c>
      <c r="F115" s="97">
        <v>9638.7</v>
      </c>
      <c r="G115" s="98">
        <v>9631.5</v>
      </c>
      <c r="H115" s="97">
        <f>G115/F115*100</f>
        <v>99.9253011298204</v>
      </c>
      <c r="I115" s="99">
        <f>C115+F115</f>
        <v>21468.7</v>
      </c>
      <c r="J115" s="99">
        <f>D115+G115</f>
        <v>21460.7</v>
      </c>
      <c r="K115" s="101">
        <f t="shared" si="9"/>
        <v>99.96273644887673</v>
      </c>
    </row>
    <row r="116" spans="1:11" ht="12.75">
      <c r="A116" s="102">
        <v>1102</v>
      </c>
      <c r="B116" s="95" t="s">
        <v>84</v>
      </c>
      <c r="C116" s="96">
        <v>21703.9</v>
      </c>
      <c r="D116" s="96">
        <v>21110.9</v>
      </c>
      <c r="E116" s="96">
        <f t="shared" si="10"/>
        <v>97.2677721515488</v>
      </c>
      <c r="F116" s="97">
        <v>210</v>
      </c>
      <c r="G116" s="98">
        <v>210</v>
      </c>
      <c r="H116" s="97">
        <f>G116/F116*100</f>
        <v>100</v>
      </c>
      <c r="I116" s="99">
        <f>C116+F116-210</f>
        <v>21703.9</v>
      </c>
      <c r="J116" s="99">
        <f>D116+G116-210</f>
        <v>21110.9</v>
      </c>
      <c r="K116" s="101">
        <f t="shared" si="9"/>
        <v>97.2677721515488</v>
      </c>
    </row>
    <row r="117" spans="1:11" ht="12.75">
      <c r="A117" s="113">
        <v>1200</v>
      </c>
      <c r="B117" s="90" t="s">
        <v>85</v>
      </c>
      <c r="C117" s="91">
        <f>C119+C118</f>
        <v>9752</v>
      </c>
      <c r="D117" s="91">
        <f>D119+D118</f>
        <v>9752</v>
      </c>
      <c r="E117" s="91">
        <f>E119</f>
        <v>100</v>
      </c>
      <c r="F117" s="91">
        <f>F119+F118</f>
        <v>0</v>
      </c>
      <c r="G117" s="91">
        <f>G119+G118</f>
        <v>0</v>
      </c>
      <c r="H117" s="103">
        <f>H119</f>
        <v>0</v>
      </c>
      <c r="I117" s="91">
        <f aca="true" t="shared" si="12" ref="I117:J121">C117+F117</f>
        <v>9752</v>
      </c>
      <c r="J117" s="91">
        <f t="shared" si="12"/>
        <v>9752</v>
      </c>
      <c r="K117" s="104">
        <f t="shared" si="9"/>
        <v>100</v>
      </c>
    </row>
    <row r="118" spans="1:11" ht="12.75">
      <c r="A118" s="102" t="s">
        <v>114</v>
      </c>
      <c r="B118" s="95" t="s">
        <v>115</v>
      </c>
      <c r="C118" s="96">
        <v>4052</v>
      </c>
      <c r="D118" s="96">
        <v>4052</v>
      </c>
      <c r="E118" s="96">
        <f>D118/C118*100</f>
        <v>100</v>
      </c>
      <c r="F118" s="97">
        <v>0</v>
      </c>
      <c r="G118" s="98">
        <v>0</v>
      </c>
      <c r="H118" s="97">
        <v>0</v>
      </c>
      <c r="I118" s="99">
        <f t="shared" si="12"/>
        <v>4052</v>
      </c>
      <c r="J118" s="99">
        <f t="shared" si="12"/>
        <v>4052</v>
      </c>
      <c r="K118" s="101">
        <f>J118/I118*100</f>
        <v>100</v>
      </c>
    </row>
    <row r="119" spans="1:11" ht="12.75">
      <c r="A119" s="102">
        <v>1202</v>
      </c>
      <c r="B119" s="95" t="s">
        <v>101</v>
      </c>
      <c r="C119" s="96">
        <v>5700</v>
      </c>
      <c r="D119" s="96">
        <v>5700</v>
      </c>
      <c r="E119" s="96">
        <f t="shared" si="10"/>
        <v>100</v>
      </c>
      <c r="F119" s="97">
        <v>0</v>
      </c>
      <c r="G119" s="98">
        <v>0</v>
      </c>
      <c r="H119" s="97">
        <v>0</v>
      </c>
      <c r="I119" s="99">
        <f t="shared" si="12"/>
        <v>5700</v>
      </c>
      <c r="J119" s="99">
        <f t="shared" si="12"/>
        <v>5700</v>
      </c>
      <c r="K119" s="101">
        <f t="shared" si="9"/>
        <v>100</v>
      </c>
    </row>
    <row r="120" spans="1:11" ht="24">
      <c r="A120" s="113">
        <v>1300</v>
      </c>
      <c r="B120" s="90" t="s">
        <v>86</v>
      </c>
      <c r="C120" s="91">
        <f aca="true" t="shared" si="13" ref="C120:H120">C121</f>
        <v>747</v>
      </c>
      <c r="D120" s="91">
        <f t="shared" si="13"/>
        <v>747</v>
      </c>
      <c r="E120" s="91">
        <f t="shared" si="13"/>
        <v>100</v>
      </c>
      <c r="F120" s="91">
        <f t="shared" si="13"/>
        <v>0</v>
      </c>
      <c r="G120" s="91">
        <f t="shared" si="13"/>
        <v>0</v>
      </c>
      <c r="H120" s="103">
        <f t="shared" si="13"/>
        <v>0</v>
      </c>
      <c r="I120" s="91">
        <f t="shared" si="12"/>
        <v>747</v>
      </c>
      <c r="J120" s="91">
        <f t="shared" si="12"/>
        <v>747</v>
      </c>
      <c r="K120" s="104">
        <f t="shared" si="9"/>
        <v>100</v>
      </c>
    </row>
    <row r="121" spans="1:11" ht="24">
      <c r="A121" s="102">
        <v>1301</v>
      </c>
      <c r="B121" s="95" t="s">
        <v>87</v>
      </c>
      <c r="C121" s="96">
        <v>747</v>
      </c>
      <c r="D121" s="96">
        <v>747</v>
      </c>
      <c r="E121" s="96">
        <f t="shared" si="10"/>
        <v>100</v>
      </c>
      <c r="F121" s="97"/>
      <c r="G121" s="98">
        <v>0</v>
      </c>
      <c r="H121" s="97">
        <v>0</v>
      </c>
      <c r="I121" s="99">
        <f t="shared" si="12"/>
        <v>747</v>
      </c>
      <c r="J121" s="99">
        <f t="shared" si="12"/>
        <v>747</v>
      </c>
      <c r="K121" s="101">
        <f t="shared" si="9"/>
        <v>100</v>
      </c>
    </row>
    <row r="122" spans="1:11" ht="12.75">
      <c r="A122" s="113">
        <v>1400</v>
      </c>
      <c r="B122" s="90" t="s">
        <v>64</v>
      </c>
      <c r="C122" s="91">
        <f>SUM(C123:C125)</f>
        <v>329081.9</v>
      </c>
      <c r="D122" s="91">
        <f>SUM(D123:D125)</f>
        <v>329081.9</v>
      </c>
      <c r="E122" s="91">
        <f>D122/C122*100</f>
        <v>100</v>
      </c>
      <c r="F122" s="110">
        <f>F123+F124+F125</f>
        <v>27251.5</v>
      </c>
      <c r="G122" s="110">
        <f>SUM(G123:G125)</f>
        <v>27251.5</v>
      </c>
      <c r="H122" s="110">
        <f>G122/F122*100</f>
        <v>100</v>
      </c>
      <c r="I122" s="110">
        <v>0</v>
      </c>
      <c r="J122" s="110">
        <v>0</v>
      </c>
      <c r="K122" s="93">
        <v>0</v>
      </c>
    </row>
    <row r="123" spans="1:11" ht="24">
      <c r="A123" s="102">
        <v>1401</v>
      </c>
      <c r="B123" s="95" t="s">
        <v>81</v>
      </c>
      <c r="C123" s="96">
        <v>104609.8</v>
      </c>
      <c r="D123" s="96">
        <v>104609.8</v>
      </c>
      <c r="E123" s="96">
        <f t="shared" si="10"/>
        <v>100</v>
      </c>
      <c r="F123" s="97">
        <v>0</v>
      </c>
      <c r="G123" s="98">
        <v>0</v>
      </c>
      <c r="H123" s="97">
        <v>0</v>
      </c>
      <c r="I123" s="99">
        <v>0</v>
      </c>
      <c r="J123" s="100">
        <v>0</v>
      </c>
      <c r="K123" s="101">
        <v>0</v>
      </c>
    </row>
    <row r="124" spans="1:11" ht="12.75">
      <c r="A124" s="102">
        <v>1402</v>
      </c>
      <c r="B124" s="95" t="s">
        <v>82</v>
      </c>
      <c r="C124" s="96">
        <v>223172.1</v>
      </c>
      <c r="D124" s="96">
        <v>223172.1</v>
      </c>
      <c r="E124" s="96">
        <f t="shared" si="10"/>
        <v>100</v>
      </c>
      <c r="F124" s="97">
        <v>0</v>
      </c>
      <c r="G124" s="98">
        <v>0</v>
      </c>
      <c r="H124" s="97">
        <v>0</v>
      </c>
      <c r="I124" s="99">
        <v>0</v>
      </c>
      <c r="J124" s="100">
        <v>0</v>
      </c>
      <c r="K124" s="101">
        <v>0</v>
      </c>
    </row>
    <row r="125" spans="1:11" ht="12.75">
      <c r="A125" s="102">
        <v>1403</v>
      </c>
      <c r="B125" s="95" t="s">
        <v>95</v>
      </c>
      <c r="C125" s="96">
        <v>1300</v>
      </c>
      <c r="D125" s="96">
        <v>1300</v>
      </c>
      <c r="E125" s="96">
        <f t="shared" si="10"/>
        <v>100</v>
      </c>
      <c r="F125" s="97">
        <v>27251.5</v>
      </c>
      <c r="G125" s="98">
        <v>27251.5</v>
      </c>
      <c r="H125" s="97">
        <f>G125/F125*100</f>
        <v>100</v>
      </c>
      <c r="I125" s="99">
        <v>0</v>
      </c>
      <c r="J125" s="100">
        <v>0</v>
      </c>
      <c r="K125" s="101">
        <v>0</v>
      </c>
    </row>
    <row r="126" spans="1:11" ht="13.5" customHeight="1" thickBot="1">
      <c r="A126" s="167" t="s">
        <v>65</v>
      </c>
      <c r="B126" s="168"/>
      <c r="C126" s="118">
        <f>C9+C18+C20+C25+C47+C77+C79+C87+C95+C100+C114+C117+C120+C122</f>
        <v>5045759</v>
      </c>
      <c r="D126" s="118">
        <f>D122+D120+D117+D114+D100+D95+D87+D79+D77+D47+D25+D20+D18+D9</f>
        <v>4503583.6</v>
      </c>
      <c r="E126" s="118">
        <f>D126/C126*100</f>
        <v>89.25482965000904</v>
      </c>
      <c r="F126" s="118">
        <f>F9+F18+F20+F25+F47+F77+F79+F87+F95+F100+F114+F117+F120+F122</f>
        <v>645639.1000000001</v>
      </c>
      <c r="G126" s="118">
        <f>G122+G120+G117+G100+G95+G87+G79+G47+G25+G21+G18+G9+G20+G114</f>
        <v>623530.2999999999</v>
      </c>
      <c r="H126" s="119">
        <f>G126/F126*100</f>
        <v>96.57567207438332</v>
      </c>
      <c r="I126" s="118">
        <f>I122+I120+I117+I114+I100+I95+I87+I79+I77+I47+I25+I20+I18+I9</f>
        <v>5193844.4</v>
      </c>
      <c r="J126" s="118">
        <f>J122+J120+J117+J114+J100+J95+J87+J79+J77+J47+J25+J20+J18+J9</f>
        <v>4632333.499999999</v>
      </c>
      <c r="K126" s="120">
        <f t="shared" si="9"/>
        <v>89.18891563251296</v>
      </c>
    </row>
    <row r="127" spans="1:11" ht="12.75">
      <c r="A127" s="9"/>
      <c r="B127" s="5"/>
      <c r="C127" s="53"/>
      <c r="D127" s="31"/>
      <c r="E127" s="41"/>
      <c r="F127" s="21"/>
      <c r="G127" s="33"/>
      <c r="H127" s="33"/>
      <c r="I127" s="45"/>
      <c r="J127" s="45"/>
      <c r="K127" s="45"/>
    </row>
    <row r="128" spans="1:11" ht="12.75">
      <c r="A128" s="10"/>
      <c r="B128" s="6"/>
      <c r="C128" s="54"/>
      <c r="D128" s="32"/>
      <c r="E128" s="41"/>
      <c r="F128" s="21"/>
      <c r="G128" s="33"/>
      <c r="H128" s="33"/>
      <c r="I128" s="44"/>
      <c r="J128" s="44"/>
      <c r="K128" s="45"/>
    </row>
    <row r="129" spans="1:11" ht="12.75">
      <c r="A129" s="10"/>
      <c r="B129" s="6"/>
      <c r="C129" s="54"/>
      <c r="D129" s="32"/>
      <c r="E129" s="41"/>
      <c r="F129" s="21"/>
      <c r="G129" s="33"/>
      <c r="H129" s="33"/>
      <c r="I129" s="44"/>
      <c r="J129" s="44"/>
      <c r="K129" s="45"/>
    </row>
    <row r="130" spans="1:11" ht="12.75" customHeight="1">
      <c r="A130" s="163" t="s">
        <v>124</v>
      </c>
      <c r="B130" s="163"/>
      <c r="C130" s="163"/>
      <c r="D130" s="21"/>
      <c r="E130" s="33"/>
      <c r="F130" s="33"/>
      <c r="G130" s="33"/>
      <c r="H130" s="33"/>
      <c r="I130" s="45"/>
      <c r="J130" s="45"/>
      <c r="K130" s="45"/>
    </row>
    <row r="131" spans="1:11" ht="12.75" customHeight="1">
      <c r="A131" s="163" t="s">
        <v>125</v>
      </c>
      <c r="B131" s="163"/>
      <c r="C131" s="163"/>
      <c r="D131" s="42"/>
      <c r="E131" s="164" t="s">
        <v>66</v>
      </c>
      <c r="F131" s="164"/>
      <c r="G131" s="33"/>
      <c r="H131" s="33"/>
      <c r="I131" s="44"/>
      <c r="J131" s="45"/>
      <c r="K131" s="45"/>
    </row>
    <row r="132" spans="1:11" ht="12.75">
      <c r="A132" s="11"/>
      <c r="B132" s="5"/>
      <c r="C132" s="53"/>
      <c r="D132" s="31"/>
      <c r="E132" s="43"/>
      <c r="F132" s="55"/>
      <c r="G132" s="33"/>
      <c r="H132" s="33"/>
      <c r="I132" s="44"/>
      <c r="J132" s="45"/>
      <c r="K132" s="45"/>
    </row>
    <row r="133" spans="1:11" ht="12.75" customHeight="1">
      <c r="A133" s="163" t="s">
        <v>151</v>
      </c>
      <c r="B133" s="163"/>
      <c r="C133" s="163"/>
      <c r="D133" s="34"/>
      <c r="E133" s="164" t="s">
        <v>123</v>
      </c>
      <c r="F133" s="164"/>
      <c r="G133" s="33"/>
      <c r="H133" s="33"/>
      <c r="I133" s="44"/>
      <c r="J133" s="45"/>
      <c r="K133" s="45"/>
    </row>
    <row r="134" spans="1:11" ht="12.75">
      <c r="A134" s="11"/>
      <c r="B134" s="6"/>
      <c r="C134" s="54"/>
      <c r="D134" s="32"/>
      <c r="E134" s="43"/>
      <c r="F134" s="55"/>
      <c r="G134" s="33"/>
      <c r="H134" s="33"/>
      <c r="I134" s="44"/>
      <c r="J134" s="45"/>
      <c r="K134" s="45"/>
    </row>
    <row r="135" spans="1:11" ht="12.75" customHeight="1">
      <c r="A135" s="163" t="s">
        <v>154</v>
      </c>
      <c r="B135" s="163"/>
      <c r="C135" s="163"/>
      <c r="D135" s="34"/>
      <c r="E135" s="165" t="s">
        <v>155</v>
      </c>
      <c r="F135" s="165"/>
      <c r="G135" s="33"/>
      <c r="H135" s="33"/>
      <c r="I135" s="44"/>
      <c r="J135" s="45"/>
      <c r="K135" s="45"/>
    </row>
    <row r="136" spans="1:11" ht="12.75">
      <c r="A136" s="12"/>
      <c r="B136" s="7"/>
      <c r="C136" s="51"/>
      <c r="D136" s="21"/>
      <c r="E136" s="21"/>
      <c r="F136" s="33"/>
      <c r="G136" s="33"/>
      <c r="H136" s="33"/>
      <c r="I136" s="45"/>
      <c r="J136" s="45"/>
      <c r="K136" s="45"/>
    </row>
    <row r="137" spans="3:5" ht="12.75">
      <c r="C137" s="58" t="s">
        <v>156</v>
      </c>
      <c r="D137" t="s">
        <v>157</v>
      </c>
      <c r="E137" s="59" t="s">
        <v>158</v>
      </c>
    </row>
    <row r="140" ht="12.75">
      <c r="B140" s="7"/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26:B126"/>
    <mergeCell ref="A20:A21"/>
    <mergeCell ref="B20:B21"/>
    <mergeCell ref="C20:C21"/>
    <mergeCell ref="D20:D21"/>
    <mergeCell ref="E20:E21"/>
    <mergeCell ref="F20:F21"/>
    <mergeCell ref="A130:C130"/>
    <mergeCell ref="A131:C131"/>
    <mergeCell ref="E131:F131"/>
    <mergeCell ref="A133:C133"/>
    <mergeCell ref="E133:F133"/>
    <mergeCell ref="A135:C135"/>
    <mergeCell ref="E135:F13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2013-10-17T10:58:38Z</cp:lastPrinted>
  <dcterms:created xsi:type="dcterms:W3CDTF">2010-03-15T11:07:02Z</dcterms:created>
  <dcterms:modified xsi:type="dcterms:W3CDTF">2014-01-29T04:21:59Z</dcterms:modified>
  <cp:category/>
  <cp:version/>
  <cp:contentType/>
  <cp:contentStatus/>
</cp:coreProperties>
</file>