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45" activeTab="1"/>
  </bookViews>
  <sheets>
    <sheet name="Доходы" sheetId="1" r:id="rId1"/>
    <sheet name="Расходы" sheetId="2" r:id="rId2"/>
  </sheets>
  <definedNames>
    <definedName name="_xlnm.Print_Titles" localSheetId="0">'Доходы'!$4:$6</definedName>
  </definedNames>
  <calcPr fullCalcOnLoad="1"/>
</workbook>
</file>

<file path=xl/sharedStrings.xml><?xml version="1.0" encoding="utf-8"?>
<sst xmlns="http://schemas.openxmlformats.org/spreadsheetml/2006/main" count="700" uniqueCount="278">
  <si>
    <t>БЕЗВОЗМЕЗДНЫЕ ПОСТУПЛЕНИЯ</t>
  </si>
  <si>
    <t>00020000000000000000</t>
  </si>
  <si>
    <t>00020700000000000180</t>
  </si>
  <si>
    <t>00010000000000000000</t>
  </si>
  <si>
    <t>ВСЕГО ДОХОДОВ</t>
  </si>
  <si>
    <t>Налоги на совокупный доход</t>
  </si>
  <si>
    <t>Налоги  на  имущество</t>
  </si>
  <si>
    <t>Штрафы, санкции, возмещение  ущерба</t>
  </si>
  <si>
    <t>00010500000000000000</t>
  </si>
  <si>
    <t>00010600000000000000</t>
  </si>
  <si>
    <t>00010800000000000000</t>
  </si>
  <si>
    <t>00011100000000000000</t>
  </si>
  <si>
    <t>00011600000000000000</t>
  </si>
  <si>
    <t>Платежи при пользовании  природными  ресурсами</t>
  </si>
  <si>
    <t>00011200000000000000</t>
  </si>
  <si>
    <t>Доходы от продажи материальных и нематериальных активов</t>
  </si>
  <si>
    <t>Наименование дохода</t>
  </si>
  <si>
    <t>Доходы от использования имущества , находящегося  в государственной и муниципальной собственности</t>
  </si>
  <si>
    <t>00011400000000000000</t>
  </si>
  <si>
    <t>Прочие безвозмездные поступления</t>
  </si>
  <si>
    <t>Безвозмездные поступления от других бюджетов бюджетной системы Российской Федерации</t>
  </si>
  <si>
    <t>Государственная пошлина</t>
  </si>
  <si>
    <t xml:space="preserve">Налоги на прибыль, доходы </t>
  </si>
  <si>
    <t>00010100000000000000</t>
  </si>
  <si>
    <t>Октябрьский район</t>
  </si>
  <si>
    <t>городское поселение Андра</t>
  </si>
  <si>
    <t>городское поселение Октябрьское</t>
  </si>
  <si>
    <t>городское поселение Приобье</t>
  </si>
  <si>
    <t>городское поселение Талинка</t>
  </si>
  <si>
    <t>сельское поселение Каменное</t>
  </si>
  <si>
    <t>сельское поселение Карымкары</t>
  </si>
  <si>
    <t>сельское поселение М-Атлым</t>
  </si>
  <si>
    <t>сельское поселение Перегрёбное</t>
  </si>
  <si>
    <t>сельское поселение Сергино</t>
  </si>
  <si>
    <t>сельское поселение Унъюган</t>
  </si>
  <si>
    <t>сельское поселение Шеркалы</t>
  </si>
  <si>
    <t>Октябрьский район (консолидированный бюджет)</t>
  </si>
  <si>
    <t>00010900000000000000</t>
  </si>
  <si>
    <t>Задолженность и перерасчеты по отмененным налогам, сборам и иным обязательным платежам</t>
  </si>
  <si>
    <t>00011700000000000000</t>
  </si>
  <si>
    <t>Прочие неналоговые доходы</t>
  </si>
  <si>
    <t xml:space="preserve"> </t>
  </si>
  <si>
    <t>00011300000000000000</t>
  </si>
  <si>
    <t>Доходы от оказания платных услуг и компенсации затрат государства</t>
  </si>
  <si>
    <t>00011900000000000000</t>
  </si>
  <si>
    <t>Возврат остатков субсидий и субвенций прошлых лет</t>
  </si>
  <si>
    <t>КБК</t>
  </si>
  <si>
    <t>112</t>
  </si>
  <si>
    <t>111</t>
  </si>
  <si>
    <t>108</t>
  </si>
  <si>
    <t>116</t>
  </si>
  <si>
    <t>202</t>
  </si>
  <si>
    <t>207</t>
  </si>
  <si>
    <t>114</t>
  </si>
  <si>
    <t>101</t>
  </si>
  <si>
    <t>105</t>
  </si>
  <si>
    <t>106</t>
  </si>
  <si>
    <t xml:space="preserve"> -</t>
  </si>
  <si>
    <t>113</t>
  </si>
  <si>
    <t>контроль</t>
  </si>
  <si>
    <t>00011500000000000000</t>
  </si>
  <si>
    <t>Административные платежи и сборы</t>
  </si>
  <si>
    <t>=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</si>
  <si>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</si>
  <si>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</si>
  <si>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00021900000000000000</t>
  </si>
  <si>
    <t>00020200000000000000</t>
  </si>
  <si>
    <t>НАЛОГОВЫЕ И НЕНАЛОГОВЫЕ ДОХОДЫ</t>
  </si>
  <si>
    <t>(тыс.руб.)</t>
  </si>
  <si>
    <t>00010300000000000000</t>
  </si>
  <si>
    <t>Акцизы</t>
  </si>
  <si>
    <t>1 квартал</t>
  </si>
  <si>
    <t>2 квартал</t>
  </si>
  <si>
    <t>3 квартал</t>
  </si>
  <si>
    <t>4 квартал</t>
  </si>
  <si>
    <t>Исполнение на 01.02.2015</t>
  </si>
  <si>
    <t>Исполнение на 01.02.2016</t>
  </si>
  <si>
    <t>Исполнение на 01.02.2017</t>
  </si>
  <si>
    <t>Исполнение на 01.02.2018</t>
  </si>
  <si>
    <t>Исполнение на 01.02.2019</t>
  </si>
  <si>
    <t>Первонач. план на 2020 год</t>
  </si>
  <si>
    <t>Уточн. план на 2020 год</t>
  </si>
  <si>
    <t xml:space="preserve">% исп-ия к уточн. плану на 2020 год </t>
  </si>
  <si>
    <t xml:space="preserve">% исп-ия к первонач. плану на 2020 год </t>
  </si>
  <si>
    <t>00021800000000000000</t>
  </si>
  <si>
    <t>00020700000000000000</t>
  </si>
  <si>
    <t>Исполнение на 01.05.2020</t>
  </si>
  <si>
    <t>Отчет об исполнении консолидированного бюджета Октябрьского района по состоянию на 01.05.2020</t>
  </si>
  <si>
    <t>План                 на 1 полугодие 2020 года</t>
  </si>
  <si>
    <t xml:space="preserve">% исп-ия к плану за 1 полугодие 2020 года </t>
  </si>
  <si>
    <t>Отчет  об  исполнении  консолидированного  бюджета  района  по  расходам на 1 мая 2020 года</t>
  </si>
  <si>
    <t>ФКР</t>
  </si>
  <si>
    <t>Наименование показателя</t>
  </si>
  <si>
    <t>Бюджет Район</t>
  </si>
  <si>
    <t>Бюджет Поселения</t>
  </si>
  <si>
    <t>Консолидированный бюджет</t>
  </si>
  <si>
    <t>План на год</t>
  </si>
  <si>
    <t>исполнение на 01.05.2020</t>
  </si>
  <si>
    <t>% исполнения</t>
  </si>
  <si>
    <t>исполнения на 01.05.2020</t>
  </si>
  <si>
    <t>РАСХОДЫ</t>
  </si>
  <si>
    <t>01</t>
  </si>
  <si>
    <t>Общегосударственные  вопросы</t>
  </si>
  <si>
    <t>0102</t>
  </si>
  <si>
    <t>Функционирование  высшего  должностного  лица</t>
  </si>
  <si>
    <t>0103</t>
  </si>
  <si>
    <t>Функционирование  законодательных (представительных)  органов власти</t>
  </si>
  <si>
    <t>0104</t>
  </si>
  <si>
    <t>Функционирование  органов  местного   самоуправления</t>
  </si>
  <si>
    <t>0105</t>
  </si>
  <si>
    <t>Судебная система</t>
  </si>
  <si>
    <t>0106</t>
  </si>
  <si>
    <t>Обеспечение  деятельности  финансовых  органов</t>
  </si>
  <si>
    <t>0107</t>
  </si>
  <si>
    <t>Обеспечение проведения выборов и референдумов</t>
  </si>
  <si>
    <t>0111</t>
  </si>
  <si>
    <t>Резервный  фонд</t>
  </si>
  <si>
    <t>0113</t>
  </si>
  <si>
    <t>Другие  общегосударственные  вопросы</t>
  </si>
  <si>
    <t>02</t>
  </si>
  <si>
    <t>Национальная оборона</t>
  </si>
  <si>
    <t>0203</t>
  </si>
  <si>
    <t>Содержание инспекторов ВУС</t>
  </si>
  <si>
    <t>03</t>
  </si>
  <si>
    <t>Национальная  безопасность и правоохранительная деятельность</t>
  </si>
  <si>
    <t>0304</t>
  </si>
  <si>
    <t xml:space="preserve">ЗАГС </t>
  </si>
  <si>
    <t>0309</t>
  </si>
  <si>
    <t>Предупреждение и  ликвидация  последствий ЧС</t>
  </si>
  <si>
    <t>0314</t>
  </si>
  <si>
    <t>Другие вопросы в области национальной безопасности и правоохранительной деятельности</t>
  </si>
  <si>
    <t>04</t>
  </si>
  <si>
    <t>Национальная  экономика</t>
  </si>
  <si>
    <t>0401</t>
  </si>
  <si>
    <t>Государственная программа "Содействие занятости населения в Ханты-Мансийском автономном округе – Югре на 2014 – 2020 годы"</t>
  </si>
  <si>
    <t>0405</t>
  </si>
  <si>
    <t>Сельское хозяйство и рыболовство</t>
  </si>
  <si>
    <t>0408</t>
  </si>
  <si>
    <t>Воздушный транспорт (1120161100)</t>
  </si>
  <si>
    <t>Автомобильный транспорт (1140161100 - район, 4030061100 - поселения)</t>
  </si>
  <si>
    <t>Водный транспорт (1130161100)</t>
  </si>
  <si>
    <t>0409</t>
  </si>
  <si>
    <t>Муниципальная  программа" Развитие транспортной  системы муниципального  образования Октябрьский  район" (11101S2390)</t>
  </si>
  <si>
    <t>Муниципальная  программа" Развитие транспортной  системы муниципального  образования Октябрьский  район"  (1110182390) окружные средства</t>
  </si>
  <si>
    <t>Содержание автомобильных дорог общего пользования (1110199990, 1150182730, 11501S2730)  (дорожный фонд)</t>
  </si>
  <si>
    <t>Основное мероприятие "Внедрение автоматизированных и роботизированных технологий организации дорожного движения и контроля за собдюдением правил дорожного движения". (1150199999)</t>
  </si>
  <si>
    <t>Основное мероприятие "Реализация мероприятий в рамках дорожной деятельности" (011019999)</t>
  </si>
  <si>
    <t>Реализация  мероприятий  муниципальной  программы "Осуществление поселком городского  типа Октябрьское функций  административного центра  муниципального  образования Октябрьский  район" (150029990)</t>
  </si>
  <si>
    <t>Основное мероприятие "Реализация мероприятий в рамках дорожной деятельности" (2200299990)</t>
  </si>
  <si>
    <t>Расходы на реализацию мероприятий (2560199990, 2570199990)</t>
  </si>
  <si>
    <t>Содержание и ремонт автомобильных дорог общего пользования (4030099990) (средства бюджетов поселений)</t>
  </si>
  <si>
    <t>0410</t>
  </si>
  <si>
    <t>Связь и информатика</t>
  </si>
  <si>
    <t>0412</t>
  </si>
  <si>
    <t>Реализация мероприятий муниципальной  программы "Управление  муниципальной  собственностью Октябрьского района" земля (1800299990)</t>
  </si>
  <si>
    <t>Расходы на стимулирование развития жилищного строительства (0910282671, 09102S2671)</t>
  </si>
  <si>
    <t>Реализация мероприятий муниципальной программы "Поддержка малого и среднего предпринимательства в Октябрьском районе" (0800299990, 0810199990, 080I8S2380) местный бюджет</t>
  </si>
  <si>
    <t>Субсидии на государственную поддержку малого и среднего предпринимательства в рамках программы "Поддержка малого и среднего предпринимательства в Октябрьском районе" (082I482380, 081I882380, 082I4S2380) окружной бюджет</t>
  </si>
  <si>
    <t>Осуществление полномочий по государственному управлению охраной труда (1910184120) тс. 01.30.39</t>
  </si>
  <si>
    <t xml:space="preserve">Реализация мероприятий муниципальной программы "Финансовая поддержка субъектов малого и среднего предпринимательства в Октябрьском районе" (0820199990) </t>
  </si>
  <si>
    <t xml:space="preserve">Реализация мероприятий муниципальной программы "Расходы на поддержку  малого и среднего предпринимательства в Октябрьском районе" (081I8S2380) </t>
  </si>
  <si>
    <t>Осуществление полномочий по государственному управлению охраной труда (1910199990) местный бюджет</t>
  </si>
  <si>
    <t>Реализация мероприятий в рамках непрограммного направления деятельности (4030099990)</t>
  </si>
  <si>
    <t>05</t>
  </si>
  <si>
    <t>Жилищно-коммунальное хозяйство</t>
  </si>
  <si>
    <t>0501</t>
  </si>
  <si>
    <t>Развитие жилищной сферы в муниципальном образовании Октябрьский район" (0910182661, 0910342110, 09101S2661, 091F382661, 091F3S2661, 0910199990 ) 01.40.04, 01.02.00, 01.00.00</t>
  </si>
  <si>
    <t xml:space="preserve"> "Управление и распоряжение  муниципальным  имуществом муниципального  образования Октябрьский  район" (1800199990)</t>
  </si>
  <si>
    <t>Укрепление материально-технической базы объектов муниципальной собственности (1800742110)</t>
  </si>
  <si>
    <t>Строительство и реконструкция  объектов  муниципальной  собственности (0910342110)</t>
  </si>
  <si>
    <t>Основное мероприятие "Реализация мероприятий обеспечения качественными коммунальными услугами" (1010199990)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</si>
  <si>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бюджета автономного округа (091F367484)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</si>
  <si>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местного бюджета  (091F36748S)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</si>
  <si>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поступивших от гос.корпорации - Фонда содействия реформированию ЖКХ. (091F367483)</t>
  </si>
  <si>
    <t>Основное мероприятие "Повышение эффективности, качества и надежности поставки коммунальных ресурсов (024019990)</t>
  </si>
  <si>
    <t>Капитальный ремонт жилого фонда 1030142120 (40600S2420,  40600S2430, 4060099990 средства поселений)</t>
  </si>
  <si>
    <t>0502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</si>
  <si>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(предоставление субсидий организациям на теплоснабжение, водоснабжение, водоотведение, услуги бани) (1020161100 т.с 01.00)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</si>
  <si>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(предоставление субсидий организациям в городских поселениях Талинка, Октябрьское) (1020161100 т.с. 01.04)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</si>
  <si>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 (электроснабжение) (10201S2240)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</si>
  <si>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(электроснабжение) (1020182240) окружной бюджет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</si>
  <si>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автономного округа по социально ориентированным тарифам и сжиженного газа по социально-ориентированным розничным ценам в рамках  подпрограммы "Обеспечение  равных  прав потребителей на получение  энергетических  ресурсов" муниципальной  программы "Жилищно-коммунальный комплекс и городская среда в муниципальном образовании Октябрьский район"  (1020184230)</t>
  </si>
  <si>
    <t>Иные  межбюджетные трансферты  на реконструкцию, расширение, модернизацию, строительство и капитальный ремонт объектов коммунального комплекса в рамках подпрограммы "Создание условий для обеспечения качественными коммунальными услугами"  муниципальной  программы "Жилищно-коммунальный комплекс и городская среда в муниципальном образовании Октябрьский район" ОЗП (1010182591, 10101S2591, 1010199990)</t>
  </si>
  <si>
    <t>Основное мероприятие "Реализация мероприятий обеспечения качественными коммунальными услугами". Расходы на реализацию полномочий в сфере ЖКХ (1010182591, 10101S2591)</t>
  </si>
  <si>
    <t>Повышение эффективности, качества и надежности поставки коммунальных ресурсов (2110199990)</t>
  </si>
  <si>
    <t>Основное мероприятие "Реализация мероприятий обеспечения качественными коммунальными услугами". Реализация мероприятий (0210199990)</t>
  </si>
  <si>
    <t>Основное мероприятие "Реализация мероприятий обеспечения качественными коммунальными услугами".Подпрограмма "Формирование комфортной городской среды" (1050199990)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</si>
  <si>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(4060061100, 40600221400, 4060021410)</t>
  </si>
  <si>
    <t>Подготовка к зиме (4060099990)</t>
  </si>
  <si>
    <t>Строительство и реконструкция  объектов  муниципальной  собственности (1010142110)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</si>
  <si>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(4110089020)</t>
  </si>
  <si>
    <t>0503</t>
  </si>
  <si>
    <t>Реализация  мероприятий  муниципальной  программы "Снижение рисков и смягчение последствий чрезвычайных ситуаций природного и техногенного характера на территории Октябрьского  района" (140019990)</t>
  </si>
  <si>
    <t>Реализация  мероприятий  муниципальной  программы "Осуществление поселком городского  типа Октябрьское функций  административного центра  муниципального  образования Октябрьский  район" (150019990)</t>
  </si>
  <si>
    <t>Иные межбюджетные трансферты на финансирование наказов избирателей депутатам Думы ХМАО-Югры  (4120085160)</t>
  </si>
  <si>
    <t>"Улучшение экологической ситуации на территории Октябрьского района" строительство и реконструкция объектов муниципальной собственности (0600242110)</t>
  </si>
  <si>
    <t>"Улучшение экологической ситуации на территории Октябрьского района"  утилизация  отходов на территории муниципального образования Октябрьский район (0600299990)</t>
  </si>
  <si>
    <t>"Улучшение экологической ситуации на территории Октябрьского района"  за счет средств резервного фонда Правительства Ханты-Мансийского автономного округа -Югры(0600285150)</t>
  </si>
  <si>
    <t>Основное мероприятие "Увеличение количества благоустроенных дворовых территорий и мест общего пользования" (1050199990)</t>
  </si>
  <si>
    <t>Расходы по содействию местному самоуправлению в развитии исторических и иных местных традиций в рамках непрограммного направления  деятельности (1640482420) 4060082420, 0100199990 доля поселения 40600S2420</t>
  </si>
  <si>
    <t>Субсидии на формирование современной городской среды (105F255550)</t>
  </si>
  <si>
    <t>Расходы на капитальный ремонт муниципального жилищного фонда (10501S2600, 105F282600)</t>
  </si>
  <si>
    <t>Расходы на благоустройство территорий муниципальных образований (105F2S2600)</t>
  </si>
  <si>
    <t>Увеличение количества благоустроенных дворовых территорий и мест общего пользования (1050199990)</t>
  </si>
  <si>
    <t>Внешнее благоустройство 1060199990 (4060099990)</t>
  </si>
  <si>
    <t>0505</t>
  </si>
  <si>
    <t>Администрирование по жилищному отделу</t>
  </si>
  <si>
    <t>06</t>
  </si>
  <si>
    <t>Охрана окружающей среды</t>
  </si>
  <si>
    <t>0605</t>
  </si>
  <si>
    <t>Другие вопросы в области охраны окружающей среды</t>
  </si>
  <si>
    <t>07</t>
  </si>
  <si>
    <t>Образование</t>
  </si>
  <si>
    <t>0701</t>
  </si>
  <si>
    <t>Дошкольное образование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</si>
  <si>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районе" (0140482030, 01404S2030) 01.40.18 и местн.</t>
  </si>
  <si>
    <t>0702</t>
  </si>
  <si>
    <t>Общее образование</t>
  </si>
  <si>
    <t>Бесплатное питание (0140284030)</t>
  </si>
  <si>
    <t>Расходы на строительство и реконструкцию дошкольных образовательных и общеобразовательных организаций, осуществляющих образовательную деятельность по образовательным программам дошкольного образования (014Р282700, 014Р2S2700)</t>
  </si>
  <si>
    <t>Муниципальная программа  "Развитие образоания в муниципальном образовании Октябрьский район" Расходы на создание в общеобразовательных организациях, расположенных в сельской местности, условий для занятий физ культурой и спортом. (014E250970)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</si>
  <si>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районе" (0140482030) 01.40.18 и местн. 01404S2030</t>
  </si>
  <si>
    <t>0703</t>
  </si>
  <si>
    <t>Дополнительное образование детей</t>
  </si>
  <si>
    <t>0707</t>
  </si>
  <si>
    <t>Молодежная политика  и оздоровление   детей</t>
  </si>
  <si>
    <t>0709</t>
  </si>
  <si>
    <t>Другие вопросы в области  образования</t>
  </si>
  <si>
    <t>08</t>
  </si>
  <si>
    <t>Культура и кинематография</t>
  </si>
  <si>
    <t>0801</t>
  </si>
  <si>
    <t>Культура</t>
  </si>
  <si>
    <t>Подпрограмма "Библиотечное дело" (0310182520, 03101S2520)</t>
  </si>
  <si>
    <t>0802</t>
  </si>
  <si>
    <t>Кинематография</t>
  </si>
  <si>
    <t>0804</t>
  </si>
  <si>
    <t>Другие вопросы в области культуры, кинематографии</t>
  </si>
  <si>
    <t>09</t>
  </si>
  <si>
    <t xml:space="preserve">Здравоохранение </t>
  </si>
  <si>
    <t>0909</t>
  </si>
  <si>
    <t>Бюджетные инвестиции в объекты капитального строительства государственной собственности субъектов РФ (1800542110)</t>
  </si>
  <si>
    <t>Расходы на организацию мероприятий по проведению дезинсекции и дератизации (1800684280)</t>
  </si>
  <si>
    <t>Социальная политика</t>
  </si>
  <si>
    <t>Пенсионное обеспечение</t>
  </si>
  <si>
    <t>Субвенции на осуществление полномочий по обеспечению жильем отдельных категорий граждан, установленных федеральным законом от 12.01.1995 № 5-ФЗ "О ветеранах" и …" (0920251350) 01.20.04 (09202D1340 01.30.15) 0920251340</t>
  </si>
  <si>
    <t>1003</t>
  </si>
  <si>
    <t>Субсидии на софинансирование мероприятий подпрограммы "Обеспечение жильем молодых семей"  за счет средств бюджета автономного округа (0920251760)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</si>
  <si>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(0140284050) тс 01.30.09</t>
  </si>
  <si>
    <t>Субвенции на предоставление дополнительных мер социальной поддержки детям-сиротам и детям, оставшимся без попечения родителей, а так же лицам из числа детей-сирот и детей, оставшихся без попечения родителей, усыновителям, приемным родителям, патронатных воспитателям и воспитателям детских домов семейного типа в рамках подпрограммы "Дети Югры" государственной программы "Социальная поддержка жителей ХМАО-Югры на 2014-2020 годы" (1310184060)</t>
  </si>
  <si>
    <t>1004</t>
  </si>
  <si>
    <t>Субвенции на 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- Югры" за счет средств автономного округа (1310184310)</t>
  </si>
  <si>
    <t>Обеспечение жильем молодых семей (09201L4970) 01.40.02, 01.02.00</t>
  </si>
  <si>
    <t>Осуществление деятельности отдела по опеке и попечительству</t>
  </si>
  <si>
    <t>Физическая культура и спорт</t>
  </si>
  <si>
    <t>Физическая культура</t>
  </si>
  <si>
    <t>Массовый спорт</t>
  </si>
  <si>
    <t>1103</t>
  </si>
  <si>
    <t>Спорт высших достижений</t>
  </si>
  <si>
    <t>Средства массовой информации</t>
  </si>
  <si>
    <t>1202</t>
  </si>
  <si>
    <t>Периодическая печать и издательства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</si>
  <si>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</si>
  <si>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</si>
  <si>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</t>
  </si>
  <si>
    <t>Дотации на выравнивание  бюджетной обеспеченности субъектов РФ и муниципальных образований</t>
  </si>
  <si>
    <t>Иные дотации</t>
  </si>
  <si>
    <t>Прочие межбюджетные трансферты</t>
  </si>
  <si>
    <t>ИТОГО РАСХОДОВ</t>
  </si>
  <si>
    <t>Председатель Комитета по управлению муниципальными</t>
  </si>
  <si>
    <t>финансами администрации Октябрьского района</t>
  </si>
  <si>
    <t>Куклина Н.Г.</t>
  </si>
  <si>
    <t>Заведующий отделом учета исполнения бюджета</t>
  </si>
  <si>
    <t>Мальгин С.В.</t>
  </si>
  <si>
    <t>Заведующий бюджетным отделом</t>
  </si>
  <si>
    <t>Заворотынская Н.А.</t>
  </si>
  <si>
    <t>Заведующий отделом  доходов</t>
  </si>
  <si>
    <t>Мартюшова О.Г.</t>
  </si>
  <si>
    <t xml:space="preserve">                      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</si>
</sst>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0"/>
    <numFmt numFmtId="179" formatCode="_-* #,##0.0_р_._-;\-* #,##0.0_р_._-;_-* &quot;-&quot;?_р_._-;_-@_-"/>
    <numFmt numFmtId="180" formatCode="#,##0.00_ ;\-#,##0.00\ "/>
  </numFmts>
  <fonts count="62">
    <font>
      <sz val="10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1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36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176" fontId="7" fillId="0" borderId="0" xfId="0" applyNumberFormat="1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176" fontId="2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176" fontId="7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176" fontId="5" fillId="0" borderId="13" xfId="0" applyNumberFormat="1" applyFont="1" applyFill="1" applyBorder="1" applyAlignment="1">
      <alignment horizontal="right" vertical="top"/>
    </xf>
    <xf numFmtId="176" fontId="5" fillId="0" borderId="13" xfId="0" applyNumberFormat="1" applyFont="1" applyFill="1" applyBorder="1" applyAlignment="1">
      <alignment vertical="top"/>
    </xf>
    <xf numFmtId="0" fontId="2" fillId="0" borderId="12" xfId="0" applyFont="1" applyFill="1" applyBorder="1" applyAlignment="1">
      <alignment vertical="top" wrapText="1" shrinkToFit="1"/>
    </xf>
    <xf numFmtId="176" fontId="5" fillId="0" borderId="10" xfId="0" applyNumberFormat="1" applyFont="1" applyFill="1" applyBorder="1" applyAlignment="1">
      <alignment horizontal="right" vertical="top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176" fontId="4" fillId="0" borderId="13" xfId="0" applyNumberFormat="1" applyFont="1" applyFill="1" applyBorder="1" applyAlignment="1">
      <alignment vertical="top"/>
    </xf>
    <xf numFmtId="49" fontId="1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/>
    </xf>
    <xf numFmtId="176" fontId="4" fillId="0" borderId="10" xfId="0" applyNumberFormat="1" applyFont="1" applyFill="1" applyBorder="1" applyAlignment="1">
      <alignment horizontal="right" vertical="top"/>
    </xf>
    <xf numFmtId="0" fontId="2" fillId="0" borderId="13" xfId="0" applyFont="1" applyFill="1" applyBorder="1" applyAlignment="1">
      <alignment vertical="top" wrapText="1"/>
    </xf>
    <xf numFmtId="49" fontId="5" fillId="0" borderId="13" xfId="0" applyNumberFormat="1" applyFont="1" applyFill="1" applyBorder="1" applyAlignment="1">
      <alignment horizontal="center" vertical="top"/>
    </xf>
    <xf numFmtId="49" fontId="5" fillId="0" borderId="11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vertical="top"/>
    </xf>
    <xf numFmtId="176" fontId="1" fillId="0" borderId="13" xfId="0" applyNumberFormat="1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 horizontal="justify" vertical="top" wrapText="1"/>
    </xf>
    <xf numFmtId="0" fontId="2" fillId="0" borderId="13" xfId="0" applyFont="1" applyFill="1" applyBorder="1" applyAlignment="1">
      <alignment vertical="top"/>
    </xf>
    <xf numFmtId="176" fontId="4" fillId="0" borderId="13" xfId="0" applyNumberFormat="1" applyFont="1" applyFill="1" applyBorder="1" applyAlignment="1">
      <alignment horizontal="right" vertical="top"/>
    </xf>
    <xf numFmtId="176" fontId="2" fillId="0" borderId="13" xfId="0" applyNumberFormat="1" applyFont="1" applyFill="1" applyBorder="1" applyAlignment="1">
      <alignment horizontal="righ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177" fontId="5" fillId="0" borderId="13" xfId="0" applyNumberFormat="1" applyFont="1" applyFill="1" applyBorder="1" applyAlignment="1">
      <alignment vertical="top"/>
    </xf>
    <xf numFmtId="49" fontId="2" fillId="0" borderId="11" xfId="0" applyNumberFormat="1" applyFont="1" applyFill="1" applyBorder="1" applyAlignment="1">
      <alignment horizontal="left" vertical="top" wrapText="1"/>
    </xf>
    <xf numFmtId="49" fontId="5" fillId="0" borderId="13" xfId="0" applyNumberFormat="1" applyFont="1" applyFill="1" applyBorder="1" applyAlignment="1">
      <alignment horizontal="left" vertical="top"/>
    </xf>
    <xf numFmtId="49" fontId="5" fillId="0" borderId="11" xfId="0" applyNumberFormat="1" applyFont="1" applyFill="1" applyBorder="1" applyAlignment="1">
      <alignment horizontal="left" vertical="top"/>
    </xf>
    <xf numFmtId="176" fontId="2" fillId="0" borderId="13" xfId="0" applyNumberFormat="1" applyFont="1" applyFill="1" applyBorder="1" applyAlignment="1">
      <alignment horizontal="right" vertical="top" wrapText="1"/>
    </xf>
    <xf numFmtId="49" fontId="2" fillId="0" borderId="12" xfId="0" applyNumberFormat="1" applyFont="1" applyFill="1" applyBorder="1" applyAlignment="1">
      <alignment horizontal="left" vertical="top" wrapText="1"/>
    </xf>
    <xf numFmtId="176" fontId="5" fillId="0" borderId="11" xfId="0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 vertical="top"/>
    </xf>
    <xf numFmtId="176" fontId="5" fillId="0" borderId="0" xfId="0" applyNumberFormat="1" applyFont="1" applyFill="1" applyAlignment="1">
      <alignment vertical="top"/>
    </xf>
    <xf numFmtId="176" fontId="0" fillId="0" borderId="0" xfId="0" applyNumberFormat="1" applyFill="1" applyAlignment="1">
      <alignment vertical="top" wrapText="1"/>
    </xf>
    <xf numFmtId="176" fontId="2" fillId="0" borderId="10" xfId="0" applyNumberFormat="1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6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176" fontId="5" fillId="0" borderId="10" xfId="0" applyNumberFormat="1" applyFont="1" applyFill="1" applyBorder="1" applyAlignment="1">
      <alignment vertical="top"/>
    </xf>
    <xf numFmtId="176" fontId="2" fillId="0" borderId="13" xfId="0" applyNumberFormat="1" applyFont="1" applyFill="1" applyBorder="1" applyAlignment="1">
      <alignment vertical="top" wrapText="1"/>
    </xf>
    <xf numFmtId="176" fontId="2" fillId="0" borderId="13" xfId="0" applyNumberFormat="1" applyFont="1" applyFill="1" applyBorder="1" applyAlignment="1">
      <alignment vertical="top"/>
    </xf>
    <xf numFmtId="49" fontId="2" fillId="0" borderId="12" xfId="0" applyNumberFormat="1" applyFont="1" applyFill="1" applyBorder="1" applyAlignment="1">
      <alignment vertical="top" wrapText="1"/>
    </xf>
    <xf numFmtId="176" fontId="2" fillId="0" borderId="13" xfId="0" applyNumberFormat="1" applyFont="1" applyFill="1" applyBorder="1" applyAlignment="1">
      <alignment vertical="top" wrapText="1" shrinkToFit="1"/>
    </xf>
    <xf numFmtId="176" fontId="2" fillId="0" borderId="12" xfId="0" applyNumberFormat="1" applyFont="1" applyFill="1" applyBorder="1" applyAlignment="1">
      <alignment vertical="top" wrapText="1"/>
    </xf>
    <xf numFmtId="176" fontId="4" fillId="0" borderId="15" xfId="0" applyNumberFormat="1" applyFont="1" applyFill="1" applyBorder="1" applyAlignment="1">
      <alignment vertical="top"/>
    </xf>
    <xf numFmtId="176" fontId="4" fillId="0" borderId="0" xfId="0" applyNumberFormat="1" applyFont="1" applyFill="1" applyBorder="1" applyAlignment="1">
      <alignment vertical="top"/>
    </xf>
    <xf numFmtId="176" fontId="2" fillId="0" borderId="13" xfId="0" applyNumberFormat="1" applyFont="1" applyFill="1" applyBorder="1" applyAlignment="1">
      <alignment horizontal="right" vertical="top" wrapText="1" shrinkToFit="1"/>
    </xf>
    <xf numFmtId="49" fontId="2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176" fontId="4" fillId="0" borderId="11" xfId="0" applyNumberFormat="1" applyFont="1" applyFill="1" applyBorder="1" applyAlignment="1">
      <alignment vertical="top"/>
    </xf>
    <xf numFmtId="176" fontId="2" fillId="0" borderId="10" xfId="0" applyNumberFormat="1" applyFont="1" applyFill="1" applyBorder="1" applyAlignment="1">
      <alignment horizontal="right" vertical="top" wrapText="1"/>
    </xf>
    <xf numFmtId="176" fontId="2" fillId="0" borderId="13" xfId="0" applyNumberFormat="1" applyFont="1" applyFill="1" applyBorder="1" applyAlignment="1">
      <alignment horizontal="right" vertical="top"/>
    </xf>
    <xf numFmtId="0" fontId="2" fillId="0" borderId="17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/>
    </xf>
    <xf numFmtId="176" fontId="1" fillId="0" borderId="13" xfId="0" applyNumberFormat="1" applyFont="1" applyFill="1" applyBorder="1" applyAlignment="1">
      <alignment vertical="top" wrapText="1"/>
    </xf>
    <xf numFmtId="49" fontId="2" fillId="0" borderId="13" xfId="0" applyNumberFormat="1" applyFont="1" applyFill="1" applyBorder="1" applyAlignment="1">
      <alignment vertical="top" wrapText="1"/>
    </xf>
    <xf numFmtId="176" fontId="1" fillId="0" borderId="17" xfId="0" applyNumberFormat="1" applyFont="1" applyFill="1" applyBorder="1" applyAlignment="1">
      <alignment horizontal="right" vertical="top" wrapText="1"/>
    </xf>
    <xf numFmtId="0" fontId="4" fillId="0" borderId="17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20" xfId="0" applyNumberFormat="1" applyFont="1" applyFill="1" applyBorder="1" applyAlignment="1">
      <alignment horizontal="center" vertical="top" wrapText="1"/>
    </xf>
    <xf numFmtId="49" fontId="2" fillId="0" borderId="21" xfId="0" applyNumberFormat="1" applyFont="1" applyFill="1" applyBorder="1" applyAlignment="1">
      <alignment horizontal="center" vertical="top" wrapText="1"/>
    </xf>
    <xf numFmtId="170" fontId="2" fillId="0" borderId="14" xfId="42" applyFont="1" applyFill="1" applyBorder="1" applyAlignment="1">
      <alignment horizontal="center" vertical="top" wrapText="1"/>
    </xf>
    <xf numFmtId="170" fontId="2" fillId="0" borderId="20" xfId="42" applyFont="1" applyFill="1" applyBorder="1" applyAlignment="1">
      <alignment horizontal="center" vertical="top" wrapText="1"/>
    </xf>
    <xf numFmtId="170" fontId="2" fillId="0" borderId="21" xfId="42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176" fontId="4" fillId="0" borderId="20" xfId="0" applyNumberFormat="1" applyFont="1" applyFill="1" applyBorder="1" applyAlignment="1">
      <alignment horizontal="center" vertical="top"/>
    </xf>
    <xf numFmtId="176" fontId="4" fillId="0" borderId="21" xfId="0" applyNumberFormat="1" applyFont="1" applyFill="1" applyBorder="1" applyAlignment="1">
      <alignment horizontal="center" vertical="top"/>
    </xf>
    <xf numFmtId="0" fontId="25" fillId="0" borderId="0" xfId="53" applyNumberFormat="1" applyFont="1" applyAlignment="1">
      <alignment horizontal="center" vertical="center" wrapText="1"/>
      <protection/>
    </xf>
    <xf numFmtId="49" fontId="26" fillId="0" borderId="0" xfId="53" applyNumberFormat="1" applyFont="1" applyAlignment="1">
      <alignment horizontal="center" vertical="center" wrapText="1"/>
      <protection/>
    </xf>
    <xf numFmtId="0" fontId="26" fillId="0" borderId="0" xfId="53" applyNumberFormat="1" applyFont="1" applyAlignment="1">
      <alignment horizontal="left" vertical="center" wrapText="1"/>
      <protection/>
    </xf>
    <xf numFmtId="179" fontId="58" fillId="33" borderId="0" xfId="53" applyNumberFormat="1" applyFont="1" applyFill="1" applyAlignment="1">
      <alignment horizontal="center" vertical="center" wrapText="1"/>
      <protection/>
    </xf>
    <xf numFmtId="179" fontId="28" fillId="33" borderId="0" xfId="53" applyNumberFormat="1" applyFont="1" applyFill="1" applyBorder="1" applyAlignment="1">
      <alignment horizontal="center" vertical="center" wrapText="1"/>
      <protection/>
    </xf>
    <xf numFmtId="179" fontId="28" fillId="0" borderId="0" xfId="53" applyNumberFormat="1" applyFont="1" applyFill="1" applyAlignment="1">
      <alignment horizontal="center" vertical="center" wrapText="1"/>
      <protection/>
    </xf>
    <xf numFmtId="179" fontId="28" fillId="33" borderId="0" xfId="0" applyNumberFormat="1" applyFont="1" applyFill="1" applyAlignment="1">
      <alignment horizontal="center" vertical="center" wrapText="1"/>
    </xf>
    <xf numFmtId="179" fontId="28" fillId="0" borderId="0" xfId="0" applyNumberFormat="1" applyFont="1" applyAlignment="1">
      <alignment horizontal="center" vertical="center" wrapText="1"/>
    </xf>
    <xf numFmtId="179" fontId="29" fillId="0" borderId="0" xfId="0" applyNumberFormat="1" applyFont="1" applyFill="1" applyAlignment="1">
      <alignment horizontal="center" vertical="center" wrapText="1"/>
    </xf>
    <xf numFmtId="179" fontId="29" fillId="33" borderId="0" xfId="0" applyNumberFormat="1" applyFont="1" applyFill="1" applyAlignment="1">
      <alignment horizontal="center" vertical="center" wrapText="1"/>
    </xf>
    <xf numFmtId="179" fontId="29" fillId="0" borderId="0" xfId="0" applyNumberFormat="1" applyFont="1" applyAlignment="1">
      <alignment horizontal="center" vertical="center" wrapText="1"/>
    </xf>
    <xf numFmtId="49" fontId="30" fillId="0" borderId="22" xfId="53" applyNumberFormat="1" applyFont="1" applyBorder="1" applyAlignment="1">
      <alignment horizontal="center" vertical="center" wrapText="1"/>
      <protection/>
    </xf>
    <xf numFmtId="0" fontId="30" fillId="0" borderId="23" xfId="53" applyNumberFormat="1" applyFont="1" applyBorder="1" applyAlignment="1">
      <alignment horizontal="center" vertical="center" wrapText="1"/>
      <protection/>
    </xf>
    <xf numFmtId="179" fontId="31" fillId="0" borderId="23" xfId="53" applyNumberFormat="1" applyFont="1" applyFill="1" applyBorder="1" applyAlignment="1">
      <alignment horizontal="center" vertical="center" wrapText="1"/>
      <protection/>
    </xf>
    <xf numFmtId="179" fontId="31" fillId="0" borderId="23" xfId="0" applyNumberFormat="1" applyFont="1" applyBorder="1" applyAlignment="1">
      <alignment horizontal="center" vertical="center" wrapText="1"/>
    </xf>
    <xf numFmtId="179" fontId="32" fillId="0" borderId="23" xfId="0" applyNumberFormat="1" applyFont="1" applyFill="1" applyBorder="1" applyAlignment="1">
      <alignment horizontal="center" vertical="center" wrapText="1"/>
    </xf>
    <xf numFmtId="179" fontId="32" fillId="0" borderId="24" xfId="0" applyNumberFormat="1" applyFont="1" applyFill="1" applyBorder="1" applyAlignment="1">
      <alignment horizontal="center" vertical="center" wrapText="1"/>
    </xf>
    <xf numFmtId="49" fontId="30" fillId="0" borderId="25" xfId="53" applyNumberFormat="1" applyFont="1" applyBorder="1" applyAlignment="1">
      <alignment horizontal="center" vertical="center" wrapText="1"/>
      <protection/>
    </xf>
    <xf numFmtId="0" fontId="30" fillId="0" borderId="13" xfId="53" applyNumberFormat="1" applyFont="1" applyBorder="1" applyAlignment="1">
      <alignment horizontal="center" vertical="center" wrapText="1"/>
      <protection/>
    </xf>
    <xf numFmtId="179" fontId="31" fillId="33" borderId="13" xfId="53" applyNumberFormat="1" applyFont="1" applyFill="1" applyBorder="1" applyAlignment="1">
      <alignment horizontal="center" vertical="center" wrapText="1"/>
      <protection/>
    </xf>
    <xf numFmtId="179" fontId="31" fillId="0" borderId="13" xfId="53" applyNumberFormat="1" applyFont="1" applyFill="1" applyBorder="1" applyAlignment="1">
      <alignment horizontal="center" vertical="center" wrapText="1"/>
      <protection/>
    </xf>
    <xf numFmtId="179" fontId="31" fillId="0" borderId="13" xfId="53" applyNumberFormat="1" applyFont="1" applyBorder="1" applyAlignment="1">
      <alignment horizontal="center" vertical="center" wrapText="1"/>
      <protection/>
    </xf>
    <xf numFmtId="179" fontId="32" fillId="0" borderId="13" xfId="53" applyNumberFormat="1" applyFont="1" applyFill="1" applyBorder="1" applyAlignment="1">
      <alignment horizontal="center" vertical="center" wrapText="1"/>
      <protection/>
    </xf>
    <xf numFmtId="179" fontId="32" fillId="33" borderId="13" xfId="53" applyNumberFormat="1" applyFont="1" applyFill="1" applyBorder="1" applyAlignment="1">
      <alignment horizontal="center" vertical="center" wrapText="1"/>
      <protection/>
    </xf>
    <xf numFmtId="179" fontId="32" fillId="0" borderId="26" xfId="53" applyNumberFormat="1" applyFont="1" applyBorder="1" applyAlignment="1">
      <alignment horizontal="center" vertical="center" wrapText="1"/>
      <protection/>
    </xf>
    <xf numFmtId="179" fontId="31" fillId="33" borderId="13" xfId="0" applyNumberFormat="1" applyFont="1" applyFill="1" applyBorder="1" applyAlignment="1">
      <alignment horizontal="center" vertical="center" wrapText="1"/>
    </xf>
    <xf numFmtId="179" fontId="33" fillId="0" borderId="13" xfId="0" applyNumberFormat="1" applyFont="1" applyBorder="1" applyAlignment="1">
      <alignment horizontal="center" vertical="center"/>
    </xf>
    <xf numFmtId="179" fontId="31" fillId="0" borderId="13" xfId="0" applyNumberFormat="1" applyFont="1" applyBorder="1" applyAlignment="1">
      <alignment horizontal="center" vertical="center" wrapText="1"/>
    </xf>
    <xf numFmtId="179" fontId="32" fillId="0" borderId="13" xfId="0" applyNumberFormat="1" applyFont="1" applyBorder="1" applyAlignment="1">
      <alignment horizontal="center" vertical="center" wrapText="1"/>
    </xf>
    <xf numFmtId="179" fontId="32" fillId="0" borderId="26" xfId="0" applyNumberFormat="1" applyFont="1" applyBorder="1" applyAlignment="1">
      <alignment horizontal="center" vertical="center" wrapText="1"/>
    </xf>
    <xf numFmtId="0" fontId="34" fillId="0" borderId="13" xfId="53" applyNumberFormat="1" applyFont="1" applyFill="1" applyBorder="1" applyAlignment="1">
      <alignment horizontal="center" vertical="center" wrapText="1"/>
      <protection/>
    </xf>
    <xf numFmtId="0" fontId="34" fillId="0" borderId="26" xfId="53" applyNumberFormat="1" applyFont="1" applyFill="1" applyBorder="1" applyAlignment="1">
      <alignment horizontal="center" vertical="center" wrapText="1"/>
      <protection/>
    </xf>
    <xf numFmtId="49" fontId="34" fillId="34" borderId="25" xfId="53" applyNumberFormat="1" applyFont="1" applyFill="1" applyBorder="1" applyAlignment="1" quotePrefix="1">
      <alignment horizontal="center" vertical="center" wrapText="1"/>
      <protection/>
    </xf>
    <xf numFmtId="0" fontId="34" fillId="34" borderId="13" xfId="53" applyNumberFormat="1" applyFont="1" applyFill="1" applyBorder="1" applyAlignment="1">
      <alignment horizontal="left" vertical="center" wrapText="1"/>
      <protection/>
    </xf>
    <xf numFmtId="179" fontId="32" fillId="35" borderId="13" xfId="53" applyNumberFormat="1" applyFont="1" applyFill="1" applyBorder="1" applyAlignment="1">
      <alignment horizontal="center" vertical="center" wrapText="1"/>
      <protection/>
    </xf>
    <xf numFmtId="179" fontId="31" fillId="35" borderId="13" xfId="0" applyNumberFormat="1" applyFont="1" applyFill="1" applyBorder="1" applyAlignment="1">
      <alignment horizontal="center" vertical="center" wrapText="1"/>
    </xf>
    <xf numFmtId="179" fontId="32" fillId="34" borderId="26" xfId="0" applyNumberFormat="1" applyFont="1" applyFill="1" applyBorder="1" applyAlignment="1">
      <alignment horizontal="center" vertical="center" wrapText="1"/>
    </xf>
    <xf numFmtId="49" fontId="30" fillId="0" borderId="25" xfId="53" applyNumberFormat="1" applyFont="1" applyFill="1" applyBorder="1" applyAlignment="1" quotePrefix="1">
      <alignment horizontal="center" vertical="center" wrapText="1"/>
      <protection/>
    </xf>
    <xf numFmtId="0" fontId="30" fillId="0" borderId="13" xfId="53" applyNumberFormat="1" applyFont="1" applyFill="1" applyBorder="1" applyAlignment="1">
      <alignment horizontal="left" vertical="center" wrapText="1"/>
      <protection/>
    </xf>
    <xf numFmtId="179" fontId="31" fillId="33" borderId="13" xfId="53" applyNumberFormat="1" applyFont="1" applyFill="1" applyBorder="1" applyAlignment="1">
      <alignment horizontal="center" vertical="center" wrapText="1"/>
      <protection/>
    </xf>
    <xf numFmtId="179" fontId="31" fillId="0" borderId="13" xfId="53" applyNumberFormat="1" applyFont="1" applyFill="1" applyBorder="1" applyAlignment="1">
      <alignment horizontal="center" vertical="center" wrapText="1"/>
      <protection/>
    </xf>
    <xf numFmtId="179" fontId="31" fillId="33" borderId="13" xfId="0" applyNumberFormat="1" applyFont="1" applyFill="1" applyBorder="1" applyAlignment="1">
      <alignment horizontal="center" vertical="center" wrapText="1"/>
    </xf>
    <xf numFmtId="179" fontId="31" fillId="0" borderId="13" xfId="0" applyNumberFormat="1" applyFont="1" applyFill="1" applyBorder="1" applyAlignment="1">
      <alignment horizontal="center" vertical="center" wrapText="1"/>
    </xf>
    <xf numFmtId="179" fontId="32" fillId="0" borderId="13" xfId="0" applyNumberFormat="1" applyFont="1" applyFill="1" applyBorder="1" applyAlignment="1">
      <alignment horizontal="center" vertical="center" wrapText="1"/>
    </xf>
    <xf numFmtId="179" fontId="32" fillId="33" borderId="13" xfId="0" applyNumberFormat="1" applyFont="1" applyFill="1" applyBorder="1" applyAlignment="1">
      <alignment horizontal="center" vertical="center" wrapText="1"/>
    </xf>
    <xf numFmtId="179" fontId="32" fillId="0" borderId="26" xfId="0" applyNumberFormat="1" applyFont="1" applyFill="1" applyBorder="1" applyAlignment="1">
      <alignment horizontal="center" vertical="center" wrapText="1"/>
    </xf>
    <xf numFmtId="179" fontId="32" fillId="36" borderId="13" xfId="0" applyNumberFormat="1" applyFont="1" applyFill="1" applyBorder="1" applyAlignment="1">
      <alignment horizontal="center" vertical="center" wrapText="1"/>
    </xf>
    <xf numFmtId="179" fontId="59" fillId="33" borderId="13" xfId="0" applyNumberFormat="1" applyFont="1" applyFill="1" applyBorder="1" applyAlignment="1">
      <alignment horizontal="center" vertical="center" wrapText="1"/>
    </xf>
    <xf numFmtId="49" fontId="30" fillId="0" borderId="25" xfId="53" applyNumberFormat="1" applyFont="1" applyFill="1" applyBorder="1" applyAlignment="1">
      <alignment horizontal="center" vertical="center" wrapText="1"/>
      <protection/>
    </xf>
    <xf numFmtId="179" fontId="59" fillId="36" borderId="13" xfId="0" applyNumberFormat="1" applyFont="1" applyFill="1" applyBorder="1" applyAlignment="1">
      <alignment horizontal="center" vertical="center" wrapText="1"/>
    </xf>
    <xf numFmtId="179" fontId="31" fillId="35" borderId="13" xfId="53" applyNumberFormat="1" applyFont="1" applyFill="1" applyBorder="1" applyAlignment="1">
      <alignment horizontal="center" vertical="center" wrapText="1"/>
      <protection/>
    </xf>
    <xf numFmtId="179" fontId="32" fillId="35" borderId="26" xfId="53" applyNumberFormat="1" applyFont="1" applyFill="1" applyBorder="1" applyAlignment="1">
      <alignment horizontal="center" vertical="center" wrapText="1"/>
      <protection/>
    </xf>
    <xf numFmtId="49" fontId="34" fillId="34" borderId="25" xfId="53" applyNumberFormat="1" applyFont="1" applyFill="1" applyBorder="1" applyAlignment="1" quotePrefix="1">
      <alignment horizontal="center" vertical="center" wrapText="1"/>
      <protection/>
    </xf>
    <xf numFmtId="0" fontId="34" fillId="34" borderId="13" xfId="53" applyNumberFormat="1" applyFont="1" applyFill="1" applyBorder="1" applyAlignment="1">
      <alignment horizontal="left" vertical="center" wrapText="1"/>
      <protection/>
    </xf>
    <xf numFmtId="179" fontId="32" fillId="35" borderId="13" xfId="53" applyNumberFormat="1" applyFont="1" applyFill="1" applyBorder="1" applyAlignment="1">
      <alignment horizontal="center" vertical="center" wrapText="1"/>
      <protection/>
    </xf>
    <xf numFmtId="179" fontId="32" fillId="35" borderId="26" xfId="0" applyNumberFormat="1" applyFont="1" applyFill="1" applyBorder="1" applyAlignment="1">
      <alignment horizontal="center" vertical="center" wrapText="1"/>
    </xf>
    <xf numFmtId="0" fontId="30" fillId="37" borderId="13" xfId="53" applyNumberFormat="1" applyFont="1" applyFill="1" applyBorder="1" applyAlignment="1">
      <alignment horizontal="left" vertical="center" wrapText="1"/>
      <protection/>
    </xf>
    <xf numFmtId="179" fontId="32" fillId="38" borderId="13" xfId="0" applyNumberFormat="1" applyFont="1" applyFill="1" applyBorder="1" applyAlignment="1">
      <alignment horizontal="center" vertical="center" wrapText="1"/>
    </xf>
    <xf numFmtId="0" fontId="31" fillId="0" borderId="13" xfId="52" applyNumberFormat="1" applyFont="1" applyFill="1" applyBorder="1" applyAlignment="1" applyProtection="1">
      <alignment horizontal="left" vertical="center" wrapText="1"/>
      <protection hidden="1"/>
    </xf>
    <xf numFmtId="179" fontId="32" fillId="35" borderId="13" xfId="0" applyNumberFormat="1" applyFont="1" applyFill="1" applyBorder="1" applyAlignment="1">
      <alignment horizontal="center" vertical="center" wrapText="1"/>
    </xf>
    <xf numFmtId="49" fontId="30" fillId="33" borderId="25" xfId="53" applyNumberFormat="1" applyFont="1" applyFill="1" applyBorder="1" applyAlignment="1" quotePrefix="1">
      <alignment horizontal="center" vertical="center" wrapText="1"/>
      <protection/>
    </xf>
    <xf numFmtId="0" fontId="36" fillId="0" borderId="13" xfId="53" applyNumberFormat="1" applyFont="1" applyFill="1" applyBorder="1" applyAlignment="1">
      <alignment horizontal="left" vertical="center" wrapText="1"/>
      <protection/>
    </xf>
    <xf numFmtId="2" fontId="32" fillId="0" borderId="26" xfId="0" applyNumberFormat="1" applyFont="1" applyFill="1" applyBorder="1" applyAlignment="1">
      <alignment horizontal="center" vertical="center" wrapText="1"/>
    </xf>
    <xf numFmtId="179" fontId="60" fillId="36" borderId="13" xfId="0" applyNumberFormat="1" applyFont="1" applyFill="1" applyBorder="1" applyAlignment="1">
      <alignment horizontal="center" vertical="center" wrapText="1"/>
    </xf>
    <xf numFmtId="179" fontId="32" fillId="39" borderId="13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wrapText="1"/>
    </xf>
    <xf numFmtId="177" fontId="32" fillId="0" borderId="26" xfId="0" applyNumberFormat="1" applyFont="1" applyFill="1" applyBorder="1" applyAlignment="1">
      <alignment horizontal="center" vertical="center" wrapText="1"/>
    </xf>
    <xf numFmtId="49" fontId="34" fillId="34" borderId="25" xfId="53" applyNumberFormat="1" applyFont="1" applyFill="1" applyBorder="1" applyAlignment="1">
      <alignment horizontal="center" vertical="center" wrapText="1"/>
      <protection/>
    </xf>
    <xf numFmtId="0" fontId="34" fillId="34" borderId="13" xfId="0" applyNumberFormat="1" applyFont="1" applyFill="1" applyBorder="1" applyAlignment="1">
      <alignment horizontal="left" vertical="center" wrapText="1"/>
    </xf>
    <xf numFmtId="177" fontId="32" fillId="35" borderId="26" xfId="0" applyNumberFormat="1" applyFont="1" applyFill="1" applyBorder="1" applyAlignment="1">
      <alignment horizontal="center" vertical="center" wrapText="1"/>
    </xf>
    <xf numFmtId="0" fontId="30" fillId="0" borderId="13" xfId="0" applyNumberFormat="1" applyFont="1" applyFill="1" applyBorder="1" applyAlignment="1">
      <alignment horizontal="left" vertical="center" wrapText="1"/>
    </xf>
    <xf numFmtId="179" fontId="31" fillId="40" borderId="13" xfId="53" applyNumberFormat="1" applyFont="1" applyFill="1" applyBorder="1" applyAlignment="1">
      <alignment horizontal="center" vertical="center" wrapText="1"/>
      <protection/>
    </xf>
    <xf numFmtId="179" fontId="31" fillId="40" borderId="13" xfId="0" applyNumberFormat="1" applyFont="1" applyFill="1" applyBorder="1" applyAlignment="1">
      <alignment horizontal="center" vertical="center" wrapText="1"/>
    </xf>
    <xf numFmtId="49" fontId="31" fillId="0" borderId="25" xfId="53" applyNumberFormat="1" applyFont="1" applyFill="1" applyBorder="1" applyAlignment="1">
      <alignment horizontal="center" vertical="center" wrapText="1"/>
      <protection/>
    </xf>
    <xf numFmtId="0" fontId="31" fillId="0" borderId="13" xfId="53" applyNumberFormat="1" applyFont="1" applyFill="1" applyBorder="1" applyAlignment="1">
      <alignment horizontal="left" vertical="center" wrapText="1"/>
      <protection/>
    </xf>
    <xf numFmtId="0" fontId="38" fillId="6" borderId="27" xfId="53" applyNumberFormat="1" applyFont="1" applyFill="1" applyBorder="1" applyAlignment="1">
      <alignment horizontal="center" vertical="center" wrapText="1"/>
      <protection/>
    </xf>
    <xf numFmtId="0" fontId="38" fillId="6" borderId="28" xfId="53" applyNumberFormat="1" applyFont="1" applyFill="1" applyBorder="1" applyAlignment="1">
      <alignment horizontal="center" vertical="center" wrapText="1"/>
      <protection/>
    </xf>
    <xf numFmtId="179" fontId="32" fillId="41" borderId="28" xfId="53" applyNumberFormat="1" applyFont="1" applyFill="1" applyBorder="1" applyAlignment="1">
      <alignment horizontal="center" vertical="center" wrapText="1"/>
      <protection/>
    </xf>
    <xf numFmtId="179" fontId="32" fillId="41" borderId="28" xfId="0" applyNumberFormat="1" applyFont="1" applyFill="1" applyBorder="1" applyAlignment="1">
      <alignment horizontal="center" vertical="center" wrapText="1"/>
    </xf>
    <xf numFmtId="179" fontId="32" fillId="41" borderId="29" xfId="0" applyNumberFormat="1" applyFont="1" applyFill="1" applyBorder="1" applyAlignment="1">
      <alignment horizontal="center" vertical="center" wrapText="1"/>
    </xf>
    <xf numFmtId="49" fontId="26" fillId="0" borderId="0" xfId="53" applyNumberFormat="1" applyFont="1" applyFill="1" applyBorder="1" applyAlignment="1">
      <alignment horizontal="center" vertical="center" wrapText="1"/>
      <protection/>
    </xf>
    <xf numFmtId="0" fontId="26" fillId="0" borderId="0" xfId="53" applyNumberFormat="1" applyFont="1" applyFill="1" applyBorder="1" applyAlignment="1">
      <alignment horizontal="left" vertical="center" wrapText="1"/>
      <protection/>
    </xf>
    <xf numFmtId="180" fontId="58" fillId="33" borderId="0" xfId="53" applyNumberFormat="1" applyFont="1" applyFill="1" applyBorder="1" applyAlignment="1">
      <alignment horizontal="center" vertical="center" wrapText="1"/>
      <protection/>
    </xf>
    <xf numFmtId="179" fontId="29" fillId="0" borderId="0" xfId="53" applyNumberFormat="1" applyFont="1" applyFill="1" applyBorder="1" applyAlignment="1">
      <alignment horizontal="center" vertical="center" wrapText="1"/>
      <protection/>
    </xf>
    <xf numFmtId="49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left" vertical="center" wrapText="1"/>
    </xf>
    <xf numFmtId="179" fontId="58" fillId="33" borderId="0" xfId="0" applyNumberFormat="1" applyFont="1" applyFill="1" applyBorder="1" applyAlignment="1">
      <alignment horizontal="center" vertical="center" wrapText="1"/>
    </xf>
    <xf numFmtId="179" fontId="58" fillId="0" borderId="0" xfId="0" applyNumberFormat="1" applyFont="1" applyFill="1" applyBorder="1" applyAlignment="1">
      <alignment horizontal="center" vertical="center" wrapText="1"/>
    </xf>
    <xf numFmtId="179" fontId="28" fillId="33" borderId="0" xfId="0" applyNumberFormat="1" applyFont="1" applyFill="1" applyBorder="1" applyAlignment="1">
      <alignment horizontal="center" vertical="center" wrapText="1"/>
    </xf>
    <xf numFmtId="0" fontId="36" fillId="0" borderId="0" xfId="53" applyNumberFormat="1" applyFont="1" applyFill="1" applyBorder="1" applyAlignment="1">
      <alignment horizontal="right" vertical="center" wrapText="1"/>
      <protection/>
    </xf>
    <xf numFmtId="179" fontId="39" fillId="33" borderId="0" xfId="0" applyNumberFormat="1" applyFont="1" applyFill="1" applyAlignment="1">
      <alignment horizontal="center" vertical="center" wrapText="1"/>
    </xf>
    <xf numFmtId="179" fontId="39" fillId="0" borderId="0" xfId="0" applyNumberFormat="1" applyFont="1" applyAlignment="1">
      <alignment horizontal="center" vertical="center" wrapText="1"/>
    </xf>
    <xf numFmtId="179" fontId="39" fillId="33" borderId="12" xfId="53" applyNumberFormat="1" applyFont="1" applyFill="1" applyBorder="1" applyAlignment="1">
      <alignment horizontal="center" vertical="center" wrapText="1"/>
      <protection/>
    </xf>
    <xf numFmtId="179" fontId="39" fillId="0" borderId="0" xfId="53" applyNumberFormat="1" applyFont="1" applyFill="1" applyBorder="1" applyAlignment="1">
      <alignment horizontal="left" vertical="center" wrapText="1"/>
      <protection/>
    </xf>
    <xf numFmtId="49" fontId="36" fillId="0" borderId="0" xfId="0" applyNumberFormat="1" applyFont="1" applyFill="1" applyBorder="1" applyAlignment="1">
      <alignment horizontal="right" vertical="center" wrapText="1"/>
    </xf>
    <xf numFmtId="0" fontId="36" fillId="0" borderId="0" xfId="53" applyNumberFormat="1" applyFont="1" applyFill="1" applyBorder="1" applyAlignment="1">
      <alignment horizontal="left" vertical="center" wrapText="1"/>
      <protection/>
    </xf>
    <xf numFmtId="179" fontId="61" fillId="33" borderId="0" xfId="53" applyNumberFormat="1" applyFont="1" applyFill="1" applyBorder="1" applyAlignment="1">
      <alignment horizontal="center" vertical="center" wrapText="1"/>
      <protection/>
    </xf>
    <xf numFmtId="179" fontId="39" fillId="33" borderId="0" xfId="53" applyNumberFormat="1" applyFont="1" applyFill="1" applyBorder="1" applyAlignment="1">
      <alignment horizontal="center" vertical="center" wrapText="1"/>
      <protection/>
    </xf>
    <xf numFmtId="179" fontId="39" fillId="0" borderId="0" xfId="0" applyNumberFormat="1" applyFont="1" applyFill="1" applyBorder="1" applyAlignment="1">
      <alignment horizontal="left" vertical="center" wrapText="1"/>
    </xf>
    <xf numFmtId="179" fontId="39" fillId="33" borderId="0" xfId="0" applyNumberFormat="1" applyFont="1" applyFill="1" applyAlignment="1">
      <alignment horizontal="left" vertical="center" wrapText="1"/>
    </xf>
    <xf numFmtId="179" fontId="39" fillId="33" borderId="12" xfId="0" applyNumberFormat="1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>
      <alignment horizontal="left" vertical="center" wrapText="1"/>
    </xf>
    <xf numFmtId="179" fontId="61" fillId="33" borderId="0" xfId="0" applyNumberFormat="1" applyFont="1" applyFill="1" applyBorder="1" applyAlignment="1">
      <alignment horizontal="center" vertical="center" wrapText="1"/>
    </xf>
    <xf numFmtId="179" fontId="39" fillId="33" borderId="0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179" fontId="61" fillId="33" borderId="0" xfId="0" applyNumberFormat="1" applyFont="1" applyFill="1" applyAlignment="1">
      <alignment horizontal="center" vertical="center" wrapText="1"/>
    </xf>
    <xf numFmtId="179" fontId="39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39" fillId="33" borderId="0" xfId="0" applyFont="1" applyFill="1" applyAlignment="1">
      <alignment horizontal="right"/>
    </xf>
    <xf numFmtId="0" fontId="0" fillId="33" borderId="12" xfId="0" applyFont="1" applyFill="1" applyBorder="1" applyAlignment="1">
      <alignment/>
    </xf>
    <xf numFmtId="0" fontId="39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7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248" sqref="C248:Q257"/>
    </sheetView>
  </sheetViews>
  <sheetFormatPr defaultColWidth="9.00390625" defaultRowHeight="12.75" outlineLevelCol="1"/>
  <cols>
    <col min="1" max="1" width="21.25390625" style="1" customWidth="1"/>
    <col min="2" max="2" width="6.75390625" style="1" hidden="1" customWidth="1"/>
    <col min="3" max="3" width="49.00390625" style="1" customWidth="1"/>
    <col min="4" max="4" width="11.125" style="1" customWidth="1"/>
    <col min="5" max="5" width="12.00390625" style="1" customWidth="1"/>
    <col min="6" max="6" width="10.875" style="1" customWidth="1"/>
    <col min="7" max="7" width="12.25390625" style="1" hidden="1" customWidth="1"/>
    <col min="8" max="8" width="13.00390625" style="1" hidden="1" customWidth="1"/>
    <col min="9" max="9" width="15.00390625" style="1" hidden="1" customWidth="1"/>
    <col min="10" max="10" width="12.375" style="1" hidden="1" customWidth="1" outlineLevel="1"/>
    <col min="11" max="11" width="12.00390625" style="1" customWidth="1" collapsed="1"/>
    <col min="12" max="12" width="10.25390625" style="1" hidden="1" customWidth="1"/>
    <col min="13" max="13" width="7.00390625" style="1" hidden="1" customWidth="1"/>
    <col min="14" max="14" width="9.125" style="1" hidden="1" customWidth="1"/>
    <col min="15" max="15" width="14.25390625" style="1" hidden="1" customWidth="1"/>
    <col min="16" max="16" width="7.25390625" style="1" hidden="1" customWidth="1"/>
    <col min="17" max="17" width="10.00390625" style="1" customWidth="1"/>
    <col min="18" max="18" width="8.00390625" style="1" customWidth="1"/>
    <col min="19" max="16384" width="9.125" style="1" customWidth="1"/>
  </cols>
  <sheetData>
    <row r="1" spans="1:19" ht="12.75">
      <c r="A1" s="101" t="s">
        <v>87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</row>
    <row r="2" spans="1:13" ht="9.7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55"/>
      <c r="B3" s="55"/>
      <c r="C3" s="56"/>
      <c r="D3" s="56"/>
      <c r="E3" s="56"/>
      <c r="F3" s="56"/>
      <c r="G3" s="56"/>
      <c r="H3" s="56"/>
      <c r="I3" s="57"/>
      <c r="J3" s="57"/>
      <c r="K3" s="58" t="s">
        <v>68</v>
      </c>
      <c r="L3" s="57"/>
      <c r="M3" s="57"/>
    </row>
    <row r="4" spans="1:19" ht="12.75" customHeight="1">
      <c r="A4" s="59" t="s">
        <v>41</v>
      </c>
      <c r="B4" s="59"/>
      <c r="C4" s="60"/>
      <c r="D4" s="89" t="s">
        <v>80</v>
      </c>
      <c r="E4" s="89" t="s">
        <v>81</v>
      </c>
      <c r="F4" s="89" t="s">
        <v>88</v>
      </c>
      <c r="G4" s="92" t="s">
        <v>71</v>
      </c>
      <c r="H4" s="92" t="s">
        <v>72</v>
      </c>
      <c r="I4" s="92" t="s">
        <v>73</v>
      </c>
      <c r="J4" s="92" t="s">
        <v>74</v>
      </c>
      <c r="K4" s="89" t="s">
        <v>86</v>
      </c>
      <c r="L4" s="89" t="s">
        <v>75</v>
      </c>
      <c r="M4" s="89" t="s">
        <v>76</v>
      </c>
      <c r="N4" s="89" t="s">
        <v>77</v>
      </c>
      <c r="O4" s="89" t="s">
        <v>78</v>
      </c>
      <c r="P4" s="89" t="s">
        <v>79</v>
      </c>
      <c r="Q4" s="89" t="s">
        <v>89</v>
      </c>
      <c r="R4" s="89" t="s">
        <v>82</v>
      </c>
      <c r="S4" s="89" t="s">
        <v>83</v>
      </c>
    </row>
    <row r="5" spans="1:19" ht="27.75" customHeight="1">
      <c r="A5" s="61" t="s">
        <v>46</v>
      </c>
      <c r="B5" s="61"/>
      <c r="C5" s="62" t="s">
        <v>16</v>
      </c>
      <c r="D5" s="90"/>
      <c r="E5" s="90"/>
      <c r="F5" s="90"/>
      <c r="G5" s="93"/>
      <c r="H5" s="93"/>
      <c r="I5" s="93"/>
      <c r="J5" s="93"/>
      <c r="K5" s="90"/>
      <c r="L5" s="90"/>
      <c r="M5" s="90"/>
      <c r="N5" s="90"/>
      <c r="O5" s="90"/>
      <c r="P5" s="90"/>
      <c r="Q5" s="90"/>
      <c r="R5" s="90"/>
      <c r="S5" s="90"/>
    </row>
    <row r="6" spans="1:19" ht="39.75" customHeight="1">
      <c r="A6" s="61"/>
      <c r="B6" s="61"/>
      <c r="C6" s="62"/>
      <c r="D6" s="91"/>
      <c r="E6" s="91"/>
      <c r="F6" s="91"/>
      <c r="G6" s="94"/>
      <c r="H6" s="94"/>
      <c r="I6" s="94"/>
      <c r="J6" s="94"/>
      <c r="K6" s="91"/>
      <c r="L6" s="91"/>
      <c r="M6" s="91"/>
      <c r="N6" s="91"/>
      <c r="O6" s="91"/>
      <c r="P6" s="91"/>
      <c r="Q6" s="91"/>
      <c r="R6" s="91"/>
      <c r="S6" s="91"/>
    </row>
    <row r="7" spans="1:19" ht="12.75">
      <c r="A7" s="86" t="s">
        <v>24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</row>
    <row r="8" spans="1:19" ht="12.75">
      <c r="A8" s="63" t="s">
        <v>3</v>
      </c>
      <c r="B8" s="63"/>
      <c r="C8" s="64" t="s">
        <v>67</v>
      </c>
      <c r="D8" s="36">
        <f aca="true" t="shared" si="0" ref="D8:J8">D9+D11+D12+D13+D15+D16+D18+D20+D14+D21+D17+D19+D10</f>
        <v>872879.4</v>
      </c>
      <c r="E8" s="36">
        <f t="shared" si="0"/>
        <v>875774.4</v>
      </c>
      <c r="F8" s="36">
        <f t="shared" si="0"/>
        <v>448883.2</v>
      </c>
      <c r="G8" s="36">
        <f t="shared" si="0"/>
        <v>213279.49999999997</v>
      </c>
      <c r="H8" s="36">
        <f t="shared" si="0"/>
        <v>235603.69999999998</v>
      </c>
      <c r="I8" s="36">
        <f t="shared" si="0"/>
        <v>192893.1</v>
      </c>
      <c r="J8" s="36">
        <f t="shared" si="0"/>
        <v>233998.1</v>
      </c>
      <c r="K8" s="36">
        <f>K9+K11+K12+K13+K15+K16+K18+K20+K14+K21+K17+K19+K10</f>
        <v>308474.1999999999</v>
      </c>
      <c r="L8" s="36" t="e">
        <f>L9+L11+L12+L13+L15+L16+L18+L20+L14+L21+L17+L19</f>
        <v>#REF!</v>
      </c>
      <c r="M8" s="36">
        <f aca="true" t="shared" si="1" ref="M8:M21">K8/I8*100</f>
        <v>159.91976903269213</v>
      </c>
      <c r="N8" s="65"/>
      <c r="O8" s="65"/>
      <c r="P8" s="36">
        <f>K8*100/J8</f>
        <v>131.8276515920428</v>
      </c>
      <c r="Q8" s="36">
        <f>K8*100/F8</f>
        <v>68.72037091163133</v>
      </c>
      <c r="R8" s="24">
        <f>K8*100/E8</f>
        <v>35.22302090584058</v>
      </c>
      <c r="S8" s="24">
        <f>K8*100/D8</f>
        <v>35.33984190714088</v>
      </c>
    </row>
    <row r="9" spans="1:19" ht="12.75">
      <c r="A9" s="12" t="s">
        <v>23</v>
      </c>
      <c r="B9" s="12"/>
      <c r="C9" s="66" t="s">
        <v>22</v>
      </c>
      <c r="D9" s="51">
        <v>668277.3</v>
      </c>
      <c r="E9" s="51">
        <f>G9+H9+I9+J9</f>
        <v>668277.3</v>
      </c>
      <c r="F9" s="51">
        <f>G9+H9</f>
        <v>344352.5</v>
      </c>
      <c r="G9" s="51">
        <v>167189.5</v>
      </c>
      <c r="H9" s="51">
        <v>177163</v>
      </c>
      <c r="I9" s="20">
        <v>144777.7</v>
      </c>
      <c r="J9" s="67">
        <v>179147.1</v>
      </c>
      <c r="K9" s="67">
        <v>218302</v>
      </c>
      <c r="L9" s="20" t="e">
        <f>K9/#REF!*100</f>
        <v>#REF!</v>
      </c>
      <c r="M9" s="20">
        <f t="shared" si="1"/>
        <v>150.7842713346047</v>
      </c>
      <c r="N9" s="48"/>
      <c r="O9" s="48"/>
      <c r="P9" s="20">
        <f aca="true" t="shared" si="2" ref="P9:P81">K9*100/J9</f>
        <v>121.85628458400944</v>
      </c>
      <c r="Q9" s="20">
        <f aca="true" t="shared" si="3" ref="Q9:Q78">K9*100/F9</f>
        <v>63.394922354273604</v>
      </c>
      <c r="R9" s="67">
        <f aca="true" t="shared" si="4" ref="R9:R78">K9*100/E9</f>
        <v>32.66637966006027</v>
      </c>
      <c r="S9" s="18">
        <f aca="true" t="shared" si="5" ref="S9:S72">K9*100/D9</f>
        <v>32.66637966006027</v>
      </c>
    </row>
    <row r="10" spans="1:19" ht="12.75">
      <c r="A10" s="12" t="s">
        <v>69</v>
      </c>
      <c r="B10" s="12"/>
      <c r="C10" s="28" t="s">
        <v>70</v>
      </c>
      <c r="D10" s="68">
        <v>5507.1</v>
      </c>
      <c r="E10" s="68">
        <f aca="true" t="shared" si="6" ref="E10:E26">G10+H10+I10+J10</f>
        <v>5507.1</v>
      </c>
      <c r="F10" s="51">
        <f aca="true" t="shared" si="7" ref="F10:F26">G10+H10</f>
        <v>2751.8999999999996</v>
      </c>
      <c r="G10" s="68">
        <v>1375.8</v>
      </c>
      <c r="H10" s="68">
        <v>1376.1</v>
      </c>
      <c r="I10" s="17">
        <v>1376.1</v>
      </c>
      <c r="J10" s="18">
        <v>1379.1</v>
      </c>
      <c r="K10" s="18">
        <v>1778.8</v>
      </c>
      <c r="L10" s="20"/>
      <c r="M10" s="20"/>
      <c r="N10" s="48"/>
      <c r="O10" s="48"/>
      <c r="P10" s="17"/>
      <c r="Q10" s="20">
        <f t="shared" si="3"/>
        <v>64.63897670700244</v>
      </c>
      <c r="R10" s="18">
        <f t="shared" si="4"/>
        <v>32.30012166112836</v>
      </c>
      <c r="S10" s="18">
        <f t="shared" si="5"/>
        <v>32.30012166112836</v>
      </c>
    </row>
    <row r="11" spans="1:19" ht="12.75">
      <c r="A11" s="12" t="s">
        <v>8</v>
      </c>
      <c r="B11" s="12"/>
      <c r="C11" s="28" t="s">
        <v>5</v>
      </c>
      <c r="D11" s="68">
        <v>44548</v>
      </c>
      <c r="E11" s="68">
        <f t="shared" si="6"/>
        <v>44548</v>
      </c>
      <c r="F11" s="51">
        <f t="shared" si="7"/>
        <v>24950</v>
      </c>
      <c r="G11" s="68">
        <v>7228</v>
      </c>
      <c r="H11" s="68">
        <v>17722</v>
      </c>
      <c r="I11" s="17">
        <v>9409.7</v>
      </c>
      <c r="J11" s="18">
        <v>10188.3</v>
      </c>
      <c r="K11" s="18">
        <v>20426.6</v>
      </c>
      <c r="L11" s="20" t="e">
        <f>K11/#REF!*100</f>
        <v>#REF!</v>
      </c>
      <c r="M11" s="20">
        <f t="shared" si="1"/>
        <v>217.08024697918106</v>
      </c>
      <c r="N11" s="48"/>
      <c r="O11" s="48"/>
      <c r="P11" s="17">
        <f t="shared" si="2"/>
        <v>200.4907590078816</v>
      </c>
      <c r="Q11" s="20">
        <f t="shared" si="3"/>
        <v>81.87014028056112</v>
      </c>
      <c r="R11" s="18">
        <f t="shared" si="4"/>
        <v>45.85301248091945</v>
      </c>
      <c r="S11" s="18">
        <f t="shared" si="5"/>
        <v>45.85301248091945</v>
      </c>
    </row>
    <row r="12" spans="1:19" ht="12.75">
      <c r="A12" s="12" t="s">
        <v>9</v>
      </c>
      <c r="B12" s="12"/>
      <c r="C12" s="28" t="s">
        <v>6</v>
      </c>
      <c r="D12" s="68">
        <v>8214</v>
      </c>
      <c r="E12" s="68">
        <f t="shared" si="6"/>
        <v>8214</v>
      </c>
      <c r="F12" s="51">
        <f t="shared" si="7"/>
        <v>2696.5</v>
      </c>
      <c r="G12" s="68">
        <v>1346.5</v>
      </c>
      <c r="H12" s="68">
        <v>1350</v>
      </c>
      <c r="I12" s="17">
        <v>1350</v>
      </c>
      <c r="J12" s="18">
        <v>4167.5</v>
      </c>
      <c r="K12" s="18">
        <v>2783.6</v>
      </c>
      <c r="L12" s="20" t="e">
        <f>K12/#REF!*100</f>
        <v>#REF!</v>
      </c>
      <c r="M12" s="20">
        <f t="shared" si="1"/>
        <v>206.19259259259258</v>
      </c>
      <c r="N12" s="48"/>
      <c r="O12" s="48"/>
      <c r="P12" s="17">
        <f t="shared" si="2"/>
        <v>66.79304139172166</v>
      </c>
      <c r="Q12" s="20">
        <f t="shared" si="3"/>
        <v>103.2301131095865</v>
      </c>
      <c r="R12" s="18">
        <f t="shared" si="4"/>
        <v>33.88848307767227</v>
      </c>
      <c r="S12" s="18">
        <f t="shared" si="5"/>
        <v>33.88848307767227</v>
      </c>
    </row>
    <row r="13" spans="1:19" ht="12.75">
      <c r="A13" s="12" t="s">
        <v>10</v>
      </c>
      <c r="B13" s="12"/>
      <c r="C13" s="28" t="s">
        <v>21</v>
      </c>
      <c r="D13" s="68">
        <v>3355</v>
      </c>
      <c r="E13" s="68">
        <f t="shared" si="6"/>
        <v>3355</v>
      </c>
      <c r="F13" s="51">
        <f t="shared" si="7"/>
        <v>1670</v>
      </c>
      <c r="G13" s="68">
        <v>830</v>
      </c>
      <c r="H13" s="68">
        <v>840</v>
      </c>
      <c r="I13" s="17">
        <v>840</v>
      </c>
      <c r="J13" s="18">
        <v>845</v>
      </c>
      <c r="K13" s="18">
        <v>1304.9</v>
      </c>
      <c r="L13" s="20" t="e">
        <f>K13/#REF!*100</f>
        <v>#REF!</v>
      </c>
      <c r="M13" s="20">
        <f t="shared" si="1"/>
        <v>155.3452380952381</v>
      </c>
      <c r="N13" s="48"/>
      <c r="O13" s="48"/>
      <c r="P13" s="17">
        <f t="shared" si="2"/>
        <v>154.4260355029586</v>
      </c>
      <c r="Q13" s="20">
        <f t="shared" si="3"/>
        <v>78.13772455089821</v>
      </c>
      <c r="R13" s="18">
        <f t="shared" si="4"/>
        <v>38.894187779433686</v>
      </c>
      <c r="S13" s="18">
        <f t="shared" si="5"/>
        <v>38.894187779433686</v>
      </c>
    </row>
    <row r="14" spans="1:19" ht="21.75" customHeight="1" hidden="1">
      <c r="A14" s="12" t="s">
        <v>37</v>
      </c>
      <c r="B14" s="12"/>
      <c r="C14" s="28" t="s">
        <v>38</v>
      </c>
      <c r="D14" s="68"/>
      <c r="E14" s="68">
        <f t="shared" si="6"/>
        <v>0</v>
      </c>
      <c r="F14" s="51">
        <f t="shared" si="7"/>
        <v>0</v>
      </c>
      <c r="G14" s="68"/>
      <c r="H14" s="68"/>
      <c r="I14" s="17"/>
      <c r="J14" s="18"/>
      <c r="K14" s="18"/>
      <c r="L14" s="20" t="e">
        <f>K14/#REF!*100</f>
        <v>#REF!</v>
      </c>
      <c r="M14" s="20"/>
      <c r="N14" s="48"/>
      <c r="O14" s="48"/>
      <c r="P14" s="17" t="e">
        <f t="shared" si="2"/>
        <v>#DIV/0!</v>
      </c>
      <c r="Q14" s="20"/>
      <c r="R14" s="18"/>
      <c r="S14" s="18" t="e">
        <f t="shared" si="5"/>
        <v>#DIV/0!</v>
      </c>
    </row>
    <row r="15" spans="1:19" ht="24">
      <c r="A15" s="13" t="s">
        <v>11</v>
      </c>
      <c r="B15" s="13"/>
      <c r="C15" s="28" t="s">
        <v>17</v>
      </c>
      <c r="D15" s="68">
        <v>104873.1</v>
      </c>
      <c r="E15" s="68">
        <f t="shared" si="6"/>
        <v>104873.1</v>
      </c>
      <c r="F15" s="51">
        <f t="shared" si="7"/>
        <v>51702.5</v>
      </c>
      <c r="G15" s="68">
        <v>25511</v>
      </c>
      <c r="H15" s="68">
        <v>26191.5</v>
      </c>
      <c r="I15" s="17">
        <v>26489</v>
      </c>
      <c r="J15" s="18">
        <v>26681.6</v>
      </c>
      <c r="K15" s="18">
        <v>28227.4</v>
      </c>
      <c r="L15" s="20" t="e">
        <f>K15/#REF!*100</f>
        <v>#REF!</v>
      </c>
      <c r="M15" s="20">
        <f t="shared" si="1"/>
        <v>106.56272414964702</v>
      </c>
      <c r="N15" s="48"/>
      <c r="O15" s="48"/>
      <c r="P15" s="17">
        <f t="shared" si="2"/>
        <v>105.79350563684338</v>
      </c>
      <c r="Q15" s="20">
        <f t="shared" si="3"/>
        <v>54.59581258159663</v>
      </c>
      <c r="R15" s="18">
        <f t="shared" si="4"/>
        <v>26.91576772308628</v>
      </c>
      <c r="S15" s="18">
        <f t="shared" si="5"/>
        <v>26.91576772308628</v>
      </c>
    </row>
    <row r="16" spans="1:19" ht="12.75">
      <c r="A16" s="29" t="s">
        <v>14</v>
      </c>
      <c r="B16" s="29"/>
      <c r="C16" s="28" t="s">
        <v>13</v>
      </c>
      <c r="D16" s="68">
        <v>9593.1</v>
      </c>
      <c r="E16" s="68">
        <f t="shared" si="6"/>
        <v>9593.1</v>
      </c>
      <c r="F16" s="51">
        <f t="shared" si="7"/>
        <v>4798.6</v>
      </c>
      <c r="G16" s="68">
        <v>2399.3</v>
      </c>
      <c r="H16" s="68">
        <v>2399.3</v>
      </c>
      <c r="I16" s="17">
        <v>2399.3</v>
      </c>
      <c r="J16" s="18">
        <v>2395.2</v>
      </c>
      <c r="K16" s="18">
        <v>17317.6</v>
      </c>
      <c r="L16" s="20" t="e">
        <f>K16/#REF!*100</f>
        <v>#REF!</v>
      </c>
      <c r="M16" s="20">
        <f t="shared" si="1"/>
        <v>721.7771850122951</v>
      </c>
      <c r="N16" s="48"/>
      <c r="O16" s="48"/>
      <c r="P16" s="17">
        <f t="shared" si="2"/>
        <v>723.0126920507681</v>
      </c>
      <c r="Q16" s="20">
        <f t="shared" si="3"/>
        <v>360.8885925061476</v>
      </c>
      <c r="R16" s="18">
        <f t="shared" si="4"/>
        <v>180.5214164347291</v>
      </c>
      <c r="S16" s="18">
        <f t="shared" si="5"/>
        <v>180.5214164347291</v>
      </c>
    </row>
    <row r="17" spans="1:19" ht="24">
      <c r="A17" s="30" t="s">
        <v>42</v>
      </c>
      <c r="B17" s="30"/>
      <c r="C17" s="28" t="s">
        <v>43</v>
      </c>
      <c r="D17" s="68">
        <v>15967.8</v>
      </c>
      <c r="E17" s="68">
        <f t="shared" si="6"/>
        <v>15967.8</v>
      </c>
      <c r="F17" s="51">
        <f t="shared" si="7"/>
        <v>6244.4</v>
      </c>
      <c r="G17" s="68">
        <v>2717</v>
      </c>
      <c r="H17" s="68">
        <v>3527.4</v>
      </c>
      <c r="I17" s="17">
        <v>3213.9</v>
      </c>
      <c r="J17" s="18">
        <v>6509.5</v>
      </c>
      <c r="K17" s="18">
        <v>7121.1</v>
      </c>
      <c r="L17" s="20" t="e">
        <f>K17/#REF!*100</f>
        <v>#REF!</v>
      </c>
      <c r="M17" s="20">
        <f t="shared" si="1"/>
        <v>221.571921963969</v>
      </c>
      <c r="N17" s="48"/>
      <c r="O17" s="48"/>
      <c r="P17" s="17">
        <f t="shared" si="2"/>
        <v>109.39549888624319</v>
      </c>
      <c r="Q17" s="20">
        <f t="shared" si="3"/>
        <v>114.03977964255974</v>
      </c>
      <c r="R17" s="18">
        <f t="shared" si="4"/>
        <v>44.596625709239845</v>
      </c>
      <c r="S17" s="18">
        <f t="shared" si="5"/>
        <v>44.596625709239845</v>
      </c>
    </row>
    <row r="18" spans="1:19" ht="24">
      <c r="A18" s="30" t="s">
        <v>18</v>
      </c>
      <c r="B18" s="30"/>
      <c r="C18" s="28" t="s">
        <v>15</v>
      </c>
      <c r="D18" s="68">
        <v>12538</v>
      </c>
      <c r="E18" s="68">
        <f t="shared" si="6"/>
        <v>15433</v>
      </c>
      <c r="F18" s="51">
        <f t="shared" si="7"/>
        <v>9713.8</v>
      </c>
      <c r="G18" s="68">
        <v>4679.4</v>
      </c>
      <c r="H18" s="68">
        <v>5034.4</v>
      </c>
      <c r="I18" s="17">
        <v>3034.4</v>
      </c>
      <c r="J18" s="18">
        <v>2684.8</v>
      </c>
      <c r="K18" s="18">
        <v>5243</v>
      </c>
      <c r="L18" s="20" t="e">
        <f>K18/#REF!*100</f>
        <v>#REF!</v>
      </c>
      <c r="M18" s="20">
        <f t="shared" si="1"/>
        <v>172.7853941471131</v>
      </c>
      <c r="N18" s="48"/>
      <c r="O18" s="48"/>
      <c r="P18" s="17">
        <f t="shared" si="2"/>
        <v>195.28456495828365</v>
      </c>
      <c r="Q18" s="20">
        <f t="shared" si="3"/>
        <v>53.974757561407486</v>
      </c>
      <c r="R18" s="18">
        <f t="shared" si="4"/>
        <v>33.972655996889785</v>
      </c>
      <c r="S18" s="18">
        <f t="shared" si="5"/>
        <v>41.816876694847664</v>
      </c>
    </row>
    <row r="19" spans="1:19" ht="12.75">
      <c r="A19" s="30" t="s">
        <v>60</v>
      </c>
      <c r="B19" s="30"/>
      <c r="C19" s="28" t="s">
        <v>61</v>
      </c>
      <c r="D19" s="68">
        <v>6</v>
      </c>
      <c r="E19" s="68">
        <f t="shared" si="6"/>
        <v>6</v>
      </c>
      <c r="F19" s="51">
        <f t="shared" si="7"/>
        <v>3</v>
      </c>
      <c r="G19" s="68">
        <v>3</v>
      </c>
      <c r="H19" s="68"/>
      <c r="I19" s="17">
        <v>3</v>
      </c>
      <c r="J19" s="18"/>
      <c r="K19" s="18">
        <v>2.6</v>
      </c>
      <c r="L19" s="20" t="e">
        <f>K19/#REF!*100</f>
        <v>#REF!</v>
      </c>
      <c r="M19" s="20">
        <f t="shared" si="1"/>
        <v>86.66666666666667</v>
      </c>
      <c r="N19" s="48"/>
      <c r="O19" s="48"/>
      <c r="P19" s="17" t="e">
        <f t="shared" si="2"/>
        <v>#DIV/0!</v>
      </c>
      <c r="Q19" s="20">
        <f t="shared" si="3"/>
        <v>86.66666666666667</v>
      </c>
      <c r="R19" s="18">
        <f t="shared" si="4"/>
        <v>43.333333333333336</v>
      </c>
      <c r="S19" s="18">
        <f t="shared" si="5"/>
        <v>43.333333333333336</v>
      </c>
    </row>
    <row r="20" spans="1:19" ht="12.75">
      <c r="A20" s="21" t="s">
        <v>12</v>
      </c>
      <c r="B20" s="21"/>
      <c r="C20" s="28" t="s">
        <v>7</v>
      </c>
      <c r="D20" s="68">
        <v>0</v>
      </c>
      <c r="E20" s="68">
        <f t="shared" si="6"/>
        <v>0</v>
      </c>
      <c r="F20" s="51">
        <f t="shared" si="7"/>
        <v>0</v>
      </c>
      <c r="G20" s="68"/>
      <c r="H20" s="68"/>
      <c r="I20" s="17"/>
      <c r="J20" s="18"/>
      <c r="K20" s="18">
        <v>5954.8</v>
      </c>
      <c r="L20" s="20" t="e">
        <f>K20/#REF!*100</f>
        <v>#REF!</v>
      </c>
      <c r="M20" s="20" t="e">
        <f t="shared" si="1"/>
        <v>#DIV/0!</v>
      </c>
      <c r="N20" s="48"/>
      <c r="O20" s="48"/>
      <c r="P20" s="17" t="e">
        <f t="shared" si="2"/>
        <v>#DIV/0!</v>
      </c>
      <c r="Q20" s="20"/>
      <c r="R20" s="18"/>
      <c r="S20" s="18"/>
    </row>
    <row r="21" spans="1:19" ht="12.75">
      <c r="A21" s="31" t="s">
        <v>39</v>
      </c>
      <c r="B21" s="52"/>
      <c r="C21" s="16" t="s">
        <v>40</v>
      </c>
      <c r="D21" s="68">
        <v>0</v>
      </c>
      <c r="E21" s="68">
        <f t="shared" si="6"/>
        <v>0</v>
      </c>
      <c r="F21" s="51">
        <f t="shared" si="7"/>
        <v>0</v>
      </c>
      <c r="G21" s="68"/>
      <c r="H21" s="68"/>
      <c r="I21" s="17"/>
      <c r="J21" s="18"/>
      <c r="K21" s="18">
        <v>11.8</v>
      </c>
      <c r="L21" s="20"/>
      <c r="M21" s="20" t="e">
        <f t="shared" si="1"/>
        <v>#DIV/0!</v>
      </c>
      <c r="N21" s="48"/>
      <c r="O21" s="48"/>
      <c r="P21" s="17" t="e">
        <f t="shared" si="2"/>
        <v>#DIV/0!</v>
      </c>
      <c r="Q21" s="20"/>
      <c r="R21" s="18"/>
      <c r="S21" s="18"/>
    </row>
    <row r="22" spans="1:19" ht="12.75">
      <c r="A22" s="25" t="s">
        <v>1</v>
      </c>
      <c r="B22" s="25"/>
      <c r="C22" s="32" t="s">
        <v>0</v>
      </c>
      <c r="D22" s="33">
        <f aca="true" t="shared" si="8" ref="D22:J22">D23+D24+D26+D25</f>
        <v>3321098.9</v>
      </c>
      <c r="E22" s="33">
        <f>E23+E24+E26+E25</f>
        <v>3625110.4</v>
      </c>
      <c r="F22" s="33">
        <f t="shared" si="8"/>
        <v>2029663.2</v>
      </c>
      <c r="G22" s="33">
        <f t="shared" si="8"/>
        <v>1061873.7</v>
      </c>
      <c r="H22" s="33">
        <f t="shared" si="8"/>
        <v>967789.5</v>
      </c>
      <c r="I22" s="33">
        <f t="shared" si="8"/>
        <v>807458.1</v>
      </c>
      <c r="J22" s="33">
        <f t="shared" si="8"/>
        <v>787989.1</v>
      </c>
      <c r="K22" s="33">
        <f>K23+K24+K26+K25</f>
        <v>1014435.8</v>
      </c>
      <c r="L22" s="27" t="e">
        <f>K22/#REF!*100</f>
        <v>#REF!</v>
      </c>
      <c r="M22" s="27">
        <f aca="true" t="shared" si="9" ref="M22:M27">K22/I22*100</f>
        <v>125.63324338439357</v>
      </c>
      <c r="N22" s="48"/>
      <c r="O22" s="48"/>
      <c r="P22" s="36">
        <f t="shared" si="2"/>
        <v>128.73728837112088</v>
      </c>
      <c r="Q22" s="27">
        <f t="shared" si="3"/>
        <v>49.98049922765511</v>
      </c>
      <c r="R22" s="24">
        <f t="shared" si="4"/>
        <v>27.98358361720515</v>
      </c>
      <c r="S22" s="24">
        <f t="shared" si="5"/>
        <v>30.545184908525307</v>
      </c>
    </row>
    <row r="23" spans="1:19" ht="24">
      <c r="A23" s="14" t="s">
        <v>66</v>
      </c>
      <c r="B23" s="12"/>
      <c r="C23" s="34" t="s">
        <v>20</v>
      </c>
      <c r="D23" s="37">
        <v>3321098.9</v>
      </c>
      <c r="E23" s="68">
        <f t="shared" si="6"/>
        <v>3602456.1</v>
      </c>
      <c r="F23" s="51">
        <f t="shared" si="7"/>
        <v>2031008.9</v>
      </c>
      <c r="G23" s="68">
        <f>678517.1+387202.3</f>
        <v>1065719.4</v>
      </c>
      <c r="H23" s="68">
        <f>978325.4-13035.9</f>
        <v>965289.5</v>
      </c>
      <c r="I23" s="18">
        <v>785958.1</v>
      </c>
      <c r="J23" s="18">
        <v>785489.1</v>
      </c>
      <c r="K23" s="18">
        <v>1014179.6</v>
      </c>
      <c r="L23" s="20" t="e">
        <f>K23/#REF!*100</f>
        <v>#REF!</v>
      </c>
      <c r="M23" s="20">
        <f t="shared" si="9"/>
        <v>129.0373621698154</v>
      </c>
      <c r="N23" s="48"/>
      <c r="O23" s="48"/>
      <c r="P23" s="17">
        <f t="shared" si="2"/>
        <v>129.11440782564648</v>
      </c>
      <c r="Q23" s="20">
        <f t="shared" si="3"/>
        <v>49.93476887275088</v>
      </c>
      <c r="R23" s="18">
        <f t="shared" si="4"/>
        <v>28.152448547534</v>
      </c>
      <c r="S23" s="18">
        <f t="shared" si="5"/>
        <v>30.537470594446916</v>
      </c>
    </row>
    <row r="24" spans="1:19" ht="18.75" customHeight="1">
      <c r="A24" s="14" t="s">
        <v>85</v>
      </c>
      <c r="B24" s="14"/>
      <c r="C24" s="35" t="s">
        <v>19</v>
      </c>
      <c r="D24" s="69">
        <v>0</v>
      </c>
      <c r="E24" s="68">
        <f t="shared" si="6"/>
        <v>26500</v>
      </c>
      <c r="F24" s="51">
        <f t="shared" si="7"/>
        <v>2500</v>
      </c>
      <c r="G24" s="69"/>
      <c r="H24" s="69">
        <v>2500</v>
      </c>
      <c r="I24" s="18">
        <v>21500</v>
      </c>
      <c r="J24" s="18">
        <v>2500</v>
      </c>
      <c r="K24" s="18">
        <v>4129.9</v>
      </c>
      <c r="L24" s="20" t="e">
        <f>K24/#REF!*100</f>
        <v>#REF!</v>
      </c>
      <c r="M24" s="20">
        <f t="shared" si="9"/>
        <v>19.208837209302324</v>
      </c>
      <c r="N24" s="48"/>
      <c r="O24" s="48"/>
      <c r="P24" s="17">
        <f t="shared" si="2"/>
        <v>165.19599999999997</v>
      </c>
      <c r="Q24" s="20">
        <f>K24*100/F24</f>
        <v>165.19599999999997</v>
      </c>
      <c r="R24" s="18">
        <f>K24*100/E24</f>
        <v>15.58452830188679</v>
      </c>
      <c r="S24" s="18"/>
    </row>
    <row r="25" spans="1:19" ht="46.5" customHeight="1" hidden="1">
      <c r="A25" s="14" t="s">
        <v>84</v>
      </c>
      <c r="B25" s="15" t="s">
        <v>64</v>
      </c>
      <c r="C25" s="16" t="s">
        <v>64</v>
      </c>
      <c r="D25" s="68">
        <v>0</v>
      </c>
      <c r="E25" s="68">
        <f t="shared" si="6"/>
        <v>0</v>
      </c>
      <c r="F25" s="51">
        <f t="shared" si="7"/>
        <v>0</v>
      </c>
      <c r="G25" s="68"/>
      <c r="H25" s="68"/>
      <c r="I25" s="18"/>
      <c r="J25" s="18"/>
      <c r="K25" s="18"/>
      <c r="L25" s="20" t="e">
        <f>K25/#REF!*100</f>
        <v>#REF!</v>
      </c>
      <c r="M25" s="20"/>
      <c r="N25" s="48"/>
      <c r="O25" s="48"/>
      <c r="P25" s="17" t="e">
        <f t="shared" si="2"/>
        <v>#DIV/0!</v>
      </c>
      <c r="Q25" s="20" t="e">
        <f>K25*100/F25</f>
        <v>#DIV/0!</v>
      </c>
      <c r="R25" s="18" t="e">
        <f>K25*100/E25</f>
        <v>#DIV/0!</v>
      </c>
      <c r="S25" s="18"/>
    </row>
    <row r="26" spans="1:19" ht="39" customHeight="1">
      <c r="A26" s="14" t="s">
        <v>65</v>
      </c>
      <c r="B26" s="70"/>
      <c r="C26" s="19" t="s">
        <v>63</v>
      </c>
      <c r="D26" s="71">
        <v>0</v>
      </c>
      <c r="E26" s="68">
        <f t="shared" si="6"/>
        <v>-3845.7</v>
      </c>
      <c r="F26" s="51">
        <f t="shared" si="7"/>
        <v>-3845.7</v>
      </c>
      <c r="G26" s="71">
        <v>-3845.7</v>
      </c>
      <c r="H26" s="71"/>
      <c r="I26" s="18"/>
      <c r="J26" s="18"/>
      <c r="K26" s="18">
        <v>-3873.7</v>
      </c>
      <c r="L26" s="20" t="e">
        <f>K26/#REF!*100</f>
        <v>#REF!</v>
      </c>
      <c r="M26" s="20"/>
      <c r="N26" s="48"/>
      <c r="O26" s="48"/>
      <c r="P26" s="17" t="e">
        <f t="shared" si="2"/>
        <v>#DIV/0!</v>
      </c>
      <c r="Q26" s="20">
        <f>K26*100/F26</f>
        <v>100.72808591413788</v>
      </c>
      <c r="R26" s="18">
        <f>K26*100/E26</f>
        <v>100.72808591413788</v>
      </c>
      <c r="S26" s="18"/>
    </row>
    <row r="27" spans="1:19" ht="12.75">
      <c r="A27" s="21"/>
      <c r="B27" s="22"/>
      <c r="C27" s="23" t="s">
        <v>4</v>
      </c>
      <c r="D27" s="24">
        <f aca="true" t="shared" si="10" ref="D27:K27">D22+D8</f>
        <v>4193978.3</v>
      </c>
      <c r="E27" s="24">
        <f t="shared" si="10"/>
        <v>4500884.8</v>
      </c>
      <c r="F27" s="24">
        <f t="shared" si="10"/>
        <v>2478546.4</v>
      </c>
      <c r="G27" s="24">
        <f t="shared" si="10"/>
        <v>1275153.2</v>
      </c>
      <c r="H27" s="24">
        <f t="shared" si="10"/>
        <v>1203393.2</v>
      </c>
      <c r="I27" s="24">
        <f t="shared" si="10"/>
        <v>1000351.2</v>
      </c>
      <c r="J27" s="24">
        <f t="shared" si="10"/>
        <v>1021987.2</v>
      </c>
      <c r="K27" s="24">
        <f t="shared" si="10"/>
        <v>1322910</v>
      </c>
      <c r="L27" s="27" t="e">
        <f>K27/#REF!*100</f>
        <v>#REF!</v>
      </c>
      <c r="M27" s="27">
        <f t="shared" si="9"/>
        <v>132.24455571203393</v>
      </c>
      <c r="N27" s="48"/>
      <c r="O27" s="49" t="e">
        <f>J27+#REF!+#REF!</f>
        <v>#REF!</v>
      </c>
      <c r="P27" s="36">
        <f t="shared" si="2"/>
        <v>129.44486975962127</v>
      </c>
      <c r="Q27" s="27">
        <f t="shared" si="3"/>
        <v>53.374429463979375</v>
      </c>
      <c r="R27" s="24">
        <f t="shared" si="4"/>
        <v>29.392220836223135</v>
      </c>
      <c r="S27" s="24">
        <f t="shared" si="5"/>
        <v>31.54308166067526</v>
      </c>
    </row>
    <row r="28" spans="1:19" ht="12.75">
      <c r="A28" s="95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7"/>
      <c r="N28" s="48"/>
      <c r="O28" s="48"/>
      <c r="P28" s="47"/>
      <c r="Q28" s="27"/>
      <c r="R28" s="24"/>
      <c r="S28" s="18"/>
    </row>
    <row r="29" spans="1:19" ht="12.75">
      <c r="A29" s="86" t="s">
        <v>25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8"/>
    </row>
    <row r="30" spans="1:19" ht="12.75">
      <c r="A30" s="25" t="s">
        <v>3</v>
      </c>
      <c r="B30" s="25"/>
      <c r="C30" s="26" t="s">
        <v>67</v>
      </c>
      <c r="D30" s="27">
        <f aca="true" t="shared" si="11" ref="D30:J30">D31+D33+D35+D37+D34+D36+D39+D32</f>
        <v>18956.600000000002</v>
      </c>
      <c r="E30" s="27">
        <f t="shared" si="11"/>
        <v>18956.600000000002</v>
      </c>
      <c r="F30" s="27">
        <f t="shared" si="11"/>
        <v>9478.3</v>
      </c>
      <c r="G30" s="27">
        <f t="shared" si="11"/>
        <v>4739.099999999999</v>
      </c>
      <c r="H30" s="27">
        <f t="shared" si="11"/>
        <v>4739.2</v>
      </c>
      <c r="I30" s="27">
        <f t="shared" si="11"/>
        <v>4739.099999999999</v>
      </c>
      <c r="J30" s="27">
        <f t="shared" si="11"/>
        <v>4739.2</v>
      </c>
      <c r="K30" s="27">
        <f>K31+K33+K35+K37+K34+K36+K39+K32+K38</f>
        <v>6749.2</v>
      </c>
      <c r="L30" s="27" t="e">
        <f>K30/#REF!*100</f>
        <v>#REF!</v>
      </c>
      <c r="M30" s="27">
        <f aca="true" t="shared" si="12" ref="M30:M37">K30/I30*100</f>
        <v>142.41522651980335</v>
      </c>
      <c r="N30" s="48"/>
      <c r="O30" s="48"/>
      <c r="P30" s="27">
        <f t="shared" si="2"/>
        <v>142.4122214719784</v>
      </c>
      <c r="Q30" s="27">
        <f t="shared" si="3"/>
        <v>71.20686199001932</v>
      </c>
      <c r="R30" s="24">
        <f t="shared" si="4"/>
        <v>35.60343099500965</v>
      </c>
      <c r="S30" s="24">
        <f t="shared" si="5"/>
        <v>35.60343099500965</v>
      </c>
    </row>
    <row r="31" spans="1:19" ht="12.75">
      <c r="A31" s="12" t="s">
        <v>23</v>
      </c>
      <c r="B31" s="12"/>
      <c r="C31" s="66" t="s">
        <v>22</v>
      </c>
      <c r="D31" s="51">
        <v>14500</v>
      </c>
      <c r="E31" s="68">
        <f aca="true" t="shared" si="13" ref="E31:E37">G31+H31+I31+J31</f>
        <v>14500</v>
      </c>
      <c r="F31" s="51">
        <f>G31+H31</f>
        <v>7250</v>
      </c>
      <c r="G31" s="51">
        <v>3625</v>
      </c>
      <c r="H31" s="51">
        <v>3625</v>
      </c>
      <c r="I31" s="17">
        <v>3625</v>
      </c>
      <c r="J31" s="18">
        <v>3625</v>
      </c>
      <c r="K31" s="67">
        <v>5242.8</v>
      </c>
      <c r="L31" s="20" t="e">
        <f>K31/#REF!*100</f>
        <v>#REF!</v>
      </c>
      <c r="M31" s="20">
        <f t="shared" si="12"/>
        <v>144.62896551724137</v>
      </c>
      <c r="N31" s="48"/>
      <c r="O31" s="48"/>
      <c r="P31" s="17">
        <f t="shared" si="2"/>
        <v>144.62896551724137</v>
      </c>
      <c r="Q31" s="20">
        <f>K31*100/F31</f>
        <v>72.31448275862068</v>
      </c>
      <c r="R31" s="18">
        <f t="shared" si="4"/>
        <v>36.15724137931034</v>
      </c>
      <c r="S31" s="18">
        <f t="shared" si="5"/>
        <v>36.15724137931034</v>
      </c>
    </row>
    <row r="32" spans="1:19" ht="12.75">
      <c r="A32" s="12" t="s">
        <v>69</v>
      </c>
      <c r="B32" s="12"/>
      <c r="C32" s="28" t="s">
        <v>70</v>
      </c>
      <c r="D32" s="68">
        <v>1652.9</v>
      </c>
      <c r="E32" s="68">
        <f t="shared" si="13"/>
        <v>1652.9</v>
      </c>
      <c r="F32" s="51">
        <f aca="true" t="shared" si="14" ref="F32:F41">G32+H32</f>
        <v>826.5</v>
      </c>
      <c r="G32" s="51">
        <v>413.2</v>
      </c>
      <c r="H32" s="51">
        <v>413.3</v>
      </c>
      <c r="I32" s="17">
        <v>413.2</v>
      </c>
      <c r="J32" s="18">
        <v>413.2</v>
      </c>
      <c r="K32" s="67">
        <v>533.8</v>
      </c>
      <c r="L32" s="20"/>
      <c r="M32" s="20"/>
      <c r="N32" s="48"/>
      <c r="O32" s="48"/>
      <c r="P32" s="17"/>
      <c r="Q32" s="20">
        <f>K32*100/F32</f>
        <v>64.58560193587417</v>
      </c>
      <c r="R32" s="18">
        <f>K32*100/E32</f>
        <v>32.29475467360396</v>
      </c>
      <c r="S32" s="18">
        <f t="shared" si="5"/>
        <v>32.29475467360396</v>
      </c>
    </row>
    <row r="33" spans="1:19" ht="12.75">
      <c r="A33" s="12" t="s">
        <v>9</v>
      </c>
      <c r="B33" s="12"/>
      <c r="C33" s="28" t="s">
        <v>6</v>
      </c>
      <c r="D33" s="68">
        <v>956.5</v>
      </c>
      <c r="E33" s="68">
        <f t="shared" si="13"/>
        <v>956.5</v>
      </c>
      <c r="F33" s="51">
        <f t="shared" si="14"/>
        <v>478.2</v>
      </c>
      <c r="G33" s="68">
        <v>239.1</v>
      </c>
      <c r="H33" s="68">
        <v>239.1</v>
      </c>
      <c r="I33" s="17">
        <v>239.1</v>
      </c>
      <c r="J33" s="18">
        <v>239.2</v>
      </c>
      <c r="K33" s="18">
        <v>382.5</v>
      </c>
      <c r="L33" s="20" t="e">
        <f>K33/#REF!*100</f>
        <v>#REF!</v>
      </c>
      <c r="M33" s="20">
        <f t="shared" si="12"/>
        <v>159.97490589711418</v>
      </c>
      <c r="N33" s="48"/>
      <c r="O33" s="48"/>
      <c r="P33" s="17">
        <f t="shared" si="2"/>
        <v>159.90802675585286</v>
      </c>
      <c r="Q33" s="20">
        <f t="shared" si="3"/>
        <v>79.98745294855709</v>
      </c>
      <c r="R33" s="18">
        <f t="shared" si="4"/>
        <v>39.98954521693675</v>
      </c>
      <c r="S33" s="18">
        <f t="shared" si="5"/>
        <v>39.98954521693675</v>
      </c>
    </row>
    <row r="34" spans="1:19" ht="12.75">
      <c r="A34" s="12" t="s">
        <v>10</v>
      </c>
      <c r="B34" s="12"/>
      <c r="C34" s="28" t="s">
        <v>21</v>
      </c>
      <c r="D34" s="68">
        <v>12</v>
      </c>
      <c r="E34" s="68">
        <f t="shared" si="13"/>
        <v>12</v>
      </c>
      <c r="F34" s="51">
        <f t="shared" si="14"/>
        <v>6</v>
      </c>
      <c r="G34" s="68">
        <v>3</v>
      </c>
      <c r="H34" s="68">
        <v>3</v>
      </c>
      <c r="I34" s="17">
        <v>3</v>
      </c>
      <c r="J34" s="18">
        <v>3</v>
      </c>
      <c r="K34" s="18">
        <v>4.2</v>
      </c>
      <c r="L34" s="20" t="e">
        <f>K34/#REF!*100</f>
        <v>#REF!</v>
      </c>
      <c r="M34" s="20">
        <f t="shared" si="12"/>
        <v>140</v>
      </c>
      <c r="N34" s="48"/>
      <c r="O34" s="48"/>
      <c r="P34" s="17">
        <f t="shared" si="2"/>
        <v>140</v>
      </c>
      <c r="Q34" s="20">
        <f t="shared" si="3"/>
        <v>70</v>
      </c>
      <c r="R34" s="18">
        <f t="shared" si="4"/>
        <v>35</v>
      </c>
      <c r="S34" s="18">
        <f t="shared" si="5"/>
        <v>35</v>
      </c>
    </row>
    <row r="35" spans="1:19" ht="24">
      <c r="A35" s="13" t="s">
        <v>11</v>
      </c>
      <c r="B35" s="13"/>
      <c r="C35" s="28" t="s">
        <v>17</v>
      </c>
      <c r="D35" s="68">
        <v>1735.2</v>
      </c>
      <c r="E35" s="68">
        <f t="shared" si="13"/>
        <v>1735.2</v>
      </c>
      <c r="F35" s="51">
        <f t="shared" si="14"/>
        <v>867.6</v>
      </c>
      <c r="G35" s="68">
        <v>433.8</v>
      </c>
      <c r="H35" s="68">
        <v>433.8</v>
      </c>
      <c r="I35" s="17">
        <v>433.8</v>
      </c>
      <c r="J35" s="18">
        <v>433.8</v>
      </c>
      <c r="K35" s="18">
        <v>295.4</v>
      </c>
      <c r="L35" s="20" t="e">
        <f>K35/#REF!*100</f>
        <v>#REF!</v>
      </c>
      <c r="M35" s="20">
        <f t="shared" si="12"/>
        <v>68.0958967266021</v>
      </c>
      <c r="N35" s="48"/>
      <c r="O35" s="48"/>
      <c r="P35" s="17">
        <f t="shared" si="2"/>
        <v>68.0958967266021</v>
      </c>
      <c r="Q35" s="20">
        <f t="shared" si="3"/>
        <v>34.04794836330105</v>
      </c>
      <c r="R35" s="18">
        <f t="shared" si="4"/>
        <v>17.023974181650527</v>
      </c>
      <c r="S35" s="18">
        <f t="shared" si="5"/>
        <v>17.023974181650527</v>
      </c>
    </row>
    <row r="36" spans="1:19" ht="12" customHeight="1">
      <c r="A36" s="30" t="s">
        <v>42</v>
      </c>
      <c r="B36" s="30"/>
      <c r="C36" s="28" t="s">
        <v>43</v>
      </c>
      <c r="D36" s="68"/>
      <c r="E36" s="68">
        <f t="shared" si="13"/>
        <v>0</v>
      </c>
      <c r="F36" s="51">
        <f t="shared" si="14"/>
        <v>0</v>
      </c>
      <c r="G36" s="68"/>
      <c r="H36" s="68"/>
      <c r="I36" s="17"/>
      <c r="J36" s="18"/>
      <c r="K36" s="18">
        <v>287</v>
      </c>
      <c r="L36" s="20"/>
      <c r="M36" s="20" t="e">
        <f t="shared" si="12"/>
        <v>#DIV/0!</v>
      </c>
      <c r="N36" s="48"/>
      <c r="O36" s="48"/>
      <c r="P36" s="17" t="e">
        <f t="shared" si="2"/>
        <v>#DIV/0!</v>
      </c>
      <c r="Q36" s="20"/>
      <c r="R36" s="18"/>
      <c r="S36" s="18"/>
    </row>
    <row r="37" spans="1:19" ht="13.5" customHeight="1">
      <c r="A37" s="29" t="s">
        <v>18</v>
      </c>
      <c r="B37" s="29"/>
      <c r="C37" s="28" t="s">
        <v>15</v>
      </c>
      <c r="D37" s="68">
        <v>100</v>
      </c>
      <c r="E37" s="68">
        <f t="shared" si="13"/>
        <v>100</v>
      </c>
      <c r="F37" s="51">
        <f t="shared" si="14"/>
        <v>50</v>
      </c>
      <c r="G37" s="68">
        <v>25</v>
      </c>
      <c r="H37" s="68">
        <v>25</v>
      </c>
      <c r="I37" s="17">
        <v>25</v>
      </c>
      <c r="J37" s="18">
        <v>25</v>
      </c>
      <c r="K37" s="18">
        <v>3.5</v>
      </c>
      <c r="L37" s="20" t="e">
        <f>K37/#REF!*100</f>
        <v>#REF!</v>
      </c>
      <c r="M37" s="20">
        <f t="shared" si="12"/>
        <v>14.000000000000002</v>
      </c>
      <c r="N37" s="48"/>
      <c r="O37" s="48"/>
      <c r="P37" s="17">
        <f t="shared" si="2"/>
        <v>14</v>
      </c>
      <c r="Q37" s="20">
        <f t="shared" si="3"/>
        <v>7</v>
      </c>
      <c r="R37" s="18">
        <f t="shared" si="4"/>
        <v>3.5</v>
      </c>
      <c r="S37" s="18">
        <f t="shared" si="5"/>
        <v>3.5</v>
      </c>
    </row>
    <row r="38" spans="1:19" ht="14.25" customHeight="1" hidden="1">
      <c r="A38" s="21" t="s">
        <v>12</v>
      </c>
      <c r="B38" s="54"/>
      <c r="C38" s="28" t="s">
        <v>7</v>
      </c>
      <c r="D38" s="72"/>
      <c r="E38" s="68"/>
      <c r="F38" s="51">
        <f t="shared" si="14"/>
        <v>0</v>
      </c>
      <c r="G38" s="68"/>
      <c r="H38" s="68"/>
      <c r="I38" s="17"/>
      <c r="J38" s="18"/>
      <c r="K38" s="18"/>
      <c r="L38" s="20"/>
      <c r="M38" s="20"/>
      <c r="N38" s="48"/>
      <c r="O38" s="48"/>
      <c r="P38" s="17"/>
      <c r="Q38" s="20"/>
      <c r="R38" s="18"/>
      <c r="S38" s="18"/>
    </row>
    <row r="39" spans="1:19" ht="15.75" customHeight="1">
      <c r="A39" s="31" t="s">
        <v>39</v>
      </c>
      <c r="B39" s="52"/>
      <c r="C39" s="16" t="s">
        <v>40</v>
      </c>
      <c r="D39" s="72"/>
      <c r="E39" s="28"/>
      <c r="F39" s="51">
        <f t="shared" si="14"/>
        <v>0</v>
      </c>
      <c r="G39" s="68"/>
      <c r="H39" s="68"/>
      <c r="I39" s="17"/>
      <c r="J39" s="18"/>
      <c r="K39" s="18">
        <v>0</v>
      </c>
      <c r="L39" s="20"/>
      <c r="M39" s="20"/>
      <c r="N39" s="48"/>
      <c r="O39" s="48"/>
      <c r="P39" s="17" t="e">
        <f t="shared" si="2"/>
        <v>#DIV/0!</v>
      </c>
      <c r="Q39" s="27"/>
      <c r="R39" s="24"/>
      <c r="S39" s="18"/>
    </row>
    <row r="40" spans="1:19" ht="12.75">
      <c r="A40" s="25" t="s">
        <v>1</v>
      </c>
      <c r="B40" s="25"/>
      <c r="C40" s="32" t="s">
        <v>0</v>
      </c>
      <c r="D40" s="33">
        <f>D41+D42</f>
        <v>13568.4</v>
      </c>
      <c r="E40" s="33">
        <f>E41+E42</f>
        <v>22427.3</v>
      </c>
      <c r="F40" s="33">
        <f aca="true" t="shared" si="15" ref="F40:K40">F41+F42</f>
        <v>15643.1</v>
      </c>
      <c r="G40" s="33">
        <f t="shared" si="15"/>
        <v>6660</v>
      </c>
      <c r="H40" s="33">
        <f t="shared" si="15"/>
        <v>8983.1</v>
      </c>
      <c r="I40" s="33">
        <f t="shared" si="15"/>
        <v>3392.1</v>
      </c>
      <c r="J40" s="33">
        <f t="shared" si="15"/>
        <v>3392.1</v>
      </c>
      <c r="K40" s="33">
        <f t="shared" si="15"/>
        <v>7162.5</v>
      </c>
      <c r="L40" s="33" t="e">
        <f>L41</f>
        <v>#REF!</v>
      </c>
      <c r="M40" s="27">
        <f>K40/I40*100</f>
        <v>211.1523834792606</v>
      </c>
      <c r="N40" s="48"/>
      <c r="O40" s="48"/>
      <c r="P40" s="36">
        <f t="shared" si="2"/>
        <v>211.15238347926064</v>
      </c>
      <c r="Q40" s="27">
        <f t="shared" si="3"/>
        <v>45.78696038508991</v>
      </c>
      <c r="R40" s="24">
        <f t="shared" si="4"/>
        <v>31.93652379020212</v>
      </c>
      <c r="S40" s="24">
        <f t="shared" si="5"/>
        <v>52.78809586981516</v>
      </c>
    </row>
    <row r="41" spans="1:19" ht="24">
      <c r="A41" s="14" t="s">
        <v>66</v>
      </c>
      <c r="B41" s="12"/>
      <c r="C41" s="34" t="s">
        <v>20</v>
      </c>
      <c r="D41" s="37">
        <v>13568.4</v>
      </c>
      <c r="E41" s="68">
        <f>G41+H41+I41+J41</f>
        <v>22427.3</v>
      </c>
      <c r="F41" s="51">
        <f t="shared" si="14"/>
        <v>15643.1</v>
      </c>
      <c r="G41" s="37">
        <f>6585+75</f>
        <v>6660</v>
      </c>
      <c r="H41" s="37">
        <f>3392.1+5591</f>
        <v>8983.1</v>
      </c>
      <c r="I41" s="17">
        <v>3392.1</v>
      </c>
      <c r="J41" s="37">
        <v>3392.1</v>
      </c>
      <c r="K41" s="18">
        <f>7162.4+0.1</f>
        <v>7162.5</v>
      </c>
      <c r="L41" s="20" t="e">
        <f>K41/#REF!*100</f>
        <v>#REF!</v>
      </c>
      <c r="M41" s="20">
        <f>K41/I41*100</f>
        <v>211.1523834792606</v>
      </c>
      <c r="N41" s="48"/>
      <c r="O41" s="48"/>
      <c r="P41" s="17">
        <f t="shared" si="2"/>
        <v>211.15238347926064</v>
      </c>
      <c r="Q41" s="20">
        <f t="shared" si="3"/>
        <v>45.78696038508991</v>
      </c>
      <c r="R41" s="18">
        <f t="shared" si="4"/>
        <v>31.93652379020212</v>
      </c>
      <c r="S41" s="18">
        <f t="shared" si="5"/>
        <v>52.78809586981516</v>
      </c>
    </row>
    <row r="42" spans="1:19" ht="30" customHeight="1" hidden="1">
      <c r="A42" s="14" t="s">
        <v>65</v>
      </c>
      <c r="B42" s="70"/>
      <c r="C42" s="19" t="s">
        <v>63</v>
      </c>
      <c r="D42" s="71">
        <v>0</v>
      </c>
      <c r="E42" s="68">
        <f>G42+H42+I42+J42</f>
        <v>0</v>
      </c>
      <c r="F42" s="51">
        <f>G42</f>
        <v>0</v>
      </c>
      <c r="G42" s="37"/>
      <c r="H42" s="37"/>
      <c r="I42" s="17"/>
      <c r="J42" s="37"/>
      <c r="K42" s="18"/>
      <c r="L42" s="20"/>
      <c r="M42" s="20"/>
      <c r="N42" s="48"/>
      <c r="O42" s="48"/>
      <c r="P42" s="17"/>
      <c r="Q42" s="20" t="e">
        <f t="shared" si="3"/>
        <v>#DIV/0!</v>
      </c>
      <c r="R42" s="18" t="e">
        <f t="shared" si="4"/>
        <v>#DIV/0!</v>
      </c>
      <c r="S42" s="18"/>
    </row>
    <row r="43" spans="1:19" ht="12.75">
      <c r="A43" s="21"/>
      <c r="B43" s="22"/>
      <c r="C43" s="23" t="s">
        <v>4</v>
      </c>
      <c r="D43" s="24">
        <f aca="true" t="shared" si="16" ref="D43:J43">D40+D30</f>
        <v>32525</v>
      </c>
      <c r="E43" s="24">
        <f t="shared" si="16"/>
        <v>41383.9</v>
      </c>
      <c r="F43" s="24">
        <f t="shared" si="16"/>
        <v>25121.4</v>
      </c>
      <c r="G43" s="24">
        <f t="shared" si="16"/>
        <v>11399.099999999999</v>
      </c>
      <c r="H43" s="24">
        <f t="shared" si="16"/>
        <v>13722.3</v>
      </c>
      <c r="I43" s="24">
        <f t="shared" si="16"/>
        <v>8131.199999999999</v>
      </c>
      <c r="J43" s="24">
        <f t="shared" si="16"/>
        <v>8131.299999999999</v>
      </c>
      <c r="K43" s="24">
        <f>K40+K30</f>
        <v>13911.7</v>
      </c>
      <c r="L43" s="27" t="e">
        <f>K43/#REF!*100</f>
        <v>#REF!</v>
      </c>
      <c r="M43" s="27">
        <f>K43/I43*100</f>
        <v>171.09036796536802</v>
      </c>
      <c r="N43" s="48"/>
      <c r="O43" s="49" t="e">
        <f>J43+#REF!+#REF!</f>
        <v>#REF!</v>
      </c>
      <c r="P43" s="36">
        <f t="shared" si="2"/>
        <v>171.08826386924602</v>
      </c>
      <c r="Q43" s="27">
        <f t="shared" si="3"/>
        <v>55.377884990486194</v>
      </c>
      <c r="R43" s="24">
        <f t="shared" si="4"/>
        <v>33.616213068367166</v>
      </c>
      <c r="S43" s="24">
        <f t="shared" si="5"/>
        <v>42.772328977709456</v>
      </c>
    </row>
    <row r="44" spans="1:19" ht="12.75">
      <c r="A44" s="73"/>
      <c r="B44" s="74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4"/>
      <c r="N44" s="48"/>
      <c r="O44" s="48"/>
      <c r="P44" s="47"/>
      <c r="Q44" s="27"/>
      <c r="R44" s="24"/>
      <c r="S44" s="18"/>
    </row>
    <row r="45" spans="1:19" ht="12.75">
      <c r="A45" s="86" t="s">
        <v>26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8"/>
    </row>
    <row r="46" spans="1:19" ht="12.75">
      <c r="A46" s="25" t="s">
        <v>3</v>
      </c>
      <c r="B46" s="25"/>
      <c r="C46" s="26" t="s">
        <v>67</v>
      </c>
      <c r="D46" s="27">
        <f>D47+D50+D52+D54+D55+D56+D51+D49+D48+D53</f>
        <v>21958.699999999997</v>
      </c>
      <c r="E46" s="27">
        <f>E47+E50+E52+E54+E55+E56+E51+E49+E48+E53</f>
        <v>21958.699999999997</v>
      </c>
      <c r="F46" s="27">
        <f aca="true" t="shared" si="17" ref="F46:K46">F47+F50+F52+F54+F55+F56+F51+F49+F48+F53</f>
        <v>9777.8</v>
      </c>
      <c r="G46" s="27">
        <f t="shared" si="17"/>
        <v>4583.6</v>
      </c>
      <c r="H46" s="27">
        <f t="shared" si="17"/>
        <v>5194.2</v>
      </c>
      <c r="I46" s="27">
        <f t="shared" si="17"/>
        <v>4626.4</v>
      </c>
      <c r="J46" s="27">
        <f t="shared" si="17"/>
        <v>7554.5</v>
      </c>
      <c r="K46" s="27">
        <f t="shared" si="17"/>
        <v>6823.400000000001</v>
      </c>
      <c r="L46" s="27" t="e">
        <f>K46/#REF!*100</f>
        <v>#REF!</v>
      </c>
      <c r="M46" s="27">
        <f>K46/I46*100</f>
        <v>147.4883278575134</v>
      </c>
      <c r="N46" s="48"/>
      <c r="O46" s="48"/>
      <c r="P46" s="27">
        <f t="shared" si="2"/>
        <v>90.32232444238534</v>
      </c>
      <c r="Q46" s="27">
        <f t="shared" si="3"/>
        <v>69.78461412587698</v>
      </c>
      <c r="R46" s="24">
        <f t="shared" si="4"/>
        <v>31.073788521178397</v>
      </c>
      <c r="S46" s="24">
        <f t="shared" si="5"/>
        <v>31.073788521178397</v>
      </c>
    </row>
    <row r="47" spans="1:19" ht="12.75">
      <c r="A47" s="21" t="s">
        <v>23</v>
      </c>
      <c r="B47" s="12"/>
      <c r="C47" s="66" t="s">
        <v>22</v>
      </c>
      <c r="D47" s="51">
        <v>14200</v>
      </c>
      <c r="E47" s="68">
        <f aca="true" t="shared" si="18" ref="E47:E60">G47+H47+I47+J47</f>
        <v>14200</v>
      </c>
      <c r="F47" s="51">
        <f>G47+H47</f>
        <v>7157</v>
      </c>
      <c r="G47" s="68">
        <v>3213</v>
      </c>
      <c r="H47" s="68">
        <v>3944</v>
      </c>
      <c r="I47" s="17">
        <v>2923.5</v>
      </c>
      <c r="J47" s="18">
        <v>4119.5</v>
      </c>
      <c r="K47" s="67">
        <v>4413.8</v>
      </c>
      <c r="L47" s="20" t="e">
        <f>K47/#REF!*100</f>
        <v>#REF!</v>
      </c>
      <c r="M47" s="20">
        <f>K47/I47*100</f>
        <v>150.97656918077647</v>
      </c>
      <c r="N47" s="48"/>
      <c r="O47" s="48"/>
      <c r="P47" s="17">
        <f t="shared" si="2"/>
        <v>107.14407088238863</v>
      </c>
      <c r="Q47" s="20">
        <f t="shared" si="3"/>
        <v>61.6710912393461</v>
      </c>
      <c r="R47" s="18">
        <f t="shared" si="4"/>
        <v>31.083098591549295</v>
      </c>
      <c r="S47" s="18">
        <f t="shared" si="5"/>
        <v>31.083098591549295</v>
      </c>
    </row>
    <row r="48" spans="1:19" ht="12.75">
      <c r="A48" s="12" t="s">
        <v>69</v>
      </c>
      <c r="B48" s="12"/>
      <c r="C48" s="28" t="s">
        <v>70</v>
      </c>
      <c r="D48" s="68">
        <v>3866.1</v>
      </c>
      <c r="E48" s="68">
        <f t="shared" si="18"/>
        <v>3866.1000000000004</v>
      </c>
      <c r="F48" s="51">
        <f aca="true" t="shared" si="19" ref="F48:F59">G48+H48</f>
        <v>1872.5</v>
      </c>
      <c r="G48" s="68">
        <v>959.6</v>
      </c>
      <c r="H48" s="68">
        <v>912.9</v>
      </c>
      <c r="I48" s="17">
        <v>1001.9</v>
      </c>
      <c r="J48" s="18">
        <v>991.7</v>
      </c>
      <c r="K48" s="67">
        <v>1248.7</v>
      </c>
      <c r="L48" s="20"/>
      <c r="M48" s="20"/>
      <c r="N48" s="48"/>
      <c r="O48" s="48"/>
      <c r="P48" s="17"/>
      <c r="Q48" s="20">
        <f>K48*100/F48</f>
        <v>66.68624833110815</v>
      </c>
      <c r="R48" s="18">
        <f>K48*100/E48</f>
        <v>32.29869894725951</v>
      </c>
      <c r="S48" s="18">
        <f t="shared" si="5"/>
        <v>32.29869894725951</v>
      </c>
    </row>
    <row r="49" spans="1:19" ht="12.75">
      <c r="A49" s="12" t="s">
        <v>8</v>
      </c>
      <c r="B49" s="12"/>
      <c r="C49" s="28" t="s">
        <v>5</v>
      </c>
      <c r="D49" s="68">
        <v>16</v>
      </c>
      <c r="E49" s="68">
        <f t="shared" si="18"/>
        <v>16</v>
      </c>
      <c r="F49" s="51">
        <f t="shared" si="19"/>
        <v>16</v>
      </c>
      <c r="G49" s="68"/>
      <c r="H49" s="68">
        <v>16</v>
      </c>
      <c r="I49" s="17"/>
      <c r="J49" s="18"/>
      <c r="K49" s="67">
        <v>25.1</v>
      </c>
      <c r="L49" s="20" t="e">
        <f>K49/#REF!*100</f>
        <v>#REF!</v>
      </c>
      <c r="M49" s="20" t="e">
        <f>K49/I49*100</f>
        <v>#DIV/0!</v>
      </c>
      <c r="N49" s="48"/>
      <c r="O49" s="48"/>
      <c r="P49" s="17" t="e">
        <f t="shared" si="2"/>
        <v>#DIV/0!</v>
      </c>
      <c r="Q49" s="20"/>
      <c r="R49" s="18">
        <f t="shared" si="4"/>
        <v>156.875</v>
      </c>
      <c r="S49" s="18">
        <f t="shared" si="5"/>
        <v>156.875</v>
      </c>
    </row>
    <row r="50" spans="1:19" ht="13.5" customHeight="1">
      <c r="A50" s="12" t="s">
        <v>9</v>
      </c>
      <c r="B50" s="12"/>
      <c r="C50" s="28" t="s">
        <v>6</v>
      </c>
      <c r="D50" s="68">
        <v>3028.5</v>
      </c>
      <c r="E50" s="68">
        <f t="shared" si="18"/>
        <v>3028.5</v>
      </c>
      <c r="F50" s="51">
        <f t="shared" si="19"/>
        <v>543</v>
      </c>
      <c r="G50" s="68">
        <v>316</v>
      </c>
      <c r="H50" s="68">
        <v>227</v>
      </c>
      <c r="I50" s="17">
        <v>408</v>
      </c>
      <c r="J50" s="18">
        <v>2077.5</v>
      </c>
      <c r="K50" s="18">
        <v>719.9</v>
      </c>
      <c r="L50" s="20" t="e">
        <f>K50/#REF!*100</f>
        <v>#REF!</v>
      </c>
      <c r="M50" s="20">
        <f>K50/I50*100</f>
        <v>176.44607843137254</v>
      </c>
      <c r="N50" s="48"/>
      <c r="O50" s="48"/>
      <c r="P50" s="17">
        <f t="shared" si="2"/>
        <v>34.65222623345367</v>
      </c>
      <c r="Q50" s="20">
        <f t="shared" si="3"/>
        <v>132.57826887661142</v>
      </c>
      <c r="R50" s="18">
        <f t="shared" si="4"/>
        <v>23.770843651972925</v>
      </c>
      <c r="S50" s="18">
        <f t="shared" si="5"/>
        <v>23.770843651972925</v>
      </c>
    </row>
    <row r="51" spans="1:19" ht="12.75" hidden="1">
      <c r="A51" s="12" t="s">
        <v>10</v>
      </c>
      <c r="B51" s="12"/>
      <c r="C51" s="28" t="s">
        <v>21</v>
      </c>
      <c r="D51" s="68"/>
      <c r="E51" s="68">
        <f t="shared" si="18"/>
        <v>0</v>
      </c>
      <c r="F51" s="51">
        <f t="shared" si="19"/>
        <v>0</v>
      </c>
      <c r="G51" s="68"/>
      <c r="H51" s="68"/>
      <c r="I51" s="17"/>
      <c r="J51" s="18"/>
      <c r="K51" s="18"/>
      <c r="L51" s="20"/>
      <c r="M51" s="20"/>
      <c r="N51" s="48"/>
      <c r="O51" s="48"/>
      <c r="P51" s="17" t="e">
        <f t="shared" si="2"/>
        <v>#DIV/0!</v>
      </c>
      <c r="Q51" s="20" t="e">
        <f t="shared" si="3"/>
        <v>#DIV/0!</v>
      </c>
      <c r="R51" s="18" t="e">
        <f t="shared" si="4"/>
        <v>#DIV/0!</v>
      </c>
      <c r="S51" s="18" t="e">
        <f t="shared" si="5"/>
        <v>#DIV/0!</v>
      </c>
    </row>
    <row r="52" spans="1:19" ht="24">
      <c r="A52" s="13" t="s">
        <v>11</v>
      </c>
      <c r="B52" s="13"/>
      <c r="C52" s="28" t="s">
        <v>17</v>
      </c>
      <c r="D52" s="68">
        <v>698.1</v>
      </c>
      <c r="E52" s="68">
        <f t="shared" si="18"/>
        <v>698.1</v>
      </c>
      <c r="F52" s="51">
        <f t="shared" si="19"/>
        <v>148.8</v>
      </c>
      <c r="G52" s="68">
        <v>66</v>
      </c>
      <c r="H52" s="68">
        <v>82.8</v>
      </c>
      <c r="I52" s="17">
        <v>204</v>
      </c>
      <c r="J52" s="18">
        <v>345.3</v>
      </c>
      <c r="K52" s="18">
        <v>278.8</v>
      </c>
      <c r="L52" s="20" t="e">
        <f>K52/#REF!*100</f>
        <v>#REF!</v>
      </c>
      <c r="M52" s="20">
        <f>K52/I52*100</f>
        <v>136.66666666666666</v>
      </c>
      <c r="N52" s="48"/>
      <c r="O52" s="48"/>
      <c r="P52" s="17">
        <f t="shared" si="2"/>
        <v>80.74138430350419</v>
      </c>
      <c r="Q52" s="20">
        <f t="shared" si="3"/>
        <v>187.36559139784944</v>
      </c>
      <c r="R52" s="18">
        <f t="shared" si="4"/>
        <v>39.936971780547196</v>
      </c>
      <c r="S52" s="18">
        <f t="shared" si="5"/>
        <v>39.936971780547196</v>
      </c>
    </row>
    <row r="53" spans="1:19" ht="24">
      <c r="A53" s="30" t="s">
        <v>42</v>
      </c>
      <c r="B53" s="30"/>
      <c r="C53" s="28" t="s">
        <v>43</v>
      </c>
      <c r="D53" s="68"/>
      <c r="E53" s="68"/>
      <c r="F53" s="51">
        <f t="shared" si="19"/>
        <v>0</v>
      </c>
      <c r="G53" s="68"/>
      <c r="H53" s="68"/>
      <c r="I53" s="17"/>
      <c r="J53" s="18"/>
      <c r="K53" s="18">
        <v>129.3</v>
      </c>
      <c r="L53" s="20"/>
      <c r="M53" s="20"/>
      <c r="N53" s="48"/>
      <c r="O53" s="48"/>
      <c r="P53" s="17"/>
      <c r="Q53" s="20"/>
      <c r="R53" s="18"/>
      <c r="S53" s="18"/>
    </row>
    <row r="54" spans="1:19" ht="24">
      <c r="A54" s="30" t="s">
        <v>18</v>
      </c>
      <c r="B54" s="30"/>
      <c r="C54" s="28" t="s">
        <v>15</v>
      </c>
      <c r="D54" s="68">
        <v>150</v>
      </c>
      <c r="E54" s="68">
        <f t="shared" si="18"/>
        <v>150</v>
      </c>
      <c r="F54" s="51">
        <f t="shared" si="19"/>
        <v>40.5</v>
      </c>
      <c r="G54" s="68">
        <v>29</v>
      </c>
      <c r="H54" s="68">
        <v>11.5</v>
      </c>
      <c r="I54" s="17">
        <v>89</v>
      </c>
      <c r="J54" s="18">
        <v>20.5</v>
      </c>
      <c r="K54" s="18">
        <v>7.8</v>
      </c>
      <c r="L54" s="20" t="e">
        <f>K54/#REF!*100</f>
        <v>#REF!</v>
      </c>
      <c r="M54" s="20">
        <f>K54/I54*100</f>
        <v>8.764044943820224</v>
      </c>
      <c r="N54" s="48"/>
      <c r="O54" s="48"/>
      <c r="P54" s="17">
        <f t="shared" si="2"/>
        <v>38.048780487804876</v>
      </c>
      <c r="Q54" s="20">
        <f t="shared" si="3"/>
        <v>19.25925925925926</v>
      </c>
      <c r="R54" s="18">
        <f t="shared" si="4"/>
        <v>5.2</v>
      </c>
      <c r="S54" s="18">
        <f t="shared" si="5"/>
        <v>5.2</v>
      </c>
    </row>
    <row r="55" spans="1:19" ht="16.5" customHeight="1" hidden="1">
      <c r="A55" s="21" t="s">
        <v>12</v>
      </c>
      <c r="B55" s="21"/>
      <c r="C55" s="28" t="s">
        <v>7</v>
      </c>
      <c r="D55" s="68">
        <v>0</v>
      </c>
      <c r="E55" s="68">
        <f t="shared" si="18"/>
        <v>0</v>
      </c>
      <c r="F55" s="51">
        <f t="shared" si="19"/>
        <v>0</v>
      </c>
      <c r="G55" s="68"/>
      <c r="H55" s="68"/>
      <c r="I55" s="17"/>
      <c r="J55" s="18"/>
      <c r="K55" s="18"/>
      <c r="L55" s="20" t="e">
        <f>K55/#REF!*100</f>
        <v>#REF!</v>
      </c>
      <c r="M55" s="20"/>
      <c r="N55" s="48"/>
      <c r="O55" s="48"/>
      <c r="P55" s="17" t="e">
        <f t="shared" si="2"/>
        <v>#DIV/0!</v>
      </c>
      <c r="Q55" s="20"/>
      <c r="R55" s="18"/>
      <c r="S55" s="18"/>
    </row>
    <row r="56" spans="1:19" ht="14.25" customHeight="1">
      <c r="A56" s="53" t="s">
        <v>39</v>
      </c>
      <c r="B56" s="52"/>
      <c r="C56" s="16" t="s">
        <v>40</v>
      </c>
      <c r="D56" s="68"/>
      <c r="E56" s="68">
        <f t="shared" si="18"/>
        <v>0</v>
      </c>
      <c r="F56" s="51">
        <f t="shared" si="19"/>
        <v>0</v>
      </c>
      <c r="G56" s="68"/>
      <c r="H56" s="68"/>
      <c r="I56" s="17"/>
      <c r="J56" s="18"/>
      <c r="K56" s="18">
        <v>0</v>
      </c>
      <c r="L56" s="20"/>
      <c r="M56" s="20"/>
      <c r="N56" s="48"/>
      <c r="O56" s="48"/>
      <c r="P56" s="17" t="e">
        <f t="shared" si="2"/>
        <v>#DIV/0!</v>
      </c>
      <c r="Q56" s="20"/>
      <c r="R56" s="18"/>
      <c r="S56" s="18"/>
    </row>
    <row r="57" spans="1:19" ht="12.75">
      <c r="A57" s="63" t="s">
        <v>1</v>
      </c>
      <c r="B57" s="63"/>
      <c r="C57" s="32" t="s">
        <v>0</v>
      </c>
      <c r="D57" s="33">
        <f>D58+D60+D59</f>
        <v>20853</v>
      </c>
      <c r="E57" s="33">
        <f>E58+E60+E59</f>
        <v>24726.7</v>
      </c>
      <c r="F57" s="33">
        <f aca="true" t="shared" si="20" ref="F57:P57">F58+F60+F59</f>
        <v>10485.1</v>
      </c>
      <c r="G57" s="33">
        <f t="shared" si="20"/>
        <v>6327.1</v>
      </c>
      <c r="H57" s="33">
        <f t="shared" si="20"/>
        <v>4158</v>
      </c>
      <c r="I57" s="33">
        <f t="shared" si="20"/>
        <v>6340.1</v>
      </c>
      <c r="J57" s="33">
        <f t="shared" si="20"/>
        <v>7901.5</v>
      </c>
      <c r="K57" s="33">
        <f t="shared" si="20"/>
        <v>4300.5</v>
      </c>
      <c r="L57" s="33" t="e">
        <f t="shared" si="20"/>
        <v>#REF!</v>
      </c>
      <c r="M57" s="33">
        <f t="shared" si="20"/>
        <v>67.38852699484235</v>
      </c>
      <c r="N57" s="33">
        <f t="shared" si="20"/>
        <v>0.1</v>
      </c>
      <c r="O57" s="33">
        <f t="shared" si="20"/>
        <v>0</v>
      </c>
      <c r="P57" s="33" t="e">
        <f t="shared" si="20"/>
        <v>#DIV/0!</v>
      </c>
      <c r="Q57" s="27">
        <f t="shared" si="3"/>
        <v>41.015345585640574</v>
      </c>
      <c r="R57" s="24">
        <f t="shared" si="4"/>
        <v>17.392130773617183</v>
      </c>
      <c r="S57" s="24">
        <f t="shared" si="5"/>
        <v>20.62293195223709</v>
      </c>
    </row>
    <row r="58" spans="1:19" ht="24">
      <c r="A58" s="14" t="s">
        <v>66</v>
      </c>
      <c r="B58" s="12"/>
      <c r="C58" s="34" t="s">
        <v>20</v>
      </c>
      <c r="D58" s="37">
        <v>20853</v>
      </c>
      <c r="E58" s="68">
        <f t="shared" si="18"/>
        <v>24698.7</v>
      </c>
      <c r="F58" s="51">
        <f t="shared" si="19"/>
        <v>10457.1</v>
      </c>
      <c r="G58" s="37">
        <v>6299.1</v>
      </c>
      <c r="H58" s="37">
        <v>4158</v>
      </c>
      <c r="I58" s="17">
        <v>6340.1</v>
      </c>
      <c r="J58" s="17">
        <v>7901.5</v>
      </c>
      <c r="K58" s="18">
        <v>4272.5</v>
      </c>
      <c r="L58" s="20" t="e">
        <f>K58/#REF!*100</f>
        <v>#REF!</v>
      </c>
      <c r="M58" s="20">
        <f>K58/I58*100</f>
        <v>67.38852699484235</v>
      </c>
      <c r="N58" s="48">
        <v>0.1</v>
      </c>
      <c r="O58" s="48"/>
      <c r="P58" s="17">
        <f t="shared" si="2"/>
        <v>54.072011643358856</v>
      </c>
      <c r="Q58" s="20">
        <f t="shared" si="3"/>
        <v>40.85740788555144</v>
      </c>
      <c r="R58" s="18">
        <f t="shared" si="4"/>
        <v>17.29848129658646</v>
      </c>
      <c r="S58" s="18">
        <f t="shared" si="5"/>
        <v>20.488658706181365</v>
      </c>
    </row>
    <row r="59" spans="1:19" ht="51" customHeight="1">
      <c r="A59" s="14" t="s">
        <v>84</v>
      </c>
      <c r="B59" s="15" t="s">
        <v>64</v>
      </c>
      <c r="C59" s="16" t="s">
        <v>64</v>
      </c>
      <c r="D59" s="35"/>
      <c r="E59" s="68">
        <f>G59+H59+I59+J59</f>
        <v>28</v>
      </c>
      <c r="F59" s="51">
        <f t="shared" si="19"/>
        <v>28</v>
      </c>
      <c r="G59" s="37">
        <v>28</v>
      </c>
      <c r="H59" s="37"/>
      <c r="I59" s="17"/>
      <c r="J59" s="47"/>
      <c r="K59" s="18">
        <v>28</v>
      </c>
      <c r="L59" s="20"/>
      <c r="M59" s="20"/>
      <c r="N59" s="48"/>
      <c r="O59" s="48"/>
      <c r="P59" s="17"/>
      <c r="Q59" s="20">
        <f t="shared" si="3"/>
        <v>100</v>
      </c>
      <c r="R59" s="18">
        <f t="shared" si="4"/>
        <v>100</v>
      </c>
      <c r="S59" s="18"/>
    </row>
    <row r="60" spans="1:19" ht="29.25" customHeight="1" hidden="1">
      <c r="A60" s="14" t="s">
        <v>65</v>
      </c>
      <c r="B60" s="70"/>
      <c r="C60" s="19" t="s">
        <v>63</v>
      </c>
      <c r="D60" s="19"/>
      <c r="E60" s="68">
        <f t="shared" si="18"/>
        <v>0</v>
      </c>
      <c r="F60" s="68">
        <f>G60</f>
        <v>0</v>
      </c>
      <c r="G60" s="75"/>
      <c r="H60" s="75"/>
      <c r="I60" s="17"/>
      <c r="J60" s="47"/>
      <c r="K60" s="18"/>
      <c r="L60" s="20" t="e">
        <f>K60/#REF!*100</f>
        <v>#REF!</v>
      </c>
      <c r="M60" s="20"/>
      <c r="N60" s="48"/>
      <c r="O60" s="48"/>
      <c r="P60" s="17" t="e">
        <f t="shared" si="2"/>
        <v>#DIV/0!</v>
      </c>
      <c r="Q60" s="20"/>
      <c r="R60" s="18"/>
      <c r="S60" s="18" t="e">
        <f t="shared" si="5"/>
        <v>#DIV/0!</v>
      </c>
    </row>
    <row r="61" spans="1:19" ht="12.75">
      <c r="A61" s="13"/>
      <c r="B61" s="76"/>
      <c r="C61" s="77" t="s">
        <v>4</v>
      </c>
      <c r="D61" s="78">
        <f aca="true" t="shared" si="21" ref="D61:K61">D57+D46</f>
        <v>42811.7</v>
      </c>
      <c r="E61" s="78">
        <f t="shared" si="21"/>
        <v>46685.399999999994</v>
      </c>
      <c r="F61" s="78">
        <f t="shared" si="21"/>
        <v>20262.9</v>
      </c>
      <c r="G61" s="78">
        <f t="shared" si="21"/>
        <v>10910.7</v>
      </c>
      <c r="H61" s="78">
        <f t="shared" si="21"/>
        <v>9352.2</v>
      </c>
      <c r="I61" s="78">
        <f t="shared" si="21"/>
        <v>10966.5</v>
      </c>
      <c r="J61" s="78">
        <f t="shared" si="21"/>
        <v>15456</v>
      </c>
      <c r="K61" s="78">
        <f t="shared" si="21"/>
        <v>11123.900000000001</v>
      </c>
      <c r="L61" s="27" t="e">
        <f>K61/#REF!*100</f>
        <v>#REF!</v>
      </c>
      <c r="M61" s="27">
        <f>K61/I61*100</f>
        <v>101.4352801714312</v>
      </c>
      <c r="N61" s="48"/>
      <c r="O61" s="49" t="e">
        <f>J61+#REF!+#REF!</f>
        <v>#REF!</v>
      </c>
      <c r="P61" s="36">
        <f t="shared" si="2"/>
        <v>71.9714026915114</v>
      </c>
      <c r="Q61" s="27">
        <f t="shared" si="3"/>
        <v>54.89786753130105</v>
      </c>
      <c r="R61" s="24">
        <f t="shared" si="4"/>
        <v>23.82736358690298</v>
      </c>
      <c r="S61" s="24">
        <f t="shared" si="5"/>
        <v>25.9833176444757</v>
      </c>
    </row>
    <row r="62" spans="1:19" ht="12.75">
      <c r="A62" s="95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7"/>
      <c r="N62" s="48"/>
      <c r="O62" s="48"/>
      <c r="P62" s="47"/>
      <c r="Q62" s="27"/>
      <c r="R62" s="24"/>
      <c r="S62" s="18"/>
    </row>
    <row r="63" spans="1:19" ht="12.75">
      <c r="A63" s="86" t="s">
        <v>27</v>
      </c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8"/>
    </row>
    <row r="64" spans="1:19" ht="12.75">
      <c r="A64" s="63" t="s">
        <v>3</v>
      </c>
      <c r="B64" s="63"/>
      <c r="C64" s="64" t="s">
        <v>67</v>
      </c>
      <c r="D64" s="36">
        <f>D65+D68+D70+D72+D69+D74+D73+D67+D71+D66</f>
        <v>43308.299999999996</v>
      </c>
      <c r="E64" s="36">
        <f>E65+E68+E70+E72+E69+E74+E73+E67+E71+E66</f>
        <v>43308.3</v>
      </c>
      <c r="F64" s="36">
        <f>F65+F68+F70+F72+F69+F74+F73+F67+F71+F66</f>
        <v>18403.9</v>
      </c>
      <c r="G64" s="36">
        <f aca="true" t="shared" si="22" ref="G64:P64">G65+G68+G70+G72+G69+G74+G73+G67+G71+G66</f>
        <v>9267.3</v>
      </c>
      <c r="H64" s="36">
        <f t="shared" si="22"/>
        <v>9136.6</v>
      </c>
      <c r="I64" s="36">
        <f t="shared" si="22"/>
        <v>11006.9</v>
      </c>
      <c r="J64" s="36">
        <f t="shared" si="22"/>
        <v>13897.5</v>
      </c>
      <c r="K64" s="36">
        <f t="shared" si="22"/>
        <v>13497.6</v>
      </c>
      <c r="L64" s="36" t="e">
        <f t="shared" si="22"/>
        <v>#REF!</v>
      </c>
      <c r="M64" s="36" t="e">
        <f t="shared" si="22"/>
        <v>#DIV/0!</v>
      </c>
      <c r="N64" s="36">
        <f t="shared" si="22"/>
        <v>0</v>
      </c>
      <c r="O64" s="36">
        <f t="shared" si="22"/>
        <v>0</v>
      </c>
      <c r="P64" s="36" t="e">
        <f t="shared" si="22"/>
        <v>#DIV/0!</v>
      </c>
      <c r="Q64" s="27">
        <f t="shared" si="3"/>
        <v>73.34097664082068</v>
      </c>
      <c r="R64" s="24">
        <f t="shared" si="4"/>
        <v>31.166312231142758</v>
      </c>
      <c r="S64" s="24">
        <f t="shared" si="5"/>
        <v>31.166312231142765</v>
      </c>
    </row>
    <row r="65" spans="1:19" ht="12.75">
      <c r="A65" s="12" t="s">
        <v>23</v>
      </c>
      <c r="B65" s="12"/>
      <c r="C65" s="66" t="s">
        <v>22</v>
      </c>
      <c r="D65" s="51">
        <v>21100</v>
      </c>
      <c r="E65" s="68">
        <f>G65+H65+I65+J65</f>
        <v>21100</v>
      </c>
      <c r="F65" s="51">
        <f>G65+H65</f>
        <v>10465</v>
      </c>
      <c r="G65" s="79">
        <v>5156</v>
      </c>
      <c r="H65" s="79">
        <v>5309</v>
      </c>
      <c r="I65" s="20">
        <v>5627</v>
      </c>
      <c r="J65" s="20">
        <v>5008</v>
      </c>
      <c r="K65" s="20">
        <v>7128.1</v>
      </c>
      <c r="L65" s="20" t="e">
        <f>K65/#REF!*100</f>
        <v>#REF!</v>
      </c>
      <c r="M65" s="20">
        <f aca="true" t="shared" si="23" ref="M65:M72">K65/I65*100</f>
        <v>126.67673716012085</v>
      </c>
      <c r="N65" s="48"/>
      <c r="O65" s="48"/>
      <c r="P65" s="20">
        <f t="shared" si="2"/>
        <v>142.33426517571885</v>
      </c>
      <c r="Q65" s="20">
        <f t="shared" si="3"/>
        <v>68.11371237458194</v>
      </c>
      <c r="R65" s="18">
        <f t="shared" si="4"/>
        <v>33.78246445497631</v>
      </c>
      <c r="S65" s="18">
        <f t="shared" si="5"/>
        <v>33.78246445497631</v>
      </c>
    </row>
    <row r="66" spans="1:19" ht="12.75">
      <c r="A66" s="12" t="s">
        <v>69</v>
      </c>
      <c r="B66" s="12"/>
      <c r="C66" s="28" t="s">
        <v>70</v>
      </c>
      <c r="D66" s="68">
        <v>6651.7</v>
      </c>
      <c r="E66" s="68">
        <f>G66+H66+I66+J66</f>
        <v>6651.700000000001</v>
      </c>
      <c r="F66" s="51">
        <f aca="true" t="shared" si="24" ref="F66:F76">G66+H66</f>
        <v>3352.9</v>
      </c>
      <c r="G66" s="79">
        <v>1687</v>
      </c>
      <c r="H66" s="79">
        <v>1665.9</v>
      </c>
      <c r="I66" s="20">
        <v>1662.9</v>
      </c>
      <c r="J66" s="20">
        <v>1635.9</v>
      </c>
      <c r="K66" s="20">
        <v>2148.5</v>
      </c>
      <c r="L66" s="20"/>
      <c r="M66" s="20"/>
      <c r="N66" s="48"/>
      <c r="O66" s="48"/>
      <c r="P66" s="20"/>
      <c r="Q66" s="20">
        <f>K66*100/F66</f>
        <v>64.07885710877152</v>
      </c>
      <c r="R66" s="18">
        <f>K66*100/E66</f>
        <v>32.30001353037569</v>
      </c>
      <c r="S66" s="18">
        <f t="shared" si="5"/>
        <v>32.30001353037569</v>
      </c>
    </row>
    <row r="67" spans="1:19" ht="12.75">
      <c r="A67" s="12" t="s">
        <v>8</v>
      </c>
      <c r="B67" s="12"/>
      <c r="C67" s="28" t="s">
        <v>5</v>
      </c>
      <c r="D67" s="68">
        <v>90</v>
      </c>
      <c r="E67" s="68">
        <f aca="true" t="shared" si="25" ref="E67:E77">G67+H67+I67+J67</f>
        <v>90</v>
      </c>
      <c r="F67" s="51">
        <f t="shared" si="24"/>
        <v>45</v>
      </c>
      <c r="G67" s="37">
        <v>22.5</v>
      </c>
      <c r="H67" s="37">
        <v>22.5</v>
      </c>
      <c r="I67" s="17">
        <v>22.5</v>
      </c>
      <c r="J67" s="17">
        <v>22.5</v>
      </c>
      <c r="K67" s="17">
        <v>17.3</v>
      </c>
      <c r="L67" s="20" t="e">
        <f>K67/#REF!*100</f>
        <v>#REF!</v>
      </c>
      <c r="M67" s="20">
        <f t="shared" si="23"/>
        <v>76.8888888888889</v>
      </c>
      <c r="N67" s="48"/>
      <c r="O67" s="48"/>
      <c r="P67" s="17">
        <f t="shared" si="2"/>
        <v>76.88888888888889</v>
      </c>
      <c r="Q67" s="20">
        <f t="shared" si="3"/>
        <v>38.44444444444444</v>
      </c>
      <c r="R67" s="18">
        <f t="shared" si="4"/>
        <v>19.22222222222222</v>
      </c>
      <c r="S67" s="18">
        <f t="shared" si="5"/>
        <v>19.22222222222222</v>
      </c>
    </row>
    <row r="68" spans="1:19" ht="12.75">
      <c r="A68" s="12" t="s">
        <v>9</v>
      </c>
      <c r="B68" s="12"/>
      <c r="C68" s="28" t="s">
        <v>6</v>
      </c>
      <c r="D68" s="68">
        <v>9748.7</v>
      </c>
      <c r="E68" s="68">
        <f t="shared" si="25"/>
        <v>9748.7</v>
      </c>
      <c r="F68" s="51">
        <f t="shared" si="24"/>
        <v>1703</v>
      </c>
      <c r="G68" s="37">
        <v>1011.5</v>
      </c>
      <c r="H68" s="37">
        <v>691.5</v>
      </c>
      <c r="I68" s="17">
        <v>2241.5</v>
      </c>
      <c r="J68" s="17">
        <v>5804.2</v>
      </c>
      <c r="K68" s="17">
        <v>1631.5</v>
      </c>
      <c r="L68" s="20" t="e">
        <f>K68/#REF!*100</f>
        <v>#REF!</v>
      </c>
      <c r="M68" s="20">
        <f t="shared" si="23"/>
        <v>72.78608074949811</v>
      </c>
      <c r="N68" s="48"/>
      <c r="O68" s="48"/>
      <c r="P68" s="17">
        <f t="shared" si="2"/>
        <v>28.108955583887532</v>
      </c>
      <c r="Q68" s="20">
        <f t="shared" si="3"/>
        <v>95.80152671755725</v>
      </c>
      <c r="R68" s="18">
        <f t="shared" si="4"/>
        <v>16.735564741965593</v>
      </c>
      <c r="S68" s="18">
        <f t="shared" si="5"/>
        <v>16.735564741965593</v>
      </c>
    </row>
    <row r="69" spans="1:19" ht="18.75" customHeight="1">
      <c r="A69" s="12" t="s">
        <v>10</v>
      </c>
      <c r="B69" s="12"/>
      <c r="C69" s="28" t="s">
        <v>21</v>
      </c>
      <c r="D69" s="68">
        <v>44.1</v>
      </c>
      <c r="E69" s="68">
        <f t="shared" si="25"/>
        <v>44.1</v>
      </c>
      <c r="F69" s="51">
        <f t="shared" si="24"/>
        <v>22.1</v>
      </c>
      <c r="G69" s="37"/>
      <c r="H69" s="37">
        <v>22.1</v>
      </c>
      <c r="I69" s="17">
        <v>22</v>
      </c>
      <c r="J69" s="17"/>
      <c r="K69" s="17">
        <v>11.2</v>
      </c>
      <c r="L69" s="20"/>
      <c r="M69" s="20">
        <f t="shared" si="23"/>
        <v>50.90909090909091</v>
      </c>
      <c r="N69" s="48"/>
      <c r="O69" s="48"/>
      <c r="P69" s="17" t="e">
        <f t="shared" si="2"/>
        <v>#DIV/0!</v>
      </c>
      <c r="Q69" s="20">
        <f t="shared" si="3"/>
        <v>50.678733031674206</v>
      </c>
      <c r="R69" s="18">
        <f>K69*100/E69</f>
        <v>25.396825396825395</v>
      </c>
      <c r="S69" s="18">
        <f t="shared" si="5"/>
        <v>25.396825396825395</v>
      </c>
    </row>
    <row r="70" spans="1:19" ht="23.25" customHeight="1">
      <c r="A70" s="13" t="s">
        <v>11</v>
      </c>
      <c r="B70" s="13"/>
      <c r="C70" s="28" t="s">
        <v>17</v>
      </c>
      <c r="D70" s="68">
        <v>5558.8</v>
      </c>
      <c r="E70" s="68">
        <f t="shared" si="25"/>
        <v>5558.799999999999</v>
      </c>
      <c r="F70" s="51">
        <f t="shared" si="24"/>
        <v>2776.8999999999996</v>
      </c>
      <c r="G70" s="37">
        <v>1389.3</v>
      </c>
      <c r="H70" s="37">
        <v>1387.6</v>
      </c>
      <c r="I70" s="17">
        <v>1393</v>
      </c>
      <c r="J70" s="17">
        <v>1388.9</v>
      </c>
      <c r="K70" s="17">
        <v>2506.6</v>
      </c>
      <c r="L70" s="20" t="e">
        <f>K70/#REF!*100</f>
        <v>#REF!</v>
      </c>
      <c r="M70" s="20">
        <f t="shared" si="23"/>
        <v>179.94256999282123</v>
      </c>
      <c r="N70" s="48"/>
      <c r="O70" s="48"/>
      <c r="P70" s="17">
        <f t="shared" si="2"/>
        <v>180.4737562099503</v>
      </c>
      <c r="Q70" s="20">
        <f t="shared" si="3"/>
        <v>90.2661240952141</v>
      </c>
      <c r="R70" s="18">
        <f t="shared" si="4"/>
        <v>45.09246599985609</v>
      </c>
      <c r="S70" s="18">
        <f t="shared" si="5"/>
        <v>45.09246599985608</v>
      </c>
    </row>
    <row r="71" spans="1:19" ht="14.25" customHeight="1" hidden="1">
      <c r="A71" s="30" t="s">
        <v>42</v>
      </c>
      <c r="B71" s="30"/>
      <c r="C71" s="28" t="s">
        <v>43</v>
      </c>
      <c r="D71" s="68"/>
      <c r="E71" s="68">
        <f t="shared" si="25"/>
        <v>0</v>
      </c>
      <c r="F71" s="51">
        <f t="shared" si="24"/>
        <v>0</v>
      </c>
      <c r="G71" s="37"/>
      <c r="H71" s="37"/>
      <c r="I71" s="17"/>
      <c r="J71" s="17"/>
      <c r="K71" s="17"/>
      <c r="L71" s="20" t="e">
        <f>K71/#REF!*100</f>
        <v>#REF!</v>
      </c>
      <c r="M71" s="20" t="e">
        <f t="shared" si="23"/>
        <v>#DIV/0!</v>
      </c>
      <c r="N71" s="48"/>
      <c r="O71" s="48"/>
      <c r="P71" s="17" t="e">
        <f t="shared" si="2"/>
        <v>#DIV/0!</v>
      </c>
      <c r="Q71" s="20"/>
      <c r="R71" s="18"/>
      <c r="S71" s="18"/>
    </row>
    <row r="72" spans="1:19" ht="24">
      <c r="A72" s="29" t="s">
        <v>18</v>
      </c>
      <c r="B72" s="29"/>
      <c r="C72" s="28" t="s">
        <v>15</v>
      </c>
      <c r="D72" s="68">
        <v>115</v>
      </c>
      <c r="E72" s="68">
        <f t="shared" si="25"/>
        <v>115</v>
      </c>
      <c r="F72" s="51">
        <f t="shared" si="24"/>
        <v>39</v>
      </c>
      <c r="G72" s="37">
        <v>1</v>
      </c>
      <c r="H72" s="37">
        <v>38</v>
      </c>
      <c r="I72" s="17">
        <v>38</v>
      </c>
      <c r="J72" s="17">
        <v>38</v>
      </c>
      <c r="K72" s="17">
        <v>54.4</v>
      </c>
      <c r="L72" s="20" t="e">
        <f>K72/#REF!*100</f>
        <v>#REF!</v>
      </c>
      <c r="M72" s="20">
        <f t="shared" si="23"/>
        <v>143.1578947368421</v>
      </c>
      <c r="N72" s="48"/>
      <c r="O72" s="48"/>
      <c r="P72" s="17">
        <f t="shared" si="2"/>
        <v>143.1578947368421</v>
      </c>
      <c r="Q72" s="20">
        <f t="shared" si="3"/>
        <v>139.48717948717947</v>
      </c>
      <c r="R72" s="18">
        <f t="shared" si="4"/>
        <v>47.30434782608695</v>
      </c>
      <c r="S72" s="18">
        <f t="shared" si="5"/>
        <v>47.30434782608695</v>
      </c>
    </row>
    <row r="73" spans="1:19" ht="12.75" customHeight="1" hidden="1">
      <c r="A73" s="21" t="s">
        <v>12</v>
      </c>
      <c r="B73" s="21"/>
      <c r="C73" s="28" t="s">
        <v>7</v>
      </c>
      <c r="D73" s="68"/>
      <c r="E73" s="68">
        <f t="shared" si="25"/>
        <v>0</v>
      </c>
      <c r="F73" s="51">
        <f t="shared" si="24"/>
        <v>0</v>
      </c>
      <c r="G73" s="37"/>
      <c r="H73" s="37"/>
      <c r="I73" s="17"/>
      <c r="J73" s="17"/>
      <c r="K73" s="17"/>
      <c r="L73" s="20"/>
      <c r="M73" s="20"/>
      <c r="N73" s="48"/>
      <c r="O73" s="48"/>
      <c r="P73" s="17" t="e">
        <f t="shared" si="2"/>
        <v>#DIV/0!</v>
      </c>
      <c r="Q73" s="20"/>
      <c r="R73" s="18"/>
      <c r="S73" s="18"/>
    </row>
    <row r="74" spans="1:19" ht="12.75">
      <c r="A74" s="31" t="s">
        <v>39</v>
      </c>
      <c r="B74" s="52"/>
      <c r="C74" s="16" t="s">
        <v>40</v>
      </c>
      <c r="D74" s="68"/>
      <c r="E74" s="68">
        <f t="shared" si="25"/>
        <v>0</v>
      </c>
      <c r="F74" s="51">
        <f t="shared" si="24"/>
        <v>0</v>
      </c>
      <c r="G74" s="37"/>
      <c r="H74" s="37"/>
      <c r="I74" s="17"/>
      <c r="J74" s="17"/>
      <c r="K74" s="17"/>
      <c r="L74" s="20"/>
      <c r="M74" s="20"/>
      <c r="N74" s="48"/>
      <c r="O74" s="48"/>
      <c r="P74" s="17" t="e">
        <f t="shared" si="2"/>
        <v>#DIV/0!</v>
      </c>
      <c r="Q74" s="20"/>
      <c r="R74" s="18"/>
      <c r="S74" s="18"/>
    </row>
    <row r="75" spans="1:19" ht="12.75">
      <c r="A75" s="25" t="s">
        <v>1</v>
      </c>
      <c r="B75" s="25"/>
      <c r="C75" s="32" t="s">
        <v>0</v>
      </c>
      <c r="D75" s="33">
        <f aca="true" t="shared" si="26" ref="D75:K75">D76+D77</f>
        <v>31268.9</v>
      </c>
      <c r="E75" s="33">
        <f t="shared" si="26"/>
        <v>50543.59999999999</v>
      </c>
      <c r="F75" s="33">
        <f t="shared" si="26"/>
        <v>34906.899999999994</v>
      </c>
      <c r="G75" s="33">
        <f t="shared" si="26"/>
        <v>24357.1</v>
      </c>
      <c r="H75" s="33">
        <f t="shared" si="26"/>
        <v>10549.8</v>
      </c>
      <c r="I75" s="33">
        <f t="shared" si="26"/>
        <v>9162.5</v>
      </c>
      <c r="J75" s="33">
        <f t="shared" si="26"/>
        <v>6474.2</v>
      </c>
      <c r="K75" s="33">
        <f t="shared" si="26"/>
        <v>9345.1</v>
      </c>
      <c r="L75" s="27" t="e">
        <f>K75/#REF!*100</f>
        <v>#REF!</v>
      </c>
      <c r="M75" s="27">
        <f>K75/I75*100</f>
        <v>101.99290586630288</v>
      </c>
      <c r="N75" s="48"/>
      <c r="O75" s="48"/>
      <c r="P75" s="36">
        <f t="shared" si="2"/>
        <v>144.34370269685832</v>
      </c>
      <c r="Q75" s="27">
        <f t="shared" si="3"/>
        <v>26.77149789869625</v>
      </c>
      <c r="R75" s="24">
        <f t="shared" si="4"/>
        <v>18.48918557443475</v>
      </c>
      <c r="S75" s="24">
        <f aca="true" t="shared" si="27" ref="S75:S137">K75*100/D75</f>
        <v>29.886244799145476</v>
      </c>
    </row>
    <row r="76" spans="1:19" ht="24">
      <c r="A76" s="14" t="s">
        <v>66</v>
      </c>
      <c r="B76" s="12"/>
      <c r="C76" s="34" t="s">
        <v>20</v>
      </c>
      <c r="D76" s="37">
        <v>31268.9</v>
      </c>
      <c r="E76" s="68">
        <f t="shared" si="25"/>
        <v>50543.59999999999</v>
      </c>
      <c r="F76" s="51">
        <f t="shared" si="24"/>
        <v>34906.899999999994</v>
      </c>
      <c r="G76" s="37">
        <f>24157.1+200</f>
        <v>24357.1</v>
      </c>
      <c r="H76" s="37">
        <f>9159.8+1390</f>
        <v>10549.8</v>
      </c>
      <c r="I76" s="17">
        <v>9162.5</v>
      </c>
      <c r="J76" s="18">
        <v>6474.2</v>
      </c>
      <c r="K76" s="18">
        <v>9335.1</v>
      </c>
      <c r="L76" s="20" t="e">
        <f>K76/#REF!*100</f>
        <v>#REF!</v>
      </c>
      <c r="M76" s="20">
        <f>K76/I76*100</f>
        <v>101.88376534788542</v>
      </c>
      <c r="N76" s="48"/>
      <c r="O76" s="48"/>
      <c r="P76" s="17">
        <f t="shared" si="2"/>
        <v>144.18924345865128</v>
      </c>
      <c r="Q76" s="20">
        <f t="shared" si="3"/>
        <v>26.74285026742564</v>
      </c>
      <c r="R76" s="18">
        <f t="shared" si="4"/>
        <v>18.46940067585214</v>
      </c>
      <c r="S76" s="18">
        <f t="shared" si="27"/>
        <v>29.854264141047494</v>
      </c>
    </row>
    <row r="77" spans="1:19" ht="12.75">
      <c r="A77" s="14" t="s">
        <v>2</v>
      </c>
      <c r="B77" s="14"/>
      <c r="C77" s="35" t="s">
        <v>19</v>
      </c>
      <c r="D77" s="69"/>
      <c r="E77" s="68">
        <f t="shared" si="25"/>
        <v>0</v>
      </c>
      <c r="F77" s="51">
        <f>G77</f>
        <v>0</v>
      </c>
      <c r="G77" s="75"/>
      <c r="H77" s="75"/>
      <c r="I77" s="17"/>
      <c r="J77" s="18"/>
      <c r="K77" s="18">
        <v>10</v>
      </c>
      <c r="L77" s="20" t="e">
        <f>K77/#REF!*100</f>
        <v>#REF!</v>
      </c>
      <c r="M77" s="20"/>
      <c r="N77" s="48"/>
      <c r="O77" s="48"/>
      <c r="P77" s="17" t="e">
        <f t="shared" si="2"/>
        <v>#DIV/0!</v>
      </c>
      <c r="Q77" s="27"/>
      <c r="R77" s="24"/>
      <c r="S77" s="18"/>
    </row>
    <row r="78" spans="1:19" ht="12.75">
      <c r="A78" s="21"/>
      <c r="B78" s="22"/>
      <c r="C78" s="23" t="s">
        <v>4</v>
      </c>
      <c r="D78" s="24">
        <f aca="true" t="shared" si="28" ref="D78:L78">D75+D64</f>
        <v>74577.2</v>
      </c>
      <c r="E78" s="24">
        <f t="shared" si="28"/>
        <v>93851.9</v>
      </c>
      <c r="F78" s="24">
        <f t="shared" si="28"/>
        <v>53310.799999999996</v>
      </c>
      <c r="G78" s="24">
        <f t="shared" si="28"/>
        <v>33624.399999999994</v>
      </c>
      <c r="H78" s="24">
        <f t="shared" si="28"/>
        <v>19686.4</v>
      </c>
      <c r="I78" s="24">
        <f t="shared" si="28"/>
        <v>20169.4</v>
      </c>
      <c r="J78" s="24">
        <f t="shared" si="28"/>
        <v>20371.7</v>
      </c>
      <c r="K78" s="24">
        <f t="shared" si="28"/>
        <v>22842.7</v>
      </c>
      <c r="L78" s="24" t="e">
        <f t="shared" si="28"/>
        <v>#REF!</v>
      </c>
      <c r="M78" s="27">
        <f>K78/I78*100</f>
        <v>113.25423661586362</v>
      </c>
      <c r="N78" s="48"/>
      <c r="O78" s="49" t="e">
        <f>J78+#REF!+#REF!</f>
        <v>#REF!</v>
      </c>
      <c r="P78" s="36">
        <f t="shared" si="2"/>
        <v>112.12957190612467</v>
      </c>
      <c r="Q78" s="27">
        <f t="shared" si="3"/>
        <v>42.84816585007166</v>
      </c>
      <c r="R78" s="24">
        <f t="shared" si="4"/>
        <v>24.33909169659858</v>
      </c>
      <c r="S78" s="24">
        <f t="shared" si="27"/>
        <v>30.62960261313109</v>
      </c>
    </row>
    <row r="79" spans="1:19" ht="12.75">
      <c r="A79" s="95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7"/>
      <c r="N79" s="48"/>
      <c r="O79" s="48"/>
      <c r="P79" s="47"/>
      <c r="Q79" s="27"/>
      <c r="R79" s="24"/>
      <c r="S79" s="18"/>
    </row>
    <row r="80" spans="1:19" ht="12.75">
      <c r="A80" s="86" t="s">
        <v>28</v>
      </c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8"/>
    </row>
    <row r="81" spans="1:19" ht="12.75">
      <c r="A81" s="25" t="s">
        <v>3</v>
      </c>
      <c r="B81" s="25"/>
      <c r="C81" s="26" t="s">
        <v>67</v>
      </c>
      <c r="D81" s="27">
        <f aca="true" t="shared" si="29" ref="D81:J81">D82+D84+D85+D86+D87+D88+D89+D90+D91+D83</f>
        <v>43172.200000000004</v>
      </c>
      <c r="E81" s="27">
        <f t="shared" si="29"/>
        <v>43172.2</v>
      </c>
      <c r="F81" s="27">
        <f t="shared" si="29"/>
        <v>20813.399999999998</v>
      </c>
      <c r="G81" s="27">
        <f t="shared" si="29"/>
        <v>11820.800000000001</v>
      </c>
      <c r="H81" s="27">
        <f t="shared" si="29"/>
        <v>8992.599999999999</v>
      </c>
      <c r="I81" s="27">
        <f t="shared" si="29"/>
        <v>9094.900000000001</v>
      </c>
      <c r="J81" s="27">
        <f t="shared" si="29"/>
        <v>13263.900000000001</v>
      </c>
      <c r="K81" s="27">
        <f>K82+K84+K85+K86+K87+K88+K89+K90+K91+K83</f>
        <v>12851.500000000002</v>
      </c>
      <c r="L81" s="27" t="e">
        <f>K81/#REF!*100</f>
        <v>#REF!</v>
      </c>
      <c r="M81" s="27">
        <f>K81/I81*100</f>
        <v>141.30446733883826</v>
      </c>
      <c r="N81" s="48"/>
      <c r="O81" s="48"/>
      <c r="P81" s="27">
        <f t="shared" si="2"/>
        <v>96.89080888728051</v>
      </c>
      <c r="Q81" s="27">
        <f aca="true" t="shared" si="30" ref="Q81:Q151">K81*100/F81</f>
        <v>61.74627883959374</v>
      </c>
      <c r="R81" s="24">
        <f aca="true" t="shared" si="31" ref="R81:R151">K81*100/E81</f>
        <v>29.76799885111253</v>
      </c>
      <c r="S81" s="24">
        <f t="shared" si="27"/>
        <v>29.767998851112523</v>
      </c>
    </row>
    <row r="82" spans="1:19" ht="13.5" customHeight="1">
      <c r="A82" s="21" t="s">
        <v>23</v>
      </c>
      <c r="B82" s="21"/>
      <c r="C82" s="28" t="s">
        <v>22</v>
      </c>
      <c r="D82" s="68">
        <v>29500</v>
      </c>
      <c r="E82" s="68">
        <f>G82+H82+I82+J82</f>
        <v>29500</v>
      </c>
      <c r="F82" s="51">
        <f>G82+H82</f>
        <v>14750</v>
      </c>
      <c r="G82" s="37">
        <v>8850</v>
      </c>
      <c r="H82" s="37">
        <v>5900</v>
      </c>
      <c r="I82" s="17">
        <v>5900</v>
      </c>
      <c r="J82" s="17">
        <v>8850</v>
      </c>
      <c r="K82" s="18">
        <v>9262.7</v>
      </c>
      <c r="L82" s="20" t="e">
        <f>K82/#REF!*100</f>
        <v>#REF!</v>
      </c>
      <c r="M82" s="20">
        <f>K82/I82*100</f>
        <v>156.9949152542373</v>
      </c>
      <c r="N82" s="48"/>
      <c r="O82" s="48"/>
      <c r="P82" s="17">
        <f aca="true" t="shared" si="32" ref="P82:P156">K82*100/J82</f>
        <v>104.6632768361582</v>
      </c>
      <c r="Q82" s="20">
        <f t="shared" si="30"/>
        <v>62.797966101694925</v>
      </c>
      <c r="R82" s="18">
        <f t="shared" si="31"/>
        <v>31.398983050847463</v>
      </c>
      <c r="S82" s="18">
        <f t="shared" si="27"/>
        <v>31.398983050847463</v>
      </c>
    </row>
    <row r="83" spans="1:19" ht="15.75" customHeight="1">
      <c r="A83" s="12" t="s">
        <v>69</v>
      </c>
      <c r="B83" s="12"/>
      <c r="C83" s="28" t="s">
        <v>70</v>
      </c>
      <c r="D83" s="68">
        <v>4257.3</v>
      </c>
      <c r="E83" s="68">
        <f>G83+H83+I83+J83</f>
        <v>4257.299999999999</v>
      </c>
      <c r="F83" s="51">
        <f aca="true" t="shared" si="33" ref="F83:F91">G83+H83</f>
        <v>2128.7</v>
      </c>
      <c r="G83" s="37">
        <v>1277.2</v>
      </c>
      <c r="H83" s="37">
        <v>851.5</v>
      </c>
      <c r="I83" s="17">
        <v>851.5</v>
      </c>
      <c r="J83" s="17">
        <v>1277.1</v>
      </c>
      <c r="K83" s="18">
        <v>1375.1</v>
      </c>
      <c r="L83" s="20"/>
      <c r="M83" s="20"/>
      <c r="N83" s="48"/>
      <c r="O83" s="48"/>
      <c r="P83" s="17"/>
      <c r="Q83" s="20">
        <f>K83*100/F83</f>
        <v>64.59811152346504</v>
      </c>
      <c r="R83" s="18">
        <f>K83*100/E83</f>
        <v>32.29981443637987</v>
      </c>
      <c r="S83" s="18">
        <f t="shared" si="27"/>
        <v>32.29981443637986</v>
      </c>
    </row>
    <row r="84" spans="1:19" ht="15" customHeight="1" hidden="1">
      <c r="A84" s="12" t="s">
        <v>8</v>
      </c>
      <c r="B84" s="12"/>
      <c r="C84" s="28" t="s">
        <v>5</v>
      </c>
      <c r="D84" s="68"/>
      <c r="E84" s="68">
        <f aca="true" t="shared" si="34" ref="E84:E91">G84+H84+I84+J84</f>
        <v>0</v>
      </c>
      <c r="F84" s="51">
        <f t="shared" si="33"/>
        <v>0</v>
      </c>
      <c r="G84" s="37"/>
      <c r="H84" s="37"/>
      <c r="I84" s="17"/>
      <c r="J84" s="17"/>
      <c r="K84" s="18"/>
      <c r="L84" s="20"/>
      <c r="M84" s="20"/>
      <c r="N84" s="48"/>
      <c r="O84" s="48"/>
      <c r="P84" s="17" t="e">
        <f t="shared" si="32"/>
        <v>#DIV/0!</v>
      </c>
      <c r="Q84" s="20" t="e">
        <f>K84*100/F84</f>
        <v>#DIV/0!</v>
      </c>
      <c r="R84" s="18" t="e">
        <f>K84*100/E84</f>
        <v>#DIV/0!</v>
      </c>
      <c r="S84" s="18" t="e">
        <f t="shared" si="27"/>
        <v>#DIV/0!</v>
      </c>
    </row>
    <row r="85" spans="1:19" ht="12.75">
      <c r="A85" s="12" t="s">
        <v>9</v>
      </c>
      <c r="B85" s="12"/>
      <c r="C85" s="28" t="s">
        <v>6</v>
      </c>
      <c r="D85" s="68">
        <v>2312.9</v>
      </c>
      <c r="E85" s="68">
        <f t="shared" si="34"/>
        <v>2312.9</v>
      </c>
      <c r="F85" s="51">
        <f t="shared" si="33"/>
        <v>875.5</v>
      </c>
      <c r="G85" s="37">
        <v>462.6</v>
      </c>
      <c r="H85" s="37">
        <v>412.9</v>
      </c>
      <c r="I85" s="17">
        <v>512.2</v>
      </c>
      <c r="J85" s="17">
        <v>925.2</v>
      </c>
      <c r="K85" s="18">
        <v>688.5</v>
      </c>
      <c r="L85" s="20" t="e">
        <f>K85/#REF!*100</f>
        <v>#REF!</v>
      </c>
      <c r="M85" s="20">
        <f>K85/I85*100</f>
        <v>134.42014837953923</v>
      </c>
      <c r="N85" s="48"/>
      <c r="O85" s="48"/>
      <c r="P85" s="17">
        <f t="shared" si="32"/>
        <v>74.41634241245136</v>
      </c>
      <c r="Q85" s="20">
        <f t="shared" si="30"/>
        <v>78.64077669902913</v>
      </c>
      <c r="R85" s="18">
        <f t="shared" si="31"/>
        <v>29.767823943966448</v>
      </c>
      <c r="S85" s="18">
        <f t="shared" si="27"/>
        <v>29.767823943966448</v>
      </c>
    </row>
    <row r="86" spans="1:19" ht="12.75" hidden="1">
      <c r="A86" s="12" t="s">
        <v>10</v>
      </c>
      <c r="B86" s="12"/>
      <c r="C86" s="28" t="s">
        <v>21</v>
      </c>
      <c r="D86" s="68"/>
      <c r="E86" s="68">
        <f t="shared" si="34"/>
        <v>0</v>
      </c>
      <c r="F86" s="51">
        <f t="shared" si="33"/>
        <v>0</v>
      </c>
      <c r="G86" s="37"/>
      <c r="H86" s="37"/>
      <c r="I86" s="17"/>
      <c r="J86" s="17"/>
      <c r="K86" s="18"/>
      <c r="L86" s="20"/>
      <c r="M86" s="20"/>
      <c r="N86" s="48"/>
      <c r="O86" s="48"/>
      <c r="P86" s="17" t="e">
        <f t="shared" si="32"/>
        <v>#DIV/0!</v>
      </c>
      <c r="Q86" s="20" t="e">
        <f t="shared" si="30"/>
        <v>#DIV/0!</v>
      </c>
      <c r="R86" s="18" t="e">
        <f t="shared" si="31"/>
        <v>#DIV/0!</v>
      </c>
      <c r="S86" s="18" t="e">
        <f t="shared" si="27"/>
        <v>#DIV/0!</v>
      </c>
    </row>
    <row r="87" spans="1:19" ht="23.25" customHeight="1">
      <c r="A87" s="13" t="s">
        <v>11</v>
      </c>
      <c r="B87" s="13"/>
      <c r="C87" s="28" t="s">
        <v>17</v>
      </c>
      <c r="D87" s="68">
        <v>6954</v>
      </c>
      <c r="E87" s="68">
        <f t="shared" si="34"/>
        <v>6954</v>
      </c>
      <c r="F87" s="51">
        <f t="shared" si="33"/>
        <v>3029.6</v>
      </c>
      <c r="G87" s="37">
        <v>1223.6</v>
      </c>
      <c r="H87" s="37">
        <v>1806</v>
      </c>
      <c r="I87" s="17">
        <v>1809</v>
      </c>
      <c r="J87" s="17">
        <v>2115.4</v>
      </c>
      <c r="K87" s="18">
        <v>1495.7</v>
      </c>
      <c r="L87" s="20" t="e">
        <f>K87/#REF!*100</f>
        <v>#REF!</v>
      </c>
      <c r="M87" s="20">
        <f>K87/I87*100</f>
        <v>82.68103924820342</v>
      </c>
      <c r="N87" s="48"/>
      <c r="O87" s="48"/>
      <c r="P87" s="17">
        <f t="shared" si="32"/>
        <v>70.70530396142573</v>
      </c>
      <c r="Q87" s="20">
        <f t="shared" si="30"/>
        <v>49.36955373646686</v>
      </c>
      <c r="R87" s="18">
        <f t="shared" si="31"/>
        <v>21.50848432556802</v>
      </c>
      <c r="S87" s="18">
        <f t="shared" si="27"/>
        <v>21.50848432556802</v>
      </c>
    </row>
    <row r="88" spans="1:19" ht="25.5" customHeight="1">
      <c r="A88" s="30" t="s">
        <v>42</v>
      </c>
      <c r="B88" s="30"/>
      <c r="C88" s="28" t="s">
        <v>43</v>
      </c>
      <c r="D88" s="68">
        <v>0</v>
      </c>
      <c r="E88" s="68">
        <f t="shared" si="34"/>
        <v>0</v>
      </c>
      <c r="F88" s="51">
        <f t="shared" si="33"/>
        <v>0</v>
      </c>
      <c r="G88" s="37"/>
      <c r="H88" s="37"/>
      <c r="I88" s="17"/>
      <c r="J88" s="17"/>
      <c r="K88" s="18">
        <v>5.3</v>
      </c>
      <c r="L88" s="20" t="e">
        <f>K88/#REF!*100</f>
        <v>#REF!</v>
      </c>
      <c r="M88" s="20" t="e">
        <f>K88/I88*100</f>
        <v>#DIV/0!</v>
      </c>
      <c r="N88" s="48"/>
      <c r="O88" s="48"/>
      <c r="P88" s="17" t="e">
        <f t="shared" si="32"/>
        <v>#DIV/0!</v>
      </c>
      <c r="Q88" s="20"/>
      <c r="R88" s="18"/>
      <c r="S88" s="18"/>
    </row>
    <row r="89" spans="1:19" ht="24">
      <c r="A89" s="29" t="s">
        <v>18</v>
      </c>
      <c r="B89" s="29"/>
      <c r="C89" s="28" t="s">
        <v>15</v>
      </c>
      <c r="D89" s="68">
        <v>148</v>
      </c>
      <c r="E89" s="68">
        <f t="shared" si="34"/>
        <v>148</v>
      </c>
      <c r="F89" s="51">
        <f t="shared" si="33"/>
        <v>29.6</v>
      </c>
      <c r="G89" s="37">
        <v>7.4</v>
      </c>
      <c r="H89" s="37">
        <v>22.2</v>
      </c>
      <c r="I89" s="17">
        <v>22.2</v>
      </c>
      <c r="J89" s="17">
        <v>96.2</v>
      </c>
      <c r="K89" s="18">
        <v>22</v>
      </c>
      <c r="L89" s="20" t="e">
        <f>K89/#REF!*100</f>
        <v>#REF!</v>
      </c>
      <c r="M89" s="20">
        <f>K89/I89*100</f>
        <v>99.09909909909909</v>
      </c>
      <c r="N89" s="48"/>
      <c r="O89" s="48"/>
      <c r="P89" s="17">
        <f t="shared" si="32"/>
        <v>22.869022869022867</v>
      </c>
      <c r="Q89" s="20">
        <f t="shared" si="30"/>
        <v>74.32432432432432</v>
      </c>
      <c r="R89" s="18">
        <f t="shared" si="31"/>
        <v>14.864864864864865</v>
      </c>
      <c r="S89" s="18">
        <f t="shared" si="27"/>
        <v>14.864864864864865</v>
      </c>
    </row>
    <row r="90" spans="1:19" ht="16.5" customHeight="1">
      <c r="A90" s="21" t="s">
        <v>12</v>
      </c>
      <c r="B90" s="21"/>
      <c r="C90" s="28" t="s">
        <v>7</v>
      </c>
      <c r="D90" s="68"/>
      <c r="E90" s="68">
        <f t="shared" si="34"/>
        <v>0</v>
      </c>
      <c r="F90" s="51">
        <f t="shared" si="33"/>
        <v>0</v>
      </c>
      <c r="G90" s="37"/>
      <c r="H90" s="37"/>
      <c r="I90" s="17"/>
      <c r="J90" s="17"/>
      <c r="K90" s="18">
        <v>2.2</v>
      </c>
      <c r="L90" s="27"/>
      <c r="M90" s="27"/>
      <c r="N90" s="48"/>
      <c r="O90" s="48"/>
      <c r="P90" s="17" t="e">
        <f t="shared" si="32"/>
        <v>#DIV/0!</v>
      </c>
      <c r="Q90" s="20"/>
      <c r="R90" s="18"/>
      <c r="S90" s="18"/>
    </row>
    <row r="91" spans="1:19" ht="12.75">
      <c r="A91" s="31" t="s">
        <v>39</v>
      </c>
      <c r="B91" s="52"/>
      <c r="C91" s="16" t="s">
        <v>40</v>
      </c>
      <c r="D91" s="68"/>
      <c r="E91" s="68">
        <f t="shared" si="34"/>
        <v>0</v>
      </c>
      <c r="F91" s="51">
        <f t="shared" si="33"/>
        <v>0</v>
      </c>
      <c r="G91" s="37"/>
      <c r="H91" s="37"/>
      <c r="I91" s="17"/>
      <c r="J91" s="17"/>
      <c r="K91" s="18"/>
      <c r="L91" s="27"/>
      <c r="M91" s="27"/>
      <c r="N91" s="48"/>
      <c r="O91" s="48"/>
      <c r="P91" s="17" t="e">
        <f t="shared" si="32"/>
        <v>#DIV/0!</v>
      </c>
      <c r="Q91" s="20"/>
      <c r="R91" s="18"/>
      <c r="S91" s="18"/>
    </row>
    <row r="92" spans="1:19" ht="12.75" hidden="1">
      <c r="A92" s="31" t="s">
        <v>44</v>
      </c>
      <c r="B92" s="52"/>
      <c r="C92" s="16" t="s">
        <v>45</v>
      </c>
      <c r="D92" s="72"/>
      <c r="E92" s="16"/>
      <c r="F92" s="51">
        <f>G92</f>
        <v>0</v>
      </c>
      <c r="G92" s="37"/>
      <c r="H92" s="37"/>
      <c r="I92" s="17" t="e">
        <f>J92+#REF!+#REF!+#REF!</f>
        <v>#REF!</v>
      </c>
      <c r="J92" s="17"/>
      <c r="K92" s="18"/>
      <c r="L92" s="27"/>
      <c r="M92" s="27"/>
      <c r="N92" s="48"/>
      <c r="O92" s="48"/>
      <c r="P92" s="17" t="e">
        <f t="shared" si="32"/>
        <v>#DIV/0!</v>
      </c>
      <c r="Q92" s="27" t="e">
        <f t="shared" si="30"/>
        <v>#DIV/0!</v>
      </c>
      <c r="R92" s="24" t="e">
        <f t="shared" si="31"/>
        <v>#DIV/0!</v>
      </c>
      <c r="S92" s="18" t="e">
        <f t="shared" si="27"/>
        <v>#DIV/0!</v>
      </c>
    </row>
    <row r="93" spans="1:19" ht="12.75">
      <c r="A93" s="25" t="s">
        <v>1</v>
      </c>
      <c r="B93" s="25"/>
      <c r="C93" s="32" t="s">
        <v>0</v>
      </c>
      <c r="D93" s="33">
        <f aca="true" t="shared" si="35" ref="D93:K93">D94+D95</f>
        <v>44557.1</v>
      </c>
      <c r="E93" s="33">
        <f t="shared" si="35"/>
        <v>72929.9</v>
      </c>
      <c r="F93" s="85">
        <f t="shared" si="35"/>
        <v>41064.9</v>
      </c>
      <c r="G93" s="33">
        <f t="shared" si="35"/>
        <v>21055.8</v>
      </c>
      <c r="H93" s="33">
        <f t="shared" si="35"/>
        <v>20009.1</v>
      </c>
      <c r="I93" s="33">
        <f t="shared" si="35"/>
        <v>22070.3</v>
      </c>
      <c r="J93" s="33">
        <f t="shared" si="35"/>
        <v>9794.7</v>
      </c>
      <c r="K93" s="33">
        <f t="shared" si="35"/>
        <v>17477.2</v>
      </c>
      <c r="L93" s="27" t="e">
        <f>K93/#REF!*100</f>
        <v>#REF!</v>
      </c>
      <c r="M93" s="27">
        <f>K93/I93*100</f>
        <v>79.18877405381895</v>
      </c>
      <c r="N93" s="48"/>
      <c r="O93" s="48"/>
      <c r="P93" s="36">
        <f t="shared" si="32"/>
        <v>178.43527622081328</v>
      </c>
      <c r="Q93" s="27">
        <f t="shared" si="30"/>
        <v>42.55994778996174</v>
      </c>
      <c r="R93" s="24">
        <f t="shared" si="31"/>
        <v>23.964382235543997</v>
      </c>
      <c r="S93" s="24">
        <f t="shared" si="27"/>
        <v>39.224276265735426</v>
      </c>
    </row>
    <row r="94" spans="1:19" ht="24">
      <c r="A94" s="14" t="s">
        <v>66</v>
      </c>
      <c r="B94" s="12"/>
      <c r="C94" s="34" t="s">
        <v>20</v>
      </c>
      <c r="D94" s="37">
        <v>44557.1</v>
      </c>
      <c r="E94" s="68">
        <f>G94+H94+I94+J94</f>
        <v>72803.59999999999</v>
      </c>
      <c r="F94" s="51">
        <f>G94+H94</f>
        <v>40938.6</v>
      </c>
      <c r="G94" s="37">
        <f>20830.8+225</f>
        <v>21055.8</v>
      </c>
      <c r="H94" s="37">
        <f>17397.3+2485.5</f>
        <v>19882.8</v>
      </c>
      <c r="I94" s="17">
        <v>22070.3</v>
      </c>
      <c r="J94" s="17">
        <v>9794.7</v>
      </c>
      <c r="K94" s="18">
        <v>17285.8</v>
      </c>
      <c r="L94" s="20" t="e">
        <f>K94/#REF!*100</f>
        <v>#REF!</v>
      </c>
      <c r="M94" s="20">
        <f>K94/I94*100</f>
        <v>78.32154524406101</v>
      </c>
      <c r="N94" s="48"/>
      <c r="O94" s="48"/>
      <c r="P94" s="17">
        <f t="shared" si="32"/>
        <v>176.48115817738164</v>
      </c>
      <c r="Q94" s="20">
        <f t="shared" si="30"/>
        <v>42.22372040079534</v>
      </c>
      <c r="R94" s="18">
        <f t="shared" si="31"/>
        <v>23.743056662033197</v>
      </c>
      <c r="S94" s="18">
        <f t="shared" si="27"/>
        <v>38.79471509591064</v>
      </c>
    </row>
    <row r="95" spans="1:19" ht="12.75">
      <c r="A95" s="14" t="s">
        <v>2</v>
      </c>
      <c r="B95" s="14"/>
      <c r="C95" s="35" t="s">
        <v>19</v>
      </c>
      <c r="D95" s="69"/>
      <c r="E95" s="68">
        <f>G95+H95+I95+J95</f>
        <v>126.3</v>
      </c>
      <c r="F95" s="51">
        <f>G95+H95</f>
        <v>126.3</v>
      </c>
      <c r="G95" s="80"/>
      <c r="H95" s="80">
        <v>126.3</v>
      </c>
      <c r="I95" s="17"/>
      <c r="J95" s="17"/>
      <c r="K95" s="18">
        <v>191.4</v>
      </c>
      <c r="L95" s="20" t="e">
        <f>K95/#REF!*100</f>
        <v>#REF!</v>
      </c>
      <c r="M95" s="20"/>
      <c r="N95" s="48"/>
      <c r="O95" s="48"/>
      <c r="P95" s="17" t="e">
        <f t="shared" si="32"/>
        <v>#DIV/0!</v>
      </c>
      <c r="Q95" s="20">
        <f>K95*100/F95</f>
        <v>151.54394299287412</v>
      </c>
      <c r="R95" s="18">
        <f>K95*100/E95</f>
        <v>151.54394299287412</v>
      </c>
      <c r="S95" s="18"/>
    </row>
    <row r="96" spans="1:19" ht="12.75">
      <c r="A96" s="21"/>
      <c r="B96" s="22"/>
      <c r="C96" s="23" t="s">
        <v>4</v>
      </c>
      <c r="D96" s="24">
        <f aca="true" t="shared" si="36" ref="D96:K96">D93+D81</f>
        <v>87729.3</v>
      </c>
      <c r="E96" s="24">
        <f t="shared" si="36"/>
        <v>116102.09999999999</v>
      </c>
      <c r="F96" s="24">
        <f t="shared" si="36"/>
        <v>61878.3</v>
      </c>
      <c r="G96" s="24">
        <f t="shared" si="36"/>
        <v>32876.6</v>
      </c>
      <c r="H96" s="24">
        <f t="shared" si="36"/>
        <v>29001.699999999997</v>
      </c>
      <c r="I96" s="24">
        <f t="shared" si="36"/>
        <v>31165.2</v>
      </c>
      <c r="J96" s="24">
        <f t="shared" si="36"/>
        <v>23058.600000000002</v>
      </c>
      <c r="K96" s="24">
        <f t="shared" si="36"/>
        <v>30328.700000000004</v>
      </c>
      <c r="L96" s="27" t="e">
        <f>K96/#REF!*100</f>
        <v>#REF!</v>
      </c>
      <c r="M96" s="27">
        <f>K96/I96*100</f>
        <v>97.31591647093553</v>
      </c>
      <c r="N96" s="48"/>
      <c r="O96" s="49" t="e">
        <f>J96+#REF!+#REF!</f>
        <v>#REF!</v>
      </c>
      <c r="P96" s="36">
        <f t="shared" si="32"/>
        <v>131.5288005342909</v>
      </c>
      <c r="Q96" s="27">
        <f t="shared" si="30"/>
        <v>49.013466756520465</v>
      </c>
      <c r="R96" s="24">
        <f t="shared" si="31"/>
        <v>26.122438784483663</v>
      </c>
      <c r="S96" s="24">
        <f t="shared" si="27"/>
        <v>34.57077624009311</v>
      </c>
    </row>
    <row r="97" spans="1:19" ht="12.75">
      <c r="A97" s="95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7"/>
      <c r="N97" s="48"/>
      <c r="O97" s="48"/>
      <c r="P97" s="47"/>
      <c r="Q97" s="27"/>
      <c r="R97" s="24"/>
      <c r="S97" s="18"/>
    </row>
    <row r="98" spans="1:19" ht="12.75">
      <c r="A98" s="86" t="s">
        <v>29</v>
      </c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8"/>
    </row>
    <row r="99" spans="1:19" ht="12.75">
      <c r="A99" s="25" t="s">
        <v>3</v>
      </c>
      <c r="B99" s="25"/>
      <c r="C99" s="26" t="s">
        <v>67</v>
      </c>
      <c r="D99" s="27">
        <f aca="true" t="shared" si="37" ref="D99:K99">D100+D103+D107+D104+D105+D108+D106+D102+D101</f>
        <v>3213.8</v>
      </c>
      <c r="E99" s="27">
        <f t="shared" si="37"/>
        <v>3213.7999999999997</v>
      </c>
      <c r="F99" s="27">
        <f t="shared" si="37"/>
        <v>1590</v>
      </c>
      <c r="G99" s="27">
        <f t="shared" si="37"/>
        <v>775.7</v>
      </c>
      <c r="H99" s="27">
        <f t="shared" si="37"/>
        <v>814.3000000000001</v>
      </c>
      <c r="I99" s="27">
        <f t="shared" si="37"/>
        <v>809.3</v>
      </c>
      <c r="J99" s="27">
        <f t="shared" si="37"/>
        <v>814.5</v>
      </c>
      <c r="K99" s="27">
        <f t="shared" si="37"/>
        <v>941.2</v>
      </c>
      <c r="L99" s="27" t="e">
        <f>K99/#REF!*100</f>
        <v>#REF!</v>
      </c>
      <c r="M99" s="27">
        <f>K99/I99*100</f>
        <v>116.29803533918202</v>
      </c>
      <c r="N99" s="48"/>
      <c r="O99" s="48"/>
      <c r="P99" s="27">
        <f t="shared" si="32"/>
        <v>115.55555555555556</v>
      </c>
      <c r="Q99" s="27">
        <f t="shared" si="30"/>
        <v>59.19496855345912</v>
      </c>
      <c r="R99" s="24">
        <f t="shared" si="31"/>
        <v>29.286203248490885</v>
      </c>
      <c r="S99" s="24">
        <f t="shared" si="27"/>
        <v>29.28620324849088</v>
      </c>
    </row>
    <row r="100" spans="1:19" ht="12.75">
      <c r="A100" s="21" t="s">
        <v>23</v>
      </c>
      <c r="B100" s="21"/>
      <c r="C100" s="28" t="s">
        <v>22</v>
      </c>
      <c r="D100" s="68">
        <v>1650</v>
      </c>
      <c r="E100" s="68">
        <f>G100+H100+I100+J100</f>
        <v>1650</v>
      </c>
      <c r="F100" s="51">
        <f>G100+H100</f>
        <v>825</v>
      </c>
      <c r="G100" s="37">
        <v>412.5</v>
      </c>
      <c r="H100" s="37">
        <v>412.5</v>
      </c>
      <c r="I100" s="17">
        <v>412.5</v>
      </c>
      <c r="J100" s="18">
        <v>412.5</v>
      </c>
      <c r="K100" s="18">
        <v>421.2</v>
      </c>
      <c r="L100" s="20"/>
      <c r="M100" s="20">
        <f>K100/I100*100</f>
        <v>102.10909090909091</v>
      </c>
      <c r="N100" s="49"/>
      <c r="O100" s="48"/>
      <c r="P100" s="17">
        <f t="shared" si="32"/>
        <v>102.10909090909091</v>
      </c>
      <c r="Q100" s="20">
        <f t="shared" si="30"/>
        <v>51.054545454545455</v>
      </c>
      <c r="R100" s="18">
        <f t="shared" si="31"/>
        <v>25.527272727272727</v>
      </c>
      <c r="S100" s="18">
        <f t="shared" si="27"/>
        <v>25.527272727272727</v>
      </c>
    </row>
    <row r="101" spans="1:19" ht="12.75">
      <c r="A101" s="12" t="s">
        <v>69</v>
      </c>
      <c r="B101" s="12"/>
      <c r="C101" s="28" t="s">
        <v>70</v>
      </c>
      <c r="D101" s="68">
        <v>1384.2</v>
      </c>
      <c r="E101" s="68">
        <f>G101+H101+I101+J101</f>
        <v>1384.1999999999998</v>
      </c>
      <c r="F101" s="51">
        <f aca="true" t="shared" si="38" ref="F101:F108">G101+H101</f>
        <v>692.1</v>
      </c>
      <c r="G101" s="37">
        <v>346</v>
      </c>
      <c r="H101" s="37">
        <v>346.1</v>
      </c>
      <c r="I101" s="17">
        <v>346</v>
      </c>
      <c r="J101" s="18">
        <v>346.1</v>
      </c>
      <c r="K101" s="18">
        <v>447</v>
      </c>
      <c r="L101" s="20"/>
      <c r="M101" s="20"/>
      <c r="N101" s="49"/>
      <c r="O101" s="48"/>
      <c r="P101" s="17"/>
      <c r="Q101" s="20">
        <f>K101*100/F101</f>
        <v>64.5860424794105</v>
      </c>
      <c r="R101" s="18">
        <f>K101*100/E101</f>
        <v>32.29302123970525</v>
      </c>
      <c r="S101" s="18">
        <f t="shared" si="27"/>
        <v>32.29302123970525</v>
      </c>
    </row>
    <row r="102" spans="1:19" ht="12.75" hidden="1">
      <c r="A102" s="12" t="s">
        <v>8</v>
      </c>
      <c r="B102" s="12"/>
      <c r="C102" s="28" t="s">
        <v>5</v>
      </c>
      <c r="D102" s="68"/>
      <c r="E102" s="68">
        <f>G102+H102+I102+J102</f>
        <v>0</v>
      </c>
      <c r="F102" s="51">
        <f t="shared" si="38"/>
        <v>0</v>
      </c>
      <c r="G102" s="37"/>
      <c r="H102" s="37"/>
      <c r="I102" s="17"/>
      <c r="J102" s="18"/>
      <c r="K102" s="18"/>
      <c r="L102" s="20"/>
      <c r="M102" s="20"/>
      <c r="N102" s="49"/>
      <c r="O102" s="48"/>
      <c r="P102" s="17"/>
      <c r="Q102" s="20" t="e">
        <f>K102*100/F102</f>
        <v>#DIV/0!</v>
      </c>
      <c r="R102" s="18" t="e">
        <f>K102*100/E102</f>
        <v>#DIV/0!</v>
      </c>
      <c r="S102" s="18" t="e">
        <f t="shared" si="27"/>
        <v>#DIV/0!</v>
      </c>
    </row>
    <row r="103" spans="1:19" ht="12.75">
      <c r="A103" s="12" t="s">
        <v>9</v>
      </c>
      <c r="B103" s="12"/>
      <c r="C103" s="28" t="s">
        <v>6</v>
      </c>
      <c r="D103" s="68">
        <v>152.1</v>
      </c>
      <c r="E103" s="68">
        <f aca="true" t="shared" si="39" ref="E103:E111">G103+H103+I103+J103</f>
        <v>152.10000000000002</v>
      </c>
      <c r="F103" s="51">
        <f t="shared" si="38"/>
        <v>61.8</v>
      </c>
      <c r="G103" s="37">
        <v>14.2</v>
      </c>
      <c r="H103" s="37">
        <v>47.6</v>
      </c>
      <c r="I103" s="17">
        <v>42.6</v>
      </c>
      <c r="J103" s="18">
        <v>47.7</v>
      </c>
      <c r="K103" s="18">
        <v>12.8</v>
      </c>
      <c r="L103" s="20"/>
      <c r="M103" s="20">
        <f aca="true" t="shared" si="40" ref="M103:M110">K103/I103*100</f>
        <v>30.046948356807512</v>
      </c>
      <c r="N103" s="49"/>
      <c r="O103" s="48"/>
      <c r="P103" s="17">
        <f t="shared" si="32"/>
        <v>26.834381551362682</v>
      </c>
      <c r="Q103" s="20">
        <f t="shared" si="30"/>
        <v>20.711974110032365</v>
      </c>
      <c r="R103" s="18">
        <f t="shared" si="31"/>
        <v>8.415516107823798</v>
      </c>
      <c r="S103" s="18">
        <f t="shared" si="27"/>
        <v>8.4155161078238</v>
      </c>
    </row>
    <row r="104" spans="1:19" ht="12.75">
      <c r="A104" s="12" t="s">
        <v>10</v>
      </c>
      <c r="B104" s="12"/>
      <c r="C104" s="28" t="s">
        <v>21</v>
      </c>
      <c r="D104" s="68">
        <v>1.5</v>
      </c>
      <c r="E104" s="68">
        <f t="shared" si="39"/>
        <v>1.5</v>
      </c>
      <c r="F104" s="51">
        <f t="shared" si="38"/>
        <v>0.7</v>
      </c>
      <c r="G104" s="37">
        <v>0.4</v>
      </c>
      <c r="H104" s="37">
        <v>0.3</v>
      </c>
      <c r="I104" s="17">
        <v>0.4</v>
      </c>
      <c r="J104" s="18">
        <v>0.4</v>
      </c>
      <c r="K104" s="18">
        <v>1</v>
      </c>
      <c r="L104" s="20"/>
      <c r="M104" s="20">
        <f t="shared" si="40"/>
        <v>250</v>
      </c>
      <c r="N104" s="48"/>
      <c r="O104" s="48"/>
      <c r="P104" s="17">
        <f t="shared" si="32"/>
        <v>250</v>
      </c>
      <c r="Q104" s="20">
        <f t="shared" si="30"/>
        <v>142.85714285714286</v>
      </c>
      <c r="R104" s="18">
        <f t="shared" si="31"/>
        <v>66.66666666666667</v>
      </c>
      <c r="S104" s="18">
        <f t="shared" si="27"/>
        <v>66.66666666666667</v>
      </c>
    </row>
    <row r="105" spans="1:19" ht="24">
      <c r="A105" s="13" t="s">
        <v>11</v>
      </c>
      <c r="B105" s="13"/>
      <c r="C105" s="28" t="s">
        <v>17</v>
      </c>
      <c r="D105" s="68">
        <v>26</v>
      </c>
      <c r="E105" s="68">
        <f t="shared" si="39"/>
        <v>26</v>
      </c>
      <c r="F105" s="51">
        <f t="shared" si="38"/>
        <v>10.4</v>
      </c>
      <c r="G105" s="37">
        <v>2.6</v>
      </c>
      <c r="H105" s="37">
        <v>7.8</v>
      </c>
      <c r="I105" s="17">
        <v>7.8</v>
      </c>
      <c r="J105" s="18">
        <v>7.8</v>
      </c>
      <c r="K105" s="18">
        <v>4.1</v>
      </c>
      <c r="L105" s="20"/>
      <c r="M105" s="20">
        <f t="shared" si="40"/>
        <v>52.56410256410257</v>
      </c>
      <c r="N105" s="48"/>
      <c r="O105" s="48"/>
      <c r="P105" s="17">
        <f t="shared" si="32"/>
        <v>52.564102564102555</v>
      </c>
      <c r="Q105" s="20">
        <f t="shared" si="30"/>
        <v>39.42307692307692</v>
      </c>
      <c r="R105" s="18">
        <f t="shared" si="31"/>
        <v>15.769230769230766</v>
      </c>
      <c r="S105" s="18">
        <f t="shared" si="27"/>
        <v>15.769230769230766</v>
      </c>
    </row>
    <row r="106" spans="1:19" ht="24" hidden="1">
      <c r="A106" s="30" t="s">
        <v>42</v>
      </c>
      <c r="B106" s="30"/>
      <c r="C106" s="28" t="s">
        <v>43</v>
      </c>
      <c r="D106" s="68">
        <v>0</v>
      </c>
      <c r="E106" s="68">
        <f t="shared" si="39"/>
        <v>0</v>
      </c>
      <c r="F106" s="51">
        <f t="shared" si="38"/>
        <v>0</v>
      </c>
      <c r="G106" s="37"/>
      <c r="H106" s="37"/>
      <c r="I106" s="17"/>
      <c r="J106" s="18"/>
      <c r="K106" s="18"/>
      <c r="L106" s="20"/>
      <c r="M106" s="20" t="e">
        <f t="shared" si="40"/>
        <v>#DIV/0!</v>
      </c>
      <c r="N106" s="48"/>
      <c r="O106" s="48"/>
      <c r="P106" s="17" t="e">
        <f t="shared" si="32"/>
        <v>#DIV/0!</v>
      </c>
      <c r="Q106" s="20"/>
      <c r="R106" s="18"/>
      <c r="S106" s="18"/>
    </row>
    <row r="107" spans="1:19" ht="18.75" customHeight="1" hidden="1">
      <c r="A107" s="21" t="s">
        <v>12</v>
      </c>
      <c r="B107" s="21"/>
      <c r="C107" s="81" t="s">
        <v>7</v>
      </c>
      <c r="D107" s="68"/>
      <c r="E107" s="68">
        <f t="shared" si="39"/>
        <v>0</v>
      </c>
      <c r="F107" s="51">
        <f t="shared" si="38"/>
        <v>0</v>
      </c>
      <c r="G107" s="37"/>
      <c r="H107" s="37"/>
      <c r="I107" s="17"/>
      <c r="J107" s="18"/>
      <c r="K107" s="18"/>
      <c r="L107" s="20"/>
      <c r="M107" s="20" t="e">
        <f t="shared" si="40"/>
        <v>#DIV/0!</v>
      </c>
      <c r="N107" s="48"/>
      <c r="O107" s="48"/>
      <c r="P107" s="17" t="e">
        <f t="shared" si="32"/>
        <v>#DIV/0!</v>
      </c>
      <c r="Q107" s="20"/>
      <c r="R107" s="18"/>
      <c r="S107" s="18"/>
    </row>
    <row r="108" spans="1:19" ht="16.5" customHeight="1">
      <c r="A108" s="30" t="s">
        <v>39</v>
      </c>
      <c r="B108" s="82"/>
      <c r="C108" s="16" t="s">
        <v>40</v>
      </c>
      <c r="D108" s="68"/>
      <c r="E108" s="68">
        <f t="shared" si="39"/>
        <v>0</v>
      </c>
      <c r="F108" s="51">
        <f t="shared" si="38"/>
        <v>0</v>
      </c>
      <c r="G108" s="37"/>
      <c r="H108" s="37"/>
      <c r="I108" s="17"/>
      <c r="J108" s="18"/>
      <c r="K108" s="18">
        <v>55.1</v>
      </c>
      <c r="L108" s="27"/>
      <c r="M108" s="20" t="e">
        <f t="shared" si="40"/>
        <v>#DIV/0!</v>
      </c>
      <c r="N108" s="48"/>
      <c r="O108" s="48"/>
      <c r="P108" s="17" t="e">
        <f t="shared" si="32"/>
        <v>#DIV/0!</v>
      </c>
      <c r="Q108" s="27"/>
      <c r="R108" s="24"/>
      <c r="S108" s="18"/>
    </row>
    <row r="109" spans="1:19" ht="12.75">
      <c r="A109" s="63" t="s">
        <v>1</v>
      </c>
      <c r="B109" s="63"/>
      <c r="C109" s="32" t="s">
        <v>0</v>
      </c>
      <c r="D109" s="33">
        <f aca="true" t="shared" si="41" ref="D109:L109">D110+D111</f>
        <v>24834.8</v>
      </c>
      <c r="E109" s="33">
        <f t="shared" si="41"/>
        <v>44840.799999999996</v>
      </c>
      <c r="F109" s="33">
        <f t="shared" si="41"/>
        <v>32423.399999999998</v>
      </c>
      <c r="G109" s="33">
        <f t="shared" si="41"/>
        <v>19348.6</v>
      </c>
      <c r="H109" s="33">
        <f t="shared" si="41"/>
        <v>13074.8</v>
      </c>
      <c r="I109" s="33">
        <f t="shared" si="41"/>
        <v>6208.7</v>
      </c>
      <c r="J109" s="33">
        <f t="shared" si="41"/>
        <v>6208.7</v>
      </c>
      <c r="K109" s="33">
        <f t="shared" si="41"/>
        <v>12016.8</v>
      </c>
      <c r="L109" s="33">
        <f t="shared" si="41"/>
        <v>0</v>
      </c>
      <c r="M109" s="27">
        <f>K109/I109*100</f>
        <v>193.54776362201426</v>
      </c>
      <c r="N109" s="48"/>
      <c r="O109" s="48"/>
      <c r="P109" s="36">
        <f t="shared" si="32"/>
        <v>193.5477636220143</v>
      </c>
      <c r="Q109" s="27">
        <f t="shared" si="30"/>
        <v>37.06212180092156</v>
      </c>
      <c r="R109" s="24">
        <f t="shared" si="31"/>
        <v>26.79880822822073</v>
      </c>
      <c r="S109" s="24">
        <f t="shared" si="27"/>
        <v>48.38694090550357</v>
      </c>
    </row>
    <row r="110" spans="1:19" ht="24">
      <c r="A110" s="14" t="s">
        <v>66</v>
      </c>
      <c r="B110" s="12"/>
      <c r="C110" s="34" t="s">
        <v>20</v>
      </c>
      <c r="D110" s="37">
        <v>24834.8</v>
      </c>
      <c r="E110" s="68">
        <f t="shared" si="39"/>
        <v>44840.799999999996</v>
      </c>
      <c r="F110" s="51">
        <f>G110+H110</f>
        <v>32423.399999999998</v>
      </c>
      <c r="G110" s="37">
        <f>19088.6+260</f>
        <v>19348.6</v>
      </c>
      <c r="H110" s="37">
        <v>13074.8</v>
      </c>
      <c r="I110" s="17">
        <v>6208.7</v>
      </c>
      <c r="J110" s="18">
        <v>6208.7</v>
      </c>
      <c r="K110" s="18">
        <v>12016.8</v>
      </c>
      <c r="L110" s="20"/>
      <c r="M110" s="20">
        <f t="shared" si="40"/>
        <v>193.54776362201426</v>
      </c>
      <c r="N110" s="48"/>
      <c r="O110" s="48"/>
      <c r="P110" s="17">
        <f t="shared" si="32"/>
        <v>193.5477636220143</v>
      </c>
      <c r="Q110" s="20">
        <f t="shared" si="30"/>
        <v>37.06212180092156</v>
      </c>
      <c r="R110" s="18">
        <f t="shared" si="31"/>
        <v>26.79880822822073</v>
      </c>
      <c r="S110" s="18">
        <f t="shared" si="27"/>
        <v>48.38694090550357</v>
      </c>
    </row>
    <row r="111" spans="1:19" ht="12.75" hidden="1">
      <c r="A111" s="14" t="s">
        <v>2</v>
      </c>
      <c r="B111" s="14"/>
      <c r="C111" s="35" t="s">
        <v>19</v>
      </c>
      <c r="D111" s="35"/>
      <c r="E111" s="68">
        <f t="shared" si="39"/>
        <v>0</v>
      </c>
      <c r="F111" s="68">
        <f>G111+H111</f>
        <v>0</v>
      </c>
      <c r="G111" s="80"/>
      <c r="H111" s="80"/>
      <c r="I111" s="17"/>
      <c r="J111" s="18"/>
      <c r="K111" s="18"/>
      <c r="L111" s="20"/>
      <c r="M111" s="20"/>
      <c r="N111" s="48"/>
      <c r="O111" s="48"/>
      <c r="P111" s="17" t="e">
        <f t="shared" si="32"/>
        <v>#DIV/0!</v>
      </c>
      <c r="Q111" s="27"/>
      <c r="R111" s="24"/>
      <c r="S111" s="18" t="e">
        <f t="shared" si="27"/>
        <v>#DIV/0!</v>
      </c>
    </row>
    <row r="112" spans="1:19" ht="12.75">
      <c r="A112" s="21"/>
      <c r="B112" s="22"/>
      <c r="C112" s="23" t="s">
        <v>4</v>
      </c>
      <c r="D112" s="24">
        <f aca="true" t="shared" si="42" ref="D112:L112">D109+D99</f>
        <v>28048.6</v>
      </c>
      <c r="E112" s="24">
        <f t="shared" si="42"/>
        <v>48054.6</v>
      </c>
      <c r="F112" s="36">
        <f t="shared" si="42"/>
        <v>34013.399999999994</v>
      </c>
      <c r="G112" s="36">
        <f t="shared" si="42"/>
        <v>20124.3</v>
      </c>
      <c r="H112" s="36">
        <f>H109+H99</f>
        <v>13889.099999999999</v>
      </c>
      <c r="I112" s="24">
        <f t="shared" si="42"/>
        <v>7018</v>
      </c>
      <c r="J112" s="24">
        <f t="shared" si="42"/>
        <v>7023.2</v>
      </c>
      <c r="K112" s="24">
        <f t="shared" si="42"/>
        <v>12958</v>
      </c>
      <c r="L112" s="24" t="e">
        <f t="shared" si="42"/>
        <v>#REF!</v>
      </c>
      <c r="M112" s="27">
        <f>K112/I112*100</f>
        <v>184.63949843260187</v>
      </c>
      <c r="N112" s="48"/>
      <c r="O112" s="49" t="e">
        <f>J112+#REF!+#REF!</f>
        <v>#REF!</v>
      </c>
      <c r="P112" s="36">
        <f t="shared" si="32"/>
        <v>184.50279075065498</v>
      </c>
      <c r="Q112" s="27">
        <f t="shared" si="30"/>
        <v>38.096750104370635</v>
      </c>
      <c r="R112" s="24">
        <f t="shared" si="31"/>
        <v>26.965160463306322</v>
      </c>
      <c r="S112" s="24">
        <f t="shared" si="27"/>
        <v>46.19838423308116</v>
      </c>
    </row>
    <row r="113" spans="1:19" ht="12.75">
      <c r="A113" s="95"/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7"/>
      <c r="N113" s="48"/>
      <c r="O113" s="48"/>
      <c r="P113" s="47"/>
      <c r="Q113" s="27"/>
      <c r="R113" s="24"/>
      <c r="S113" s="18"/>
    </row>
    <row r="114" spans="1:19" ht="12.75">
      <c r="A114" s="86" t="s">
        <v>30</v>
      </c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8"/>
    </row>
    <row r="115" spans="1:19" ht="12.75">
      <c r="A115" s="25" t="s">
        <v>3</v>
      </c>
      <c r="B115" s="25"/>
      <c r="C115" s="26" t="s">
        <v>67</v>
      </c>
      <c r="D115" s="27">
        <f>D116+D120+D124+D121+D122+D125+D123+D126+D117+D118+D119</f>
        <v>5233.8</v>
      </c>
      <c r="E115" s="27">
        <f aca="true" t="shared" si="43" ref="E115:J115">E116+E120+E124+E121+E122+E125+E123+E126+E117+E118+E119</f>
        <v>5233.8</v>
      </c>
      <c r="F115" s="27">
        <f t="shared" si="43"/>
        <v>2588</v>
      </c>
      <c r="G115" s="27">
        <f t="shared" si="43"/>
        <v>1317</v>
      </c>
      <c r="H115" s="27">
        <f t="shared" si="43"/>
        <v>1271</v>
      </c>
      <c r="I115" s="27">
        <f t="shared" si="43"/>
        <v>1271</v>
      </c>
      <c r="J115" s="27">
        <f t="shared" si="43"/>
        <v>1374.8</v>
      </c>
      <c r="K115" s="27">
        <f>K116+K120+K124+K121+K122+K125+K123+K126+K117+K118+K119</f>
        <v>1792.9</v>
      </c>
      <c r="L115" s="27" t="e">
        <f>K115/#REF!*100</f>
        <v>#REF!</v>
      </c>
      <c r="M115" s="27">
        <f aca="true" t="shared" si="44" ref="M115:M124">K115/I115*100</f>
        <v>141.06215578284815</v>
      </c>
      <c r="N115" s="48"/>
      <c r="O115" s="48"/>
      <c r="P115" s="27">
        <f t="shared" si="32"/>
        <v>130.4116962467268</v>
      </c>
      <c r="Q115" s="27">
        <f t="shared" si="30"/>
        <v>69.2774343122102</v>
      </c>
      <c r="R115" s="24">
        <f t="shared" si="31"/>
        <v>34.25618097749245</v>
      </c>
      <c r="S115" s="24">
        <f t="shared" si="27"/>
        <v>34.25618097749245</v>
      </c>
    </row>
    <row r="116" spans="1:19" ht="12.75">
      <c r="A116" s="21" t="s">
        <v>23</v>
      </c>
      <c r="B116" s="21"/>
      <c r="C116" s="28" t="s">
        <v>22</v>
      </c>
      <c r="D116" s="68">
        <v>1220</v>
      </c>
      <c r="E116" s="68">
        <f>G116+H116+I116+J116</f>
        <v>1220</v>
      </c>
      <c r="F116" s="51">
        <f>G116+H116</f>
        <v>600</v>
      </c>
      <c r="G116" s="68">
        <v>300</v>
      </c>
      <c r="H116" s="68">
        <v>300</v>
      </c>
      <c r="I116" s="18">
        <v>300</v>
      </c>
      <c r="J116" s="18">
        <v>320</v>
      </c>
      <c r="K116" s="18">
        <v>372.4</v>
      </c>
      <c r="L116" s="20" t="e">
        <f>K116/#REF!*100</f>
        <v>#REF!</v>
      </c>
      <c r="M116" s="20">
        <f t="shared" si="44"/>
        <v>124.13333333333331</v>
      </c>
      <c r="N116" s="48"/>
      <c r="O116" s="48"/>
      <c r="P116" s="17">
        <f t="shared" si="32"/>
        <v>116.375</v>
      </c>
      <c r="Q116" s="20">
        <f t="shared" si="30"/>
        <v>62.06666666666667</v>
      </c>
      <c r="R116" s="18">
        <f t="shared" si="31"/>
        <v>30.524590163934427</v>
      </c>
      <c r="S116" s="18">
        <f t="shared" si="27"/>
        <v>30.524590163934427</v>
      </c>
    </row>
    <row r="117" spans="1:19" ht="12.75" hidden="1">
      <c r="A117" s="12" t="s">
        <v>8</v>
      </c>
      <c r="B117" s="12"/>
      <c r="C117" s="28" t="s">
        <v>5</v>
      </c>
      <c r="D117" s="68"/>
      <c r="E117" s="68">
        <f>G117+H117+I117+J117</f>
        <v>0</v>
      </c>
      <c r="F117" s="51">
        <f aca="true" t="shared" si="45" ref="F117:F126">G117+H117</f>
        <v>0</v>
      </c>
      <c r="G117" s="68"/>
      <c r="H117" s="68"/>
      <c r="I117" s="18"/>
      <c r="J117" s="18"/>
      <c r="K117" s="18"/>
      <c r="L117" s="20"/>
      <c r="M117" s="20"/>
      <c r="N117" s="48"/>
      <c r="O117" s="48"/>
      <c r="P117" s="17"/>
      <c r="Q117" s="20" t="e">
        <f>K117*100/F117</f>
        <v>#DIV/0!</v>
      </c>
      <c r="R117" s="18" t="e">
        <f>K117*100/E117</f>
        <v>#DIV/0!</v>
      </c>
      <c r="S117" s="18" t="e">
        <f t="shared" si="27"/>
        <v>#DIV/0!</v>
      </c>
    </row>
    <row r="118" spans="1:19" ht="13.5" customHeight="1">
      <c r="A118" s="12" t="s">
        <v>69</v>
      </c>
      <c r="B118" s="12"/>
      <c r="C118" s="28" t="s">
        <v>70</v>
      </c>
      <c r="D118" s="68">
        <v>2995.9</v>
      </c>
      <c r="E118" s="68">
        <f>G118+H118+I118+J118</f>
        <v>2995.9</v>
      </c>
      <c r="F118" s="51">
        <f t="shared" si="45"/>
        <v>1494</v>
      </c>
      <c r="G118" s="68">
        <v>747</v>
      </c>
      <c r="H118" s="68">
        <v>747</v>
      </c>
      <c r="I118" s="18">
        <v>747</v>
      </c>
      <c r="J118" s="18">
        <v>754.9</v>
      </c>
      <c r="K118" s="18">
        <v>967.7</v>
      </c>
      <c r="L118" s="20"/>
      <c r="M118" s="20"/>
      <c r="N118" s="48"/>
      <c r="O118" s="48"/>
      <c r="P118" s="17"/>
      <c r="Q118" s="20">
        <f>K118*100/F118</f>
        <v>64.77242302543507</v>
      </c>
      <c r="R118" s="18">
        <f>K118*100/E118</f>
        <v>32.30081110851497</v>
      </c>
      <c r="S118" s="18">
        <f t="shared" si="27"/>
        <v>32.30081110851497</v>
      </c>
    </row>
    <row r="119" spans="1:19" ht="13.5" customHeight="1">
      <c r="A119" s="12" t="s">
        <v>8</v>
      </c>
      <c r="B119" s="12"/>
      <c r="C119" s="28" t="s">
        <v>5</v>
      </c>
      <c r="D119" s="68">
        <v>10</v>
      </c>
      <c r="E119" s="68">
        <f>G119+H119+I119+J119</f>
        <v>10</v>
      </c>
      <c r="F119" s="51">
        <f t="shared" si="45"/>
        <v>5</v>
      </c>
      <c r="G119" s="68">
        <v>2</v>
      </c>
      <c r="H119" s="68">
        <v>3</v>
      </c>
      <c r="I119" s="18">
        <v>3</v>
      </c>
      <c r="J119" s="18">
        <v>2</v>
      </c>
      <c r="K119" s="18"/>
      <c r="L119" s="20"/>
      <c r="M119" s="20"/>
      <c r="N119" s="48"/>
      <c r="O119" s="48"/>
      <c r="P119" s="17"/>
      <c r="Q119" s="20">
        <f>K119*100/F119</f>
        <v>0</v>
      </c>
      <c r="R119" s="18">
        <f>K119*100/E119</f>
        <v>0</v>
      </c>
      <c r="S119" s="18">
        <f>K119*100/D119</f>
        <v>0</v>
      </c>
    </row>
    <row r="120" spans="1:19" ht="12.75">
      <c r="A120" s="12" t="s">
        <v>9</v>
      </c>
      <c r="B120" s="12"/>
      <c r="C120" s="28" t="s">
        <v>6</v>
      </c>
      <c r="D120" s="68">
        <v>231.2</v>
      </c>
      <c r="E120" s="68">
        <f aca="true" t="shared" si="46" ref="E120:E128">G120+H120+I120+J120</f>
        <v>231.2</v>
      </c>
      <c r="F120" s="51">
        <f t="shared" si="45"/>
        <v>123</v>
      </c>
      <c r="G120" s="68">
        <v>90</v>
      </c>
      <c r="H120" s="68">
        <v>33</v>
      </c>
      <c r="I120" s="18">
        <v>33</v>
      </c>
      <c r="J120" s="18">
        <v>75.2</v>
      </c>
      <c r="K120" s="18">
        <v>30.9</v>
      </c>
      <c r="L120" s="20" t="e">
        <f>K120/#REF!*100</f>
        <v>#REF!</v>
      </c>
      <c r="M120" s="20">
        <f t="shared" si="44"/>
        <v>93.63636363636363</v>
      </c>
      <c r="N120" s="48"/>
      <c r="O120" s="48"/>
      <c r="P120" s="17">
        <f t="shared" si="32"/>
        <v>41.09042553191489</v>
      </c>
      <c r="Q120" s="20">
        <f t="shared" si="30"/>
        <v>25.121951219512194</v>
      </c>
      <c r="R120" s="18">
        <f t="shared" si="31"/>
        <v>13.365051903114187</v>
      </c>
      <c r="S120" s="18">
        <f t="shared" si="27"/>
        <v>13.365051903114187</v>
      </c>
    </row>
    <row r="121" spans="1:19" ht="12.75">
      <c r="A121" s="12" t="s">
        <v>10</v>
      </c>
      <c r="B121" s="12"/>
      <c r="C121" s="28" t="s">
        <v>21</v>
      </c>
      <c r="D121" s="68">
        <v>13.5</v>
      </c>
      <c r="E121" s="68">
        <f t="shared" si="46"/>
        <v>13.5</v>
      </c>
      <c r="F121" s="51">
        <f t="shared" si="45"/>
        <v>6</v>
      </c>
      <c r="G121" s="68">
        <v>3</v>
      </c>
      <c r="H121" s="68">
        <v>3</v>
      </c>
      <c r="I121" s="18">
        <v>3</v>
      </c>
      <c r="J121" s="18">
        <v>4.5</v>
      </c>
      <c r="K121" s="18">
        <v>3.2</v>
      </c>
      <c r="L121" s="20" t="e">
        <f>K121/#REF!*100</f>
        <v>#REF!</v>
      </c>
      <c r="M121" s="20">
        <f t="shared" si="44"/>
        <v>106.66666666666667</v>
      </c>
      <c r="N121" s="48"/>
      <c r="O121" s="48"/>
      <c r="P121" s="17">
        <f t="shared" si="32"/>
        <v>71.11111111111111</v>
      </c>
      <c r="Q121" s="20">
        <f t="shared" si="30"/>
        <v>53.333333333333336</v>
      </c>
      <c r="R121" s="18">
        <f t="shared" si="31"/>
        <v>23.703703703703702</v>
      </c>
      <c r="S121" s="18">
        <f t="shared" si="27"/>
        <v>23.703703703703702</v>
      </c>
    </row>
    <row r="122" spans="1:19" ht="23.25" customHeight="1">
      <c r="A122" s="13" t="s">
        <v>11</v>
      </c>
      <c r="B122" s="13"/>
      <c r="C122" s="28" t="s">
        <v>17</v>
      </c>
      <c r="D122" s="68">
        <v>763.2</v>
      </c>
      <c r="E122" s="68">
        <f t="shared" si="46"/>
        <v>763.2</v>
      </c>
      <c r="F122" s="51">
        <f t="shared" si="45"/>
        <v>360</v>
      </c>
      <c r="G122" s="68">
        <v>175</v>
      </c>
      <c r="H122" s="68">
        <v>185</v>
      </c>
      <c r="I122" s="18">
        <v>185</v>
      </c>
      <c r="J122" s="18">
        <v>218.2</v>
      </c>
      <c r="K122" s="18">
        <v>244.8</v>
      </c>
      <c r="L122" s="20" t="e">
        <f>K122/#REF!*100</f>
        <v>#REF!</v>
      </c>
      <c r="M122" s="20">
        <f t="shared" si="44"/>
        <v>132.32432432432432</v>
      </c>
      <c r="N122" s="48"/>
      <c r="O122" s="48"/>
      <c r="P122" s="17">
        <f t="shared" si="32"/>
        <v>112.19065077910174</v>
      </c>
      <c r="Q122" s="20">
        <f t="shared" si="30"/>
        <v>68</v>
      </c>
      <c r="R122" s="18">
        <f t="shared" si="31"/>
        <v>32.075471698113205</v>
      </c>
      <c r="S122" s="18">
        <f t="shared" si="27"/>
        <v>32.075471698113205</v>
      </c>
    </row>
    <row r="123" spans="1:19" ht="24" hidden="1">
      <c r="A123" s="30" t="s">
        <v>42</v>
      </c>
      <c r="B123" s="30"/>
      <c r="C123" s="28" t="s">
        <v>43</v>
      </c>
      <c r="D123" s="68">
        <v>0</v>
      </c>
      <c r="E123" s="68">
        <f t="shared" si="46"/>
        <v>0</v>
      </c>
      <c r="F123" s="51">
        <f t="shared" si="45"/>
        <v>0</v>
      </c>
      <c r="G123" s="68"/>
      <c r="H123" s="68"/>
      <c r="I123" s="18"/>
      <c r="J123" s="18"/>
      <c r="K123" s="18"/>
      <c r="L123" s="20" t="e">
        <f>K123/#REF!*100</f>
        <v>#REF!</v>
      </c>
      <c r="M123" s="20" t="e">
        <f t="shared" si="44"/>
        <v>#DIV/0!</v>
      </c>
      <c r="N123" s="48"/>
      <c r="O123" s="48"/>
      <c r="P123" s="17" t="e">
        <f t="shared" si="32"/>
        <v>#DIV/0!</v>
      </c>
      <c r="Q123" s="20"/>
      <c r="R123" s="18"/>
      <c r="S123" s="18"/>
    </row>
    <row r="124" spans="1:19" ht="18" customHeight="1" hidden="1">
      <c r="A124" s="29" t="s">
        <v>18</v>
      </c>
      <c r="B124" s="29"/>
      <c r="C124" s="28" t="s">
        <v>15</v>
      </c>
      <c r="D124" s="68"/>
      <c r="E124" s="68">
        <f t="shared" si="46"/>
        <v>0</v>
      </c>
      <c r="F124" s="51">
        <f t="shared" si="45"/>
        <v>0</v>
      </c>
      <c r="G124" s="68"/>
      <c r="H124" s="68"/>
      <c r="I124" s="18"/>
      <c r="J124" s="18"/>
      <c r="K124" s="18"/>
      <c r="L124" s="20" t="e">
        <f>K124/#REF!*100</f>
        <v>#REF!</v>
      </c>
      <c r="M124" s="20" t="e">
        <f t="shared" si="44"/>
        <v>#DIV/0!</v>
      </c>
      <c r="N124" s="48"/>
      <c r="O124" s="48"/>
      <c r="P124" s="17" t="e">
        <f t="shared" si="32"/>
        <v>#DIV/0!</v>
      </c>
      <c r="Q124" s="20"/>
      <c r="R124" s="18"/>
      <c r="S124" s="18"/>
    </row>
    <row r="125" spans="1:19" ht="16.5" customHeight="1" hidden="1">
      <c r="A125" s="21" t="s">
        <v>12</v>
      </c>
      <c r="B125" s="21"/>
      <c r="C125" s="28" t="s">
        <v>7</v>
      </c>
      <c r="D125" s="68"/>
      <c r="E125" s="68">
        <f t="shared" si="46"/>
        <v>0</v>
      </c>
      <c r="F125" s="51">
        <f t="shared" si="45"/>
        <v>0</v>
      </c>
      <c r="G125" s="68"/>
      <c r="H125" s="68"/>
      <c r="I125" s="18"/>
      <c r="J125" s="18"/>
      <c r="K125" s="18"/>
      <c r="L125" s="20"/>
      <c r="M125" s="20"/>
      <c r="N125" s="48"/>
      <c r="O125" s="48"/>
      <c r="P125" s="17" t="e">
        <f t="shared" si="32"/>
        <v>#DIV/0!</v>
      </c>
      <c r="Q125" s="27" t="e">
        <f t="shared" si="30"/>
        <v>#DIV/0!</v>
      </c>
      <c r="R125" s="24" t="e">
        <f t="shared" si="31"/>
        <v>#DIV/0!</v>
      </c>
      <c r="S125" s="18" t="e">
        <f t="shared" si="27"/>
        <v>#DIV/0!</v>
      </c>
    </row>
    <row r="126" spans="1:19" ht="14.25" customHeight="1">
      <c r="A126" s="29" t="s">
        <v>39</v>
      </c>
      <c r="B126" s="82"/>
      <c r="C126" s="16" t="s">
        <v>40</v>
      </c>
      <c r="D126" s="68"/>
      <c r="E126" s="68">
        <f t="shared" si="46"/>
        <v>0</v>
      </c>
      <c r="F126" s="51">
        <f t="shared" si="45"/>
        <v>0</v>
      </c>
      <c r="G126" s="68"/>
      <c r="H126" s="68"/>
      <c r="I126" s="18"/>
      <c r="J126" s="18"/>
      <c r="K126" s="18">
        <v>173.9</v>
      </c>
      <c r="L126" s="20"/>
      <c r="M126" s="20"/>
      <c r="N126" s="48"/>
      <c r="O126" s="48"/>
      <c r="P126" s="17" t="e">
        <f t="shared" si="32"/>
        <v>#DIV/0!</v>
      </c>
      <c r="Q126" s="27"/>
      <c r="R126" s="24"/>
      <c r="S126" s="18"/>
    </row>
    <row r="127" spans="1:19" ht="12.75">
      <c r="A127" s="25" t="s">
        <v>1</v>
      </c>
      <c r="B127" s="25"/>
      <c r="C127" s="32" t="s">
        <v>0</v>
      </c>
      <c r="D127" s="33">
        <f aca="true" t="shared" si="47" ref="D127:L127">D128</f>
        <v>29441.3</v>
      </c>
      <c r="E127" s="33">
        <f t="shared" si="47"/>
        <v>39413.5</v>
      </c>
      <c r="F127" s="83">
        <f t="shared" si="47"/>
        <v>24853.1</v>
      </c>
      <c r="G127" s="83">
        <f t="shared" si="47"/>
        <v>9959</v>
      </c>
      <c r="H127" s="83">
        <f t="shared" si="47"/>
        <v>14894.1</v>
      </c>
      <c r="I127" s="83">
        <f t="shared" si="47"/>
        <v>8203.5</v>
      </c>
      <c r="J127" s="33">
        <f t="shared" si="47"/>
        <v>6356.9</v>
      </c>
      <c r="K127" s="33">
        <f t="shared" si="47"/>
        <v>12216.2</v>
      </c>
      <c r="L127" s="33" t="e">
        <f t="shared" si="47"/>
        <v>#REF!</v>
      </c>
      <c r="M127" s="27">
        <f>K127/I127*100</f>
        <v>148.9144877186567</v>
      </c>
      <c r="N127" s="48"/>
      <c r="O127" s="48"/>
      <c r="P127" s="36">
        <f t="shared" si="32"/>
        <v>192.17228523336848</v>
      </c>
      <c r="Q127" s="27">
        <f t="shared" si="30"/>
        <v>49.1536267105512</v>
      </c>
      <c r="R127" s="24">
        <f t="shared" si="31"/>
        <v>30.99496365458536</v>
      </c>
      <c r="S127" s="24">
        <f t="shared" si="27"/>
        <v>41.49341231535293</v>
      </c>
    </row>
    <row r="128" spans="1:19" ht="24">
      <c r="A128" s="14" t="s">
        <v>66</v>
      </c>
      <c r="B128" s="12"/>
      <c r="C128" s="34" t="s">
        <v>20</v>
      </c>
      <c r="D128" s="37">
        <v>29441.3</v>
      </c>
      <c r="E128" s="68">
        <f t="shared" si="46"/>
        <v>39413.5</v>
      </c>
      <c r="F128" s="51">
        <f>G128+H128</f>
        <v>24853.1</v>
      </c>
      <c r="G128" s="68">
        <f>9938.9+20.1</f>
        <v>9959</v>
      </c>
      <c r="H128" s="68">
        <f>14661.1+233</f>
        <v>14894.1</v>
      </c>
      <c r="I128" s="18">
        <v>8203.5</v>
      </c>
      <c r="J128" s="18">
        <v>6356.9</v>
      </c>
      <c r="K128" s="18">
        <v>12216.2</v>
      </c>
      <c r="L128" s="20" t="e">
        <f>K128/#REF!*100</f>
        <v>#REF!</v>
      </c>
      <c r="M128" s="20">
        <f>K128/I128*100</f>
        <v>148.9144877186567</v>
      </c>
      <c r="N128" s="48"/>
      <c r="O128" s="48"/>
      <c r="P128" s="17">
        <f t="shared" si="32"/>
        <v>192.17228523336848</v>
      </c>
      <c r="Q128" s="20">
        <f t="shared" si="30"/>
        <v>49.1536267105512</v>
      </c>
      <c r="R128" s="18">
        <f t="shared" si="31"/>
        <v>30.99496365458536</v>
      </c>
      <c r="S128" s="18">
        <f t="shared" si="27"/>
        <v>41.49341231535293</v>
      </c>
    </row>
    <row r="129" spans="1:19" ht="12.75">
      <c r="A129" s="21"/>
      <c r="B129" s="22"/>
      <c r="C129" s="23" t="s">
        <v>4</v>
      </c>
      <c r="D129" s="24">
        <f aca="true" t="shared" si="48" ref="D129:K129">D127+D115</f>
        <v>34675.1</v>
      </c>
      <c r="E129" s="24">
        <f t="shared" si="48"/>
        <v>44647.3</v>
      </c>
      <c r="F129" s="24">
        <f t="shared" si="48"/>
        <v>27441.1</v>
      </c>
      <c r="G129" s="24">
        <f t="shared" si="48"/>
        <v>11276</v>
      </c>
      <c r="H129" s="24">
        <f t="shared" si="48"/>
        <v>16165.1</v>
      </c>
      <c r="I129" s="24">
        <f t="shared" si="48"/>
        <v>9474.5</v>
      </c>
      <c r="J129" s="24">
        <f t="shared" si="48"/>
        <v>7731.7</v>
      </c>
      <c r="K129" s="24">
        <f t="shared" si="48"/>
        <v>14009.1</v>
      </c>
      <c r="L129" s="27" t="e">
        <f>K129/#REF!*100</f>
        <v>#REF!</v>
      </c>
      <c r="M129" s="27">
        <f>K129/I129*100</f>
        <v>147.86110084964906</v>
      </c>
      <c r="N129" s="48"/>
      <c r="O129" s="49" t="e">
        <f>J129+#REF!+#REF!</f>
        <v>#REF!</v>
      </c>
      <c r="P129" s="36">
        <f t="shared" si="32"/>
        <v>181.19042383951782</v>
      </c>
      <c r="Q129" s="27">
        <f t="shared" si="30"/>
        <v>51.05152490242738</v>
      </c>
      <c r="R129" s="24">
        <f t="shared" si="31"/>
        <v>31.377261334951942</v>
      </c>
      <c r="S129" s="24">
        <f t="shared" si="27"/>
        <v>40.401037055408636</v>
      </c>
    </row>
    <row r="130" spans="1:19" ht="12.75">
      <c r="A130" s="95"/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7"/>
      <c r="N130" s="48"/>
      <c r="O130" s="48"/>
      <c r="P130" s="47"/>
      <c r="Q130" s="27"/>
      <c r="R130" s="24"/>
      <c r="S130" s="18"/>
    </row>
    <row r="131" spans="1:19" ht="12.75">
      <c r="A131" s="86" t="s">
        <v>31</v>
      </c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8"/>
    </row>
    <row r="132" spans="1:19" ht="12.75">
      <c r="A132" s="25" t="s">
        <v>3</v>
      </c>
      <c r="B132" s="25"/>
      <c r="C132" s="26" t="s">
        <v>67</v>
      </c>
      <c r="D132" s="27">
        <f aca="true" t="shared" si="49" ref="D132:J132">D133+D135+D136+D137+D139+D141+D138+D140+D134</f>
        <v>9968.5</v>
      </c>
      <c r="E132" s="27">
        <f t="shared" si="49"/>
        <v>9968.5</v>
      </c>
      <c r="F132" s="27">
        <f t="shared" si="49"/>
        <v>4694.5</v>
      </c>
      <c r="G132" s="27">
        <f t="shared" si="49"/>
        <v>1877</v>
      </c>
      <c r="H132" s="27">
        <f t="shared" si="49"/>
        <v>2817.5</v>
      </c>
      <c r="I132" s="27">
        <f t="shared" si="49"/>
        <v>2583.6</v>
      </c>
      <c r="J132" s="27">
        <f t="shared" si="49"/>
        <v>2690.4</v>
      </c>
      <c r="K132" s="27">
        <f>K133+K135+K136+K137+K139+K141+K138+K140+K134</f>
        <v>3125.2</v>
      </c>
      <c r="L132" s="27" t="e">
        <f>K132/#REF!*100</f>
        <v>#REF!</v>
      </c>
      <c r="M132" s="27">
        <f aca="true" t="shared" si="50" ref="M132:M139">K132/I132*100</f>
        <v>120.96299736801362</v>
      </c>
      <c r="N132" s="48"/>
      <c r="O132" s="48"/>
      <c r="P132" s="27">
        <f t="shared" si="32"/>
        <v>116.16116562592923</v>
      </c>
      <c r="Q132" s="27">
        <f t="shared" si="30"/>
        <v>66.57151986367025</v>
      </c>
      <c r="R132" s="24">
        <f t="shared" si="31"/>
        <v>31.350754877865274</v>
      </c>
      <c r="S132" s="24">
        <f t="shared" si="27"/>
        <v>31.350754877865274</v>
      </c>
    </row>
    <row r="133" spans="1:19" ht="12.75">
      <c r="A133" s="21" t="s">
        <v>23</v>
      </c>
      <c r="B133" s="21"/>
      <c r="C133" s="28" t="s">
        <v>22</v>
      </c>
      <c r="D133" s="68">
        <v>2675</v>
      </c>
      <c r="E133" s="68">
        <f>G133+H133+I133+J133</f>
        <v>2675</v>
      </c>
      <c r="F133" s="51">
        <f>G133+H133</f>
        <v>1503.7</v>
      </c>
      <c r="G133" s="37">
        <v>605.6</v>
      </c>
      <c r="H133" s="37">
        <v>898.1</v>
      </c>
      <c r="I133" s="17">
        <v>607.5</v>
      </c>
      <c r="J133" s="18">
        <v>563.8</v>
      </c>
      <c r="K133" s="18">
        <v>854.2</v>
      </c>
      <c r="L133" s="20" t="e">
        <f>K133/#REF!*100</f>
        <v>#REF!</v>
      </c>
      <c r="M133" s="20">
        <f t="shared" si="50"/>
        <v>140.6090534979424</v>
      </c>
      <c r="N133" s="48"/>
      <c r="O133" s="48"/>
      <c r="P133" s="17">
        <f t="shared" si="32"/>
        <v>151.50762681802058</v>
      </c>
      <c r="Q133" s="20">
        <f t="shared" si="30"/>
        <v>56.80654385848241</v>
      </c>
      <c r="R133" s="18">
        <f t="shared" si="31"/>
        <v>31.932710280373833</v>
      </c>
      <c r="S133" s="18">
        <f t="shared" si="27"/>
        <v>31.932710280373833</v>
      </c>
    </row>
    <row r="134" spans="1:19" ht="12.75">
      <c r="A134" s="12" t="s">
        <v>69</v>
      </c>
      <c r="B134" s="12"/>
      <c r="C134" s="28" t="s">
        <v>70</v>
      </c>
      <c r="D134" s="68">
        <v>6546.6</v>
      </c>
      <c r="E134" s="68">
        <f>G134+H134+I134+J134</f>
        <v>6546.599999999999</v>
      </c>
      <c r="F134" s="51">
        <f aca="true" t="shared" si="51" ref="F134:F141">G134+H134</f>
        <v>2930.6</v>
      </c>
      <c r="G134" s="37">
        <v>1174</v>
      </c>
      <c r="H134" s="37">
        <v>1756.6</v>
      </c>
      <c r="I134" s="17">
        <v>1738.3</v>
      </c>
      <c r="J134" s="18">
        <v>1877.7</v>
      </c>
      <c r="K134" s="18">
        <v>2114.5</v>
      </c>
      <c r="L134" s="20"/>
      <c r="M134" s="20"/>
      <c r="N134" s="48"/>
      <c r="O134" s="48"/>
      <c r="P134" s="17"/>
      <c r="Q134" s="20">
        <f>K134*100/F134</f>
        <v>72.15246024704838</v>
      </c>
      <c r="R134" s="18">
        <f>K134*100/E134</f>
        <v>32.29920874957994</v>
      </c>
      <c r="S134" s="18">
        <f t="shared" si="27"/>
        <v>32.29920874957993</v>
      </c>
    </row>
    <row r="135" spans="1:19" ht="12.75">
      <c r="A135" s="12" t="s">
        <v>9</v>
      </c>
      <c r="B135" s="12"/>
      <c r="C135" s="28" t="s">
        <v>6</v>
      </c>
      <c r="D135" s="68">
        <v>506.9</v>
      </c>
      <c r="E135" s="68">
        <f aca="true" t="shared" si="52" ref="E135:E146">G135+H135+I135+J135</f>
        <v>506.9</v>
      </c>
      <c r="F135" s="51">
        <f t="shared" si="51"/>
        <v>186.7</v>
      </c>
      <c r="G135" s="37">
        <v>75.4</v>
      </c>
      <c r="H135" s="37">
        <v>111.3</v>
      </c>
      <c r="I135" s="17">
        <v>160.8</v>
      </c>
      <c r="J135" s="18">
        <v>159.4</v>
      </c>
      <c r="K135" s="18">
        <v>144.1</v>
      </c>
      <c r="L135" s="20" t="e">
        <f>K135/#REF!*100</f>
        <v>#REF!</v>
      </c>
      <c r="M135" s="20">
        <f t="shared" si="50"/>
        <v>89.61442786069651</v>
      </c>
      <c r="N135" s="48"/>
      <c r="O135" s="48"/>
      <c r="P135" s="17">
        <f t="shared" si="32"/>
        <v>90.40150564617315</v>
      </c>
      <c r="Q135" s="20">
        <f t="shared" si="30"/>
        <v>77.18264595607927</v>
      </c>
      <c r="R135" s="18">
        <f t="shared" si="31"/>
        <v>28.427697770763466</v>
      </c>
      <c r="S135" s="18">
        <f t="shared" si="27"/>
        <v>28.427697770763466</v>
      </c>
    </row>
    <row r="136" spans="1:19" ht="12.75">
      <c r="A136" s="12" t="s">
        <v>10</v>
      </c>
      <c r="B136" s="12"/>
      <c r="C136" s="28" t="s">
        <v>21</v>
      </c>
      <c r="D136" s="68">
        <v>20</v>
      </c>
      <c r="E136" s="68">
        <f t="shared" si="52"/>
        <v>20</v>
      </c>
      <c r="F136" s="51">
        <f t="shared" si="51"/>
        <v>9</v>
      </c>
      <c r="G136" s="37">
        <v>2.5</v>
      </c>
      <c r="H136" s="37">
        <v>6.5</v>
      </c>
      <c r="I136" s="17">
        <v>9</v>
      </c>
      <c r="J136" s="18">
        <v>2</v>
      </c>
      <c r="K136" s="18">
        <v>7.4</v>
      </c>
      <c r="L136" s="20" t="e">
        <f>K136/#REF!*100</f>
        <v>#REF!</v>
      </c>
      <c r="M136" s="20">
        <f t="shared" si="50"/>
        <v>82.22222222222223</v>
      </c>
      <c r="N136" s="48"/>
      <c r="O136" s="48"/>
      <c r="P136" s="17">
        <f t="shared" si="32"/>
        <v>370</v>
      </c>
      <c r="Q136" s="20">
        <f t="shared" si="30"/>
        <v>82.22222222222223</v>
      </c>
      <c r="R136" s="18">
        <f t="shared" si="31"/>
        <v>37</v>
      </c>
      <c r="S136" s="18">
        <f t="shared" si="27"/>
        <v>37</v>
      </c>
    </row>
    <row r="137" spans="1:19" ht="24">
      <c r="A137" s="13" t="s">
        <v>11</v>
      </c>
      <c r="B137" s="13"/>
      <c r="C137" s="28" t="s">
        <v>17</v>
      </c>
      <c r="D137" s="68">
        <v>220</v>
      </c>
      <c r="E137" s="68">
        <f t="shared" si="52"/>
        <v>220</v>
      </c>
      <c r="F137" s="51">
        <f t="shared" si="51"/>
        <v>64.5</v>
      </c>
      <c r="G137" s="37">
        <v>19.5</v>
      </c>
      <c r="H137" s="37">
        <v>45</v>
      </c>
      <c r="I137" s="17">
        <v>68</v>
      </c>
      <c r="J137" s="18">
        <v>87.5</v>
      </c>
      <c r="K137" s="18">
        <v>5</v>
      </c>
      <c r="L137" s="20" t="e">
        <f>K137/#REF!*100</f>
        <v>#REF!</v>
      </c>
      <c r="M137" s="20">
        <f t="shared" si="50"/>
        <v>7.352941176470589</v>
      </c>
      <c r="N137" s="48"/>
      <c r="O137" s="48"/>
      <c r="P137" s="17">
        <f t="shared" si="32"/>
        <v>5.714285714285714</v>
      </c>
      <c r="Q137" s="20">
        <f t="shared" si="30"/>
        <v>7.751937984496124</v>
      </c>
      <c r="R137" s="18">
        <f t="shared" si="31"/>
        <v>2.272727272727273</v>
      </c>
      <c r="S137" s="18">
        <f t="shared" si="27"/>
        <v>2.272727272727273</v>
      </c>
    </row>
    <row r="138" spans="1:19" ht="24" hidden="1">
      <c r="A138" s="30" t="s">
        <v>42</v>
      </c>
      <c r="B138" s="30"/>
      <c r="C138" s="28" t="s">
        <v>43</v>
      </c>
      <c r="D138" s="68">
        <v>0</v>
      </c>
      <c r="E138" s="68">
        <f t="shared" si="52"/>
        <v>0</v>
      </c>
      <c r="F138" s="51">
        <f t="shared" si="51"/>
        <v>0</v>
      </c>
      <c r="G138" s="37"/>
      <c r="H138" s="37"/>
      <c r="I138" s="17"/>
      <c r="J138" s="18"/>
      <c r="K138" s="18"/>
      <c r="L138" s="20" t="e">
        <f>K138/#REF!*100</f>
        <v>#REF!</v>
      </c>
      <c r="M138" s="20" t="e">
        <f t="shared" si="50"/>
        <v>#DIV/0!</v>
      </c>
      <c r="N138" s="48"/>
      <c r="O138" s="48"/>
      <c r="P138" s="17" t="e">
        <f t="shared" si="32"/>
        <v>#DIV/0!</v>
      </c>
      <c r="Q138" s="20"/>
      <c r="R138" s="18"/>
      <c r="S138" s="18"/>
    </row>
    <row r="139" spans="1:19" ht="18.75" customHeight="1" hidden="1">
      <c r="A139" s="30" t="s">
        <v>18</v>
      </c>
      <c r="B139" s="30"/>
      <c r="C139" s="28" t="s">
        <v>15</v>
      </c>
      <c r="D139" s="68">
        <v>0</v>
      </c>
      <c r="E139" s="68">
        <f t="shared" si="52"/>
        <v>0</v>
      </c>
      <c r="F139" s="51">
        <f t="shared" si="51"/>
        <v>0</v>
      </c>
      <c r="G139" s="37"/>
      <c r="H139" s="37"/>
      <c r="I139" s="17"/>
      <c r="J139" s="18"/>
      <c r="K139" s="18"/>
      <c r="L139" s="20" t="e">
        <f>K139/#REF!*100</f>
        <v>#REF!</v>
      </c>
      <c r="M139" s="20" t="e">
        <f t="shared" si="50"/>
        <v>#DIV/0!</v>
      </c>
      <c r="N139" s="48"/>
      <c r="O139" s="48"/>
      <c r="P139" s="17" t="e">
        <f t="shared" si="32"/>
        <v>#DIV/0!</v>
      </c>
      <c r="Q139" s="20" t="e">
        <f t="shared" si="30"/>
        <v>#DIV/0!</v>
      </c>
      <c r="R139" s="18" t="e">
        <f t="shared" si="31"/>
        <v>#DIV/0!</v>
      </c>
      <c r="S139" s="18"/>
    </row>
    <row r="140" spans="1:19" ht="15" customHeight="1" hidden="1">
      <c r="A140" s="21" t="s">
        <v>12</v>
      </c>
      <c r="B140" s="21"/>
      <c r="C140" s="28" t="s">
        <v>7</v>
      </c>
      <c r="D140" s="68"/>
      <c r="E140" s="68">
        <f t="shared" si="52"/>
        <v>0</v>
      </c>
      <c r="F140" s="51">
        <f t="shared" si="51"/>
        <v>0</v>
      </c>
      <c r="G140" s="37"/>
      <c r="H140" s="37"/>
      <c r="I140" s="17"/>
      <c r="J140" s="18"/>
      <c r="K140" s="18"/>
      <c r="L140" s="20"/>
      <c r="M140" s="20"/>
      <c r="N140" s="48"/>
      <c r="O140" s="48"/>
      <c r="P140" s="17"/>
      <c r="Q140" s="20"/>
      <c r="R140" s="18"/>
      <c r="S140" s="18"/>
    </row>
    <row r="141" spans="1:19" ht="18" customHeight="1">
      <c r="A141" s="30" t="s">
        <v>39</v>
      </c>
      <c r="B141" s="82"/>
      <c r="C141" s="16" t="s">
        <v>40</v>
      </c>
      <c r="D141" s="68"/>
      <c r="E141" s="68">
        <f t="shared" si="52"/>
        <v>0</v>
      </c>
      <c r="F141" s="51">
        <f t="shared" si="51"/>
        <v>0</v>
      </c>
      <c r="G141" s="37"/>
      <c r="H141" s="37"/>
      <c r="I141" s="17"/>
      <c r="J141" s="18"/>
      <c r="K141" s="17"/>
      <c r="L141" s="20"/>
      <c r="M141" s="20"/>
      <c r="N141" s="48"/>
      <c r="O141" s="48"/>
      <c r="P141" s="17"/>
      <c r="Q141" s="20"/>
      <c r="R141" s="18"/>
      <c r="S141" s="18"/>
    </row>
    <row r="142" spans="1:19" ht="18" customHeight="1">
      <c r="A142" s="63" t="s">
        <v>1</v>
      </c>
      <c r="B142" s="63"/>
      <c r="C142" s="32" t="s">
        <v>0</v>
      </c>
      <c r="D142" s="33">
        <f aca="true" t="shared" si="53" ref="D142:J142">D143+D144+D145</f>
        <v>46888.3</v>
      </c>
      <c r="E142" s="33">
        <f>E143+E144+E146</f>
        <v>80778.7</v>
      </c>
      <c r="F142" s="33">
        <f t="shared" si="53"/>
        <v>53689</v>
      </c>
      <c r="G142" s="33">
        <f>G143+G144+G145+G146</f>
        <v>43411.7</v>
      </c>
      <c r="H142" s="33">
        <f t="shared" si="53"/>
        <v>10302.3</v>
      </c>
      <c r="I142" s="33">
        <f t="shared" si="53"/>
        <v>12298.7</v>
      </c>
      <c r="J142" s="33">
        <f t="shared" si="53"/>
        <v>14766</v>
      </c>
      <c r="K142" s="33">
        <f>K143+K144+K145+K146</f>
        <v>16906.6</v>
      </c>
      <c r="L142" s="27" t="e">
        <f>K142/#REF!*100</f>
        <v>#REF!</v>
      </c>
      <c r="M142" s="27">
        <f>K142/I142*100</f>
        <v>137.46656150650068</v>
      </c>
      <c r="N142" s="48"/>
      <c r="O142" s="48"/>
      <c r="P142" s="36">
        <f t="shared" si="32"/>
        <v>114.4968170120547</v>
      </c>
      <c r="Q142" s="27">
        <f t="shared" si="30"/>
        <v>31.489876883532936</v>
      </c>
      <c r="R142" s="24">
        <f t="shared" si="31"/>
        <v>20.929527214476092</v>
      </c>
      <c r="S142" s="24">
        <f aca="true" t="shared" si="54" ref="S142:S204">K142*100/D142</f>
        <v>36.05718270869278</v>
      </c>
    </row>
    <row r="143" spans="1:19" ht="24">
      <c r="A143" s="14" t="s">
        <v>66</v>
      </c>
      <c r="B143" s="12"/>
      <c r="C143" s="34" t="s">
        <v>20</v>
      </c>
      <c r="D143" s="37">
        <v>46888.3</v>
      </c>
      <c r="E143" s="68">
        <f t="shared" si="52"/>
        <v>80753.7</v>
      </c>
      <c r="F143" s="51">
        <f>G143+H143</f>
        <v>53689</v>
      </c>
      <c r="G143" s="37">
        <v>43386.7</v>
      </c>
      <c r="H143" s="37">
        <v>10302.3</v>
      </c>
      <c r="I143" s="17">
        <v>12298.7</v>
      </c>
      <c r="J143" s="18">
        <v>14766</v>
      </c>
      <c r="K143" s="18">
        <v>16761.6</v>
      </c>
      <c r="L143" s="20" t="e">
        <f>K143/#REF!*100</f>
        <v>#REF!</v>
      </c>
      <c r="M143" s="20">
        <f>K143/I143*100</f>
        <v>136.2875751095644</v>
      </c>
      <c r="N143" s="48"/>
      <c r="O143" s="48"/>
      <c r="P143" s="17">
        <f t="shared" si="32"/>
        <v>113.51483136936203</v>
      </c>
      <c r="Q143" s="20">
        <f t="shared" si="30"/>
        <v>31.21980293914954</v>
      </c>
      <c r="R143" s="18">
        <f t="shared" si="31"/>
        <v>20.756448311346723</v>
      </c>
      <c r="S143" s="18">
        <f t="shared" si="54"/>
        <v>35.74793711864153</v>
      </c>
    </row>
    <row r="144" spans="1:19" ht="12.75" customHeight="1" hidden="1">
      <c r="A144" s="14" t="s">
        <v>2</v>
      </c>
      <c r="B144" s="14"/>
      <c r="C144" s="35" t="s">
        <v>19</v>
      </c>
      <c r="D144" s="35"/>
      <c r="E144" s="68">
        <f t="shared" si="52"/>
        <v>0</v>
      </c>
      <c r="F144" s="51">
        <f>G144+H144</f>
        <v>0</v>
      </c>
      <c r="G144" s="80"/>
      <c r="H144" s="80"/>
      <c r="I144" s="17"/>
      <c r="J144" s="18"/>
      <c r="K144" s="18"/>
      <c r="L144" s="20"/>
      <c r="M144" s="20"/>
      <c r="N144" s="48"/>
      <c r="O144" s="48"/>
      <c r="P144" s="17" t="e">
        <f t="shared" si="32"/>
        <v>#DIV/0!</v>
      </c>
      <c r="Q144" s="20" t="e">
        <f>K144*100/F144</f>
        <v>#DIV/0!</v>
      </c>
      <c r="R144" s="18" t="e">
        <f>K144*100/E144</f>
        <v>#DIV/0!</v>
      </c>
      <c r="S144" s="18" t="e">
        <f>K144*100/D144</f>
        <v>#DIV/0!</v>
      </c>
    </row>
    <row r="145" spans="1:19" ht="33" customHeight="1" hidden="1">
      <c r="A145" s="14" t="s">
        <v>65</v>
      </c>
      <c r="B145" s="70"/>
      <c r="C145" s="19" t="s">
        <v>63</v>
      </c>
      <c r="D145" s="35"/>
      <c r="E145" s="68">
        <f t="shared" si="52"/>
        <v>0</v>
      </c>
      <c r="F145" s="51">
        <f>G145+H145</f>
        <v>0</v>
      </c>
      <c r="G145" s="80"/>
      <c r="H145" s="80"/>
      <c r="I145" s="17"/>
      <c r="J145" s="18"/>
      <c r="K145" s="18"/>
      <c r="L145" s="20"/>
      <c r="M145" s="20"/>
      <c r="N145" s="48"/>
      <c r="O145" s="48"/>
      <c r="P145" s="17"/>
      <c r="Q145" s="20" t="e">
        <f>K145*100/F145</f>
        <v>#DIV/0!</v>
      </c>
      <c r="R145" s="18" t="e">
        <f>K145*100/E145</f>
        <v>#DIV/0!</v>
      </c>
      <c r="S145" s="18" t="e">
        <f>K145*100/D145</f>
        <v>#DIV/0!</v>
      </c>
    </row>
    <row r="146" spans="1:19" ht="16.5" customHeight="1">
      <c r="A146" s="14" t="s">
        <v>2</v>
      </c>
      <c r="B146" s="14"/>
      <c r="C146" s="35" t="s">
        <v>19</v>
      </c>
      <c r="D146" s="35"/>
      <c r="E146" s="68">
        <f t="shared" si="52"/>
        <v>25</v>
      </c>
      <c r="F146" s="51">
        <f>G146+H146</f>
        <v>25</v>
      </c>
      <c r="G146" s="80">
        <v>25</v>
      </c>
      <c r="H146" s="80"/>
      <c r="I146" s="17"/>
      <c r="J146" s="18"/>
      <c r="K146" s="18">
        <f>145</f>
        <v>145</v>
      </c>
      <c r="L146" s="20"/>
      <c r="M146" s="20"/>
      <c r="N146" s="48"/>
      <c r="O146" s="48"/>
      <c r="P146" s="17"/>
      <c r="Q146" s="20">
        <f>K146*100/F146</f>
        <v>580</v>
      </c>
      <c r="R146" s="18">
        <f>K146*100/E146</f>
        <v>580</v>
      </c>
      <c r="S146" s="18"/>
    </row>
    <row r="147" spans="1:19" ht="12.75">
      <c r="A147" s="21"/>
      <c r="B147" s="22"/>
      <c r="C147" s="23" t="s">
        <v>4</v>
      </c>
      <c r="D147" s="24">
        <f aca="true" t="shared" si="55" ref="D147:J147">D142+D132</f>
        <v>56856.8</v>
      </c>
      <c r="E147" s="24">
        <f t="shared" si="55"/>
        <v>90747.2</v>
      </c>
      <c r="F147" s="24">
        <f t="shared" si="55"/>
        <v>58383.5</v>
      </c>
      <c r="G147" s="36">
        <f t="shared" si="55"/>
        <v>45288.7</v>
      </c>
      <c r="H147" s="36">
        <f t="shared" si="55"/>
        <v>13119.8</v>
      </c>
      <c r="I147" s="36">
        <f t="shared" si="55"/>
        <v>14882.300000000001</v>
      </c>
      <c r="J147" s="24">
        <f t="shared" si="55"/>
        <v>17456.4</v>
      </c>
      <c r="K147" s="24">
        <f>K142+K132</f>
        <v>20031.8</v>
      </c>
      <c r="L147" s="27" t="e">
        <f>K147/#REF!*100</f>
        <v>#REF!</v>
      </c>
      <c r="M147" s="27">
        <f>K147/I147*100</f>
        <v>134.60150648757246</v>
      </c>
      <c r="N147" s="48"/>
      <c r="O147" s="49" t="e">
        <f>J147+#REF!+#REF!</f>
        <v>#REF!</v>
      </c>
      <c r="P147" s="36">
        <f t="shared" si="32"/>
        <v>114.75332829220228</v>
      </c>
      <c r="Q147" s="27">
        <f t="shared" si="30"/>
        <v>34.310721351066654</v>
      </c>
      <c r="R147" s="24">
        <f t="shared" si="31"/>
        <v>22.074289895445812</v>
      </c>
      <c r="S147" s="24">
        <f t="shared" si="54"/>
        <v>35.23202149962713</v>
      </c>
    </row>
    <row r="148" spans="1:19" ht="12.75">
      <c r="A148" s="98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100"/>
      <c r="N148" s="48"/>
      <c r="O148" s="48"/>
      <c r="P148" s="47"/>
      <c r="Q148" s="27"/>
      <c r="R148" s="24"/>
      <c r="S148" s="18"/>
    </row>
    <row r="149" spans="1:19" ht="12.75">
      <c r="A149" s="86" t="s">
        <v>32</v>
      </c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8"/>
    </row>
    <row r="150" spans="1:19" ht="12.75">
      <c r="A150" s="25" t="s">
        <v>3</v>
      </c>
      <c r="B150" s="25"/>
      <c r="C150" s="26" t="s">
        <v>67</v>
      </c>
      <c r="D150" s="27">
        <f aca="true" t="shared" si="56" ref="D150:J150">D151+D154+D156+D158+D155+D159+D157+D160+D153+D152</f>
        <v>21387.699999999997</v>
      </c>
      <c r="E150" s="27">
        <f t="shared" si="56"/>
        <v>21387.699999999997</v>
      </c>
      <c r="F150" s="27">
        <f t="shared" si="56"/>
        <v>10468.099999999999</v>
      </c>
      <c r="G150" s="27">
        <f t="shared" si="56"/>
        <v>5146.6</v>
      </c>
      <c r="H150" s="27">
        <f t="shared" si="56"/>
        <v>5321.499999999999</v>
      </c>
      <c r="I150" s="27">
        <f t="shared" si="56"/>
        <v>5801.8</v>
      </c>
      <c r="J150" s="27">
        <f t="shared" si="56"/>
        <v>5117.8</v>
      </c>
      <c r="K150" s="27">
        <f>K151+K154+K156+K158+K155+K159+K157+K160+K153+K152+0.1</f>
        <v>6732.1</v>
      </c>
      <c r="L150" s="27" t="e">
        <f>K150/#REF!*100</f>
        <v>#REF!</v>
      </c>
      <c r="M150" s="27">
        <f>K150/I150*100</f>
        <v>116.03467889275743</v>
      </c>
      <c r="N150" s="48"/>
      <c r="O150" s="48"/>
      <c r="P150" s="27">
        <f t="shared" si="32"/>
        <v>131.54285044354995</v>
      </c>
      <c r="Q150" s="27">
        <f t="shared" si="30"/>
        <v>64.31061988326441</v>
      </c>
      <c r="R150" s="24">
        <f t="shared" si="31"/>
        <v>31.476502849768796</v>
      </c>
      <c r="S150" s="24">
        <f t="shared" si="54"/>
        <v>31.476502849768796</v>
      </c>
    </row>
    <row r="151" spans="1:19" ht="12.75">
      <c r="A151" s="21" t="s">
        <v>23</v>
      </c>
      <c r="B151" s="21"/>
      <c r="C151" s="28" t="s">
        <v>22</v>
      </c>
      <c r="D151" s="68">
        <v>13460</v>
      </c>
      <c r="E151" s="37">
        <f>G151+H151+I151+J151</f>
        <v>13460</v>
      </c>
      <c r="F151" s="51">
        <f>G151+H151</f>
        <v>6765.799999999999</v>
      </c>
      <c r="G151" s="37">
        <v>3322.1</v>
      </c>
      <c r="H151" s="37">
        <v>3443.7</v>
      </c>
      <c r="I151" s="17">
        <v>3779.5</v>
      </c>
      <c r="J151" s="18">
        <v>2914.7</v>
      </c>
      <c r="K151" s="18">
        <v>4626.2</v>
      </c>
      <c r="L151" s="20" t="e">
        <f>K151/#REF!*100</f>
        <v>#REF!</v>
      </c>
      <c r="M151" s="20">
        <f>K151/I151*100</f>
        <v>122.40243418441592</v>
      </c>
      <c r="N151" s="48"/>
      <c r="O151" s="48"/>
      <c r="P151" s="17">
        <f t="shared" si="32"/>
        <v>158.71959378323672</v>
      </c>
      <c r="Q151" s="20">
        <f t="shared" si="30"/>
        <v>68.37624523337965</v>
      </c>
      <c r="R151" s="18">
        <f t="shared" si="31"/>
        <v>34.36998514115899</v>
      </c>
      <c r="S151" s="18">
        <f t="shared" si="54"/>
        <v>34.36998514115899</v>
      </c>
    </row>
    <row r="152" spans="1:19" ht="12.75">
      <c r="A152" s="12" t="s">
        <v>69</v>
      </c>
      <c r="B152" s="12"/>
      <c r="C152" s="28" t="s">
        <v>70</v>
      </c>
      <c r="D152" s="68">
        <v>4923.1</v>
      </c>
      <c r="E152" s="37">
        <f>G152+H152+I152+J152</f>
        <v>4923.099999999999</v>
      </c>
      <c r="F152" s="51">
        <f aca="true" t="shared" si="57" ref="F152:F160">G152+H152</f>
        <v>2402.7</v>
      </c>
      <c r="G152" s="37">
        <v>1180</v>
      </c>
      <c r="H152" s="37">
        <v>1222.7</v>
      </c>
      <c r="I152" s="17">
        <v>1342.2</v>
      </c>
      <c r="J152" s="18">
        <v>1178.2</v>
      </c>
      <c r="K152" s="18">
        <v>1590.1</v>
      </c>
      <c r="L152" s="20"/>
      <c r="M152" s="20"/>
      <c r="N152" s="48"/>
      <c r="O152" s="48"/>
      <c r="P152" s="17"/>
      <c r="Q152" s="20">
        <f>K152*100/F152</f>
        <v>66.17971448786783</v>
      </c>
      <c r="R152" s="18">
        <f>K152*100/E152</f>
        <v>32.29875484958664</v>
      </c>
      <c r="S152" s="18">
        <f t="shared" si="54"/>
        <v>32.29875484958664</v>
      </c>
    </row>
    <row r="153" spans="1:19" ht="12.75" customHeight="1">
      <c r="A153" s="12" t="s">
        <v>8</v>
      </c>
      <c r="B153" s="12"/>
      <c r="C153" s="28" t="s">
        <v>5</v>
      </c>
      <c r="D153" s="68">
        <v>15</v>
      </c>
      <c r="E153" s="37">
        <f aca="true" t="shared" si="58" ref="E153:E162">G153+H153+I153+J153</f>
        <v>14.999999999999998</v>
      </c>
      <c r="F153" s="51">
        <f t="shared" si="57"/>
        <v>10.1</v>
      </c>
      <c r="G153" s="37">
        <v>4.5</v>
      </c>
      <c r="H153" s="37">
        <v>5.6</v>
      </c>
      <c r="I153" s="17">
        <v>2.8</v>
      </c>
      <c r="J153" s="18">
        <v>2.1</v>
      </c>
      <c r="K153" s="18">
        <v>2.6</v>
      </c>
      <c r="L153" s="20"/>
      <c r="M153" s="20"/>
      <c r="N153" s="48"/>
      <c r="O153" s="48"/>
      <c r="P153" s="17">
        <f t="shared" si="32"/>
        <v>123.80952380952381</v>
      </c>
      <c r="Q153" s="20">
        <f>K153*100/F153</f>
        <v>25.742574257425744</v>
      </c>
      <c r="R153" s="18">
        <f>K153*100/E153</f>
        <v>17.333333333333336</v>
      </c>
      <c r="S153" s="18">
        <f t="shared" si="54"/>
        <v>17.333333333333332</v>
      </c>
    </row>
    <row r="154" spans="1:19" ht="12.75">
      <c r="A154" s="12" t="s">
        <v>9</v>
      </c>
      <c r="B154" s="12"/>
      <c r="C154" s="28" t="s">
        <v>6</v>
      </c>
      <c r="D154" s="68">
        <v>1987</v>
      </c>
      <c r="E154" s="37">
        <f t="shared" si="58"/>
        <v>1987</v>
      </c>
      <c r="F154" s="51">
        <f t="shared" si="57"/>
        <v>790.7</v>
      </c>
      <c r="G154" s="37">
        <v>392</v>
      </c>
      <c r="H154" s="37">
        <v>398.7</v>
      </c>
      <c r="I154" s="17">
        <v>416.4</v>
      </c>
      <c r="J154" s="18">
        <v>779.9</v>
      </c>
      <c r="K154" s="18">
        <v>227.2</v>
      </c>
      <c r="L154" s="20" t="e">
        <f>K154/#REF!*100</f>
        <v>#REF!</v>
      </c>
      <c r="M154" s="20">
        <f>K154/I154*100</f>
        <v>54.562920268972135</v>
      </c>
      <c r="N154" s="48"/>
      <c r="O154" s="48"/>
      <c r="P154" s="17">
        <f t="shared" si="32"/>
        <v>29.131939992306705</v>
      </c>
      <c r="Q154" s="20">
        <f>K154*100/F154</f>
        <v>28.73403313519666</v>
      </c>
      <c r="R154" s="18">
        <f aca="true" t="shared" si="59" ref="R154:R222">K154*100/E154</f>
        <v>11.434323100150982</v>
      </c>
      <c r="S154" s="18">
        <f t="shared" si="54"/>
        <v>11.434323100150982</v>
      </c>
    </row>
    <row r="155" spans="1:19" ht="12.75">
      <c r="A155" s="12" t="s">
        <v>10</v>
      </c>
      <c r="B155" s="12"/>
      <c r="C155" s="28" t="s">
        <v>21</v>
      </c>
      <c r="D155" s="68">
        <v>148.6</v>
      </c>
      <c r="E155" s="37">
        <f t="shared" si="58"/>
        <v>148.6</v>
      </c>
      <c r="F155" s="51">
        <f t="shared" si="57"/>
        <v>73.9</v>
      </c>
      <c r="G155" s="37">
        <v>35.8</v>
      </c>
      <c r="H155" s="37">
        <v>38.1</v>
      </c>
      <c r="I155" s="17">
        <v>40.8</v>
      </c>
      <c r="J155" s="18">
        <v>33.9</v>
      </c>
      <c r="K155" s="18">
        <v>21.2</v>
      </c>
      <c r="L155" s="20" t="e">
        <f>K155/#REF!*100</f>
        <v>#REF!</v>
      </c>
      <c r="M155" s="20">
        <f>K155/I155*100</f>
        <v>51.9607843137255</v>
      </c>
      <c r="N155" s="48"/>
      <c r="O155" s="48"/>
      <c r="P155" s="17">
        <f t="shared" si="32"/>
        <v>62.53687315634219</v>
      </c>
      <c r="Q155" s="20">
        <f>K155*100/F155</f>
        <v>28.68741542625169</v>
      </c>
      <c r="R155" s="18">
        <f t="shared" si="59"/>
        <v>14.266487213997308</v>
      </c>
      <c r="S155" s="18">
        <f t="shared" si="54"/>
        <v>14.266487213997308</v>
      </c>
    </row>
    <row r="156" spans="1:19" ht="24">
      <c r="A156" s="13" t="s">
        <v>11</v>
      </c>
      <c r="B156" s="13"/>
      <c r="C156" s="28" t="s">
        <v>17</v>
      </c>
      <c r="D156" s="68">
        <v>854</v>
      </c>
      <c r="E156" s="37">
        <f t="shared" si="58"/>
        <v>854</v>
      </c>
      <c r="F156" s="51">
        <f t="shared" si="57"/>
        <v>424.9</v>
      </c>
      <c r="G156" s="37">
        <v>212.2</v>
      </c>
      <c r="H156" s="37">
        <v>212.7</v>
      </c>
      <c r="I156" s="17">
        <v>220.1</v>
      </c>
      <c r="J156" s="18">
        <v>209</v>
      </c>
      <c r="K156" s="18">
        <v>18.6</v>
      </c>
      <c r="L156" s="20" t="e">
        <f>K156/#REF!*100</f>
        <v>#REF!</v>
      </c>
      <c r="M156" s="20">
        <f>K156/I156*100</f>
        <v>8.450704225352114</v>
      </c>
      <c r="N156" s="48"/>
      <c r="O156" s="48"/>
      <c r="P156" s="17">
        <f t="shared" si="32"/>
        <v>8.89952153110048</v>
      </c>
      <c r="Q156" s="20">
        <f>K156*100/F156</f>
        <v>4.377500588373736</v>
      </c>
      <c r="R156" s="18">
        <f t="shared" si="59"/>
        <v>2.177985948477752</v>
      </c>
      <c r="S156" s="18">
        <f t="shared" si="54"/>
        <v>2.177985948477752</v>
      </c>
    </row>
    <row r="157" spans="1:19" ht="24" customHeight="1">
      <c r="A157" s="30" t="s">
        <v>42</v>
      </c>
      <c r="B157" s="30"/>
      <c r="C157" s="28" t="s">
        <v>43</v>
      </c>
      <c r="D157" s="68"/>
      <c r="E157" s="37">
        <f t="shared" si="58"/>
        <v>0</v>
      </c>
      <c r="F157" s="51">
        <f t="shared" si="57"/>
        <v>0</v>
      </c>
      <c r="G157" s="37"/>
      <c r="H157" s="37"/>
      <c r="I157" s="17"/>
      <c r="J157" s="18"/>
      <c r="K157" s="18">
        <v>238.9</v>
      </c>
      <c r="L157" s="20"/>
      <c r="M157" s="20"/>
      <c r="N157" s="48"/>
      <c r="O157" s="48"/>
      <c r="P157" s="17" t="e">
        <f aca="true" t="shared" si="60" ref="P157:P225">K157*100/J157</f>
        <v>#DIV/0!</v>
      </c>
      <c r="Q157" s="20"/>
      <c r="R157" s="18"/>
      <c r="S157" s="18"/>
    </row>
    <row r="158" spans="1:19" ht="18" customHeight="1" hidden="1">
      <c r="A158" s="29" t="s">
        <v>18</v>
      </c>
      <c r="B158" s="29"/>
      <c r="C158" s="28" t="s">
        <v>15</v>
      </c>
      <c r="D158" s="68"/>
      <c r="E158" s="37">
        <f t="shared" si="58"/>
        <v>0</v>
      </c>
      <c r="F158" s="51">
        <f t="shared" si="57"/>
        <v>0</v>
      </c>
      <c r="G158" s="37"/>
      <c r="H158" s="37"/>
      <c r="I158" s="17"/>
      <c r="J158" s="18"/>
      <c r="K158" s="18"/>
      <c r="L158" s="20" t="e">
        <f>K158/#REF!*100</f>
        <v>#REF!</v>
      </c>
      <c r="M158" s="20" t="e">
        <f>K158/I158*100</f>
        <v>#DIV/0!</v>
      </c>
      <c r="N158" s="48"/>
      <c r="O158" s="48"/>
      <c r="P158" s="17" t="e">
        <f t="shared" si="60"/>
        <v>#DIV/0!</v>
      </c>
      <c r="Q158" s="20"/>
      <c r="R158" s="18"/>
      <c r="S158" s="18"/>
    </row>
    <row r="159" spans="1:19" ht="15.75" customHeight="1" hidden="1">
      <c r="A159" s="21" t="s">
        <v>12</v>
      </c>
      <c r="B159" s="21"/>
      <c r="C159" s="28" t="s">
        <v>7</v>
      </c>
      <c r="D159" s="68"/>
      <c r="E159" s="37">
        <f t="shared" si="58"/>
        <v>0</v>
      </c>
      <c r="F159" s="51">
        <f t="shared" si="57"/>
        <v>0</v>
      </c>
      <c r="G159" s="37"/>
      <c r="H159" s="37"/>
      <c r="I159" s="17"/>
      <c r="J159" s="18"/>
      <c r="K159" s="18"/>
      <c r="L159" s="20" t="e">
        <f>K159/#REF!*100</f>
        <v>#REF!</v>
      </c>
      <c r="M159" s="20"/>
      <c r="N159" s="48"/>
      <c r="O159" s="48"/>
      <c r="P159" s="17" t="e">
        <f t="shared" si="60"/>
        <v>#DIV/0!</v>
      </c>
      <c r="Q159" s="20"/>
      <c r="R159" s="18"/>
      <c r="S159" s="18"/>
    </row>
    <row r="160" spans="1:19" ht="16.5" customHeight="1">
      <c r="A160" s="29" t="s">
        <v>39</v>
      </c>
      <c r="B160" s="54"/>
      <c r="C160" s="16" t="s">
        <v>40</v>
      </c>
      <c r="D160" s="68"/>
      <c r="E160" s="37">
        <f t="shared" si="58"/>
        <v>0</v>
      </c>
      <c r="F160" s="51">
        <f t="shared" si="57"/>
        <v>0</v>
      </c>
      <c r="G160" s="37"/>
      <c r="H160" s="37"/>
      <c r="I160" s="17"/>
      <c r="J160" s="18"/>
      <c r="K160" s="18">
        <v>7.2</v>
      </c>
      <c r="L160" s="20"/>
      <c r="M160" s="20"/>
      <c r="N160" s="48"/>
      <c r="O160" s="48"/>
      <c r="P160" s="17" t="e">
        <f t="shared" si="60"/>
        <v>#DIV/0!</v>
      </c>
      <c r="Q160" s="27"/>
      <c r="R160" s="24"/>
      <c r="S160" s="18"/>
    </row>
    <row r="161" spans="1:19" ht="12.75">
      <c r="A161" s="25" t="s">
        <v>1</v>
      </c>
      <c r="B161" s="25"/>
      <c r="C161" s="32" t="s">
        <v>0</v>
      </c>
      <c r="D161" s="33">
        <f>D162+D163</f>
        <v>32823.7</v>
      </c>
      <c r="E161" s="33">
        <f>E162+E163</f>
        <v>82481.09999999999</v>
      </c>
      <c r="F161" s="33">
        <f aca="true" t="shared" si="61" ref="F161:K161">F162+F163</f>
        <v>65509.3</v>
      </c>
      <c r="G161" s="33">
        <f t="shared" si="61"/>
        <v>52910</v>
      </c>
      <c r="H161" s="33">
        <f t="shared" si="61"/>
        <v>12599.300000000001</v>
      </c>
      <c r="I161" s="33">
        <f t="shared" si="61"/>
        <v>9874.4</v>
      </c>
      <c r="J161" s="33">
        <f t="shared" si="61"/>
        <v>7097.4</v>
      </c>
      <c r="K161" s="33">
        <f t="shared" si="61"/>
        <v>9605</v>
      </c>
      <c r="L161" s="27" t="e">
        <f>K161/#REF!*100</f>
        <v>#REF!</v>
      </c>
      <c r="M161" s="27">
        <f>K161/I161*100</f>
        <v>97.27173296605363</v>
      </c>
      <c r="N161" s="48"/>
      <c r="O161" s="48"/>
      <c r="P161" s="36">
        <f t="shared" si="60"/>
        <v>135.33124806267085</v>
      </c>
      <c r="Q161" s="27">
        <f>K161*100/F161</f>
        <v>14.662040351522608</v>
      </c>
      <c r="R161" s="24">
        <f t="shared" si="59"/>
        <v>11.645092027143189</v>
      </c>
      <c r="S161" s="24">
        <f t="shared" si="54"/>
        <v>29.262392722331732</v>
      </c>
    </row>
    <row r="162" spans="1:19" ht="24">
      <c r="A162" s="14" t="s">
        <v>66</v>
      </c>
      <c r="B162" s="12"/>
      <c r="C162" s="34" t="s">
        <v>20</v>
      </c>
      <c r="D162" s="37">
        <v>32823.7</v>
      </c>
      <c r="E162" s="37">
        <f t="shared" si="58"/>
        <v>82481.09999999999</v>
      </c>
      <c r="F162" s="51">
        <f>G162+H162</f>
        <v>65509.3</v>
      </c>
      <c r="G162" s="37">
        <v>52910</v>
      </c>
      <c r="H162" s="37">
        <f>8298.2+4301.1</f>
        <v>12599.300000000001</v>
      </c>
      <c r="I162" s="17">
        <v>9874.4</v>
      </c>
      <c r="J162" s="18">
        <v>7097.4</v>
      </c>
      <c r="K162" s="18">
        <v>9124</v>
      </c>
      <c r="L162" s="20" t="e">
        <f>K162/#REF!*100</f>
        <v>#REF!</v>
      </c>
      <c r="M162" s="20">
        <f>K162/I162*100</f>
        <v>92.40055091954954</v>
      </c>
      <c r="N162" s="48"/>
      <c r="O162" s="48"/>
      <c r="P162" s="17">
        <f t="shared" si="60"/>
        <v>128.55411840955844</v>
      </c>
      <c r="Q162" s="20">
        <f>K162*100/F162</f>
        <v>13.927793458333396</v>
      </c>
      <c r="R162" s="18">
        <f t="shared" si="59"/>
        <v>11.061928126564753</v>
      </c>
      <c r="S162" s="18">
        <f t="shared" si="54"/>
        <v>27.796988151853693</v>
      </c>
    </row>
    <row r="163" spans="1:19" ht="12.75">
      <c r="A163" s="14" t="s">
        <v>2</v>
      </c>
      <c r="B163" s="14"/>
      <c r="C163" s="35" t="s">
        <v>19</v>
      </c>
      <c r="D163" s="35"/>
      <c r="E163" s="37">
        <f>G163+H163+I163+J163</f>
        <v>0</v>
      </c>
      <c r="F163" s="51">
        <f>G163+H163</f>
        <v>0</v>
      </c>
      <c r="G163" s="37"/>
      <c r="H163" s="37"/>
      <c r="I163" s="17"/>
      <c r="J163" s="18"/>
      <c r="K163" s="18">
        <v>481</v>
      </c>
      <c r="L163" s="20"/>
      <c r="M163" s="20"/>
      <c r="N163" s="48"/>
      <c r="O163" s="48"/>
      <c r="P163" s="17"/>
      <c r="Q163" s="20"/>
      <c r="R163" s="18"/>
      <c r="S163" s="18"/>
    </row>
    <row r="164" spans="1:19" ht="12.75">
      <c r="A164" s="21"/>
      <c r="B164" s="22"/>
      <c r="C164" s="23" t="s">
        <v>4</v>
      </c>
      <c r="D164" s="24">
        <f aca="true" t="shared" si="62" ref="D164:K164">D161+D150</f>
        <v>54211.399999999994</v>
      </c>
      <c r="E164" s="24">
        <f t="shared" si="62"/>
        <v>103868.79999999999</v>
      </c>
      <c r="F164" s="24">
        <f t="shared" si="62"/>
        <v>75977.4</v>
      </c>
      <c r="G164" s="24">
        <f t="shared" si="62"/>
        <v>58056.6</v>
      </c>
      <c r="H164" s="24">
        <f t="shared" si="62"/>
        <v>17920.8</v>
      </c>
      <c r="I164" s="24">
        <f t="shared" si="62"/>
        <v>15676.2</v>
      </c>
      <c r="J164" s="24">
        <f t="shared" si="62"/>
        <v>12215.2</v>
      </c>
      <c r="K164" s="24">
        <f t="shared" si="62"/>
        <v>16337.1</v>
      </c>
      <c r="L164" s="27" t="e">
        <f>K164/#REF!*100</f>
        <v>#REF!</v>
      </c>
      <c r="M164" s="27">
        <f>K164/I164*100</f>
        <v>104.21594519079879</v>
      </c>
      <c r="N164" s="48"/>
      <c r="O164" s="49" t="e">
        <f>J164+#REF!+#REF!</f>
        <v>#REF!</v>
      </c>
      <c r="P164" s="36">
        <f t="shared" si="60"/>
        <v>133.74402383915123</v>
      </c>
      <c r="Q164" s="27">
        <f>K164*100/F164</f>
        <v>21.502578398313183</v>
      </c>
      <c r="R164" s="24">
        <f t="shared" si="59"/>
        <v>15.728592224036479</v>
      </c>
      <c r="S164" s="24">
        <f t="shared" si="54"/>
        <v>30.135912372674387</v>
      </c>
    </row>
    <row r="165" spans="1:19" ht="12.75">
      <c r="A165" s="95"/>
      <c r="B165" s="96"/>
      <c r="C165" s="96"/>
      <c r="D165" s="96"/>
      <c r="E165" s="96"/>
      <c r="F165" s="96"/>
      <c r="G165" s="96"/>
      <c r="H165" s="96"/>
      <c r="I165" s="96"/>
      <c r="J165" s="96"/>
      <c r="K165" s="96"/>
      <c r="L165" s="96"/>
      <c r="M165" s="97"/>
      <c r="N165" s="48"/>
      <c r="O165" s="48"/>
      <c r="P165" s="47"/>
      <c r="Q165" s="27"/>
      <c r="R165" s="24"/>
      <c r="S165" s="18"/>
    </row>
    <row r="166" spans="1:19" ht="12.75">
      <c r="A166" s="86" t="s">
        <v>33</v>
      </c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8"/>
    </row>
    <row r="167" spans="1:19" ht="12.75">
      <c r="A167" s="25" t="s">
        <v>3</v>
      </c>
      <c r="B167" s="25"/>
      <c r="C167" s="26" t="s">
        <v>67</v>
      </c>
      <c r="D167" s="27">
        <f>D168+D171+D172+D173+D175+D176+D177+D174+D169+D170</f>
        <v>7081.1</v>
      </c>
      <c r="E167" s="27">
        <f>E168+E171+E172+E173+E175+E176+E177+E174+E169+E170</f>
        <v>7178.6</v>
      </c>
      <c r="F167" s="27">
        <f aca="true" t="shared" si="63" ref="F167:P167">F168+F171+F172+F173+F175+F176+F177+F174+F169+F170</f>
        <v>3259.6000000000004</v>
      </c>
      <c r="G167" s="27">
        <f t="shared" si="63"/>
        <v>1542.9</v>
      </c>
      <c r="H167" s="27">
        <f t="shared" si="63"/>
        <v>1716.7</v>
      </c>
      <c r="I167" s="27">
        <f t="shared" si="63"/>
        <v>1549.8000000000002</v>
      </c>
      <c r="J167" s="27">
        <f t="shared" si="63"/>
        <v>2369.2</v>
      </c>
      <c r="K167" s="27">
        <f t="shared" si="63"/>
        <v>2477.2000000000003</v>
      </c>
      <c r="L167" s="27" t="e">
        <f t="shared" si="63"/>
        <v>#REF!</v>
      </c>
      <c r="M167" s="27" t="e">
        <f t="shared" si="63"/>
        <v>#DIV/0!</v>
      </c>
      <c r="N167" s="27">
        <f t="shared" si="63"/>
        <v>0</v>
      </c>
      <c r="O167" s="27">
        <f t="shared" si="63"/>
        <v>0</v>
      </c>
      <c r="P167" s="27" t="e">
        <f t="shared" si="63"/>
        <v>#DIV/0!</v>
      </c>
      <c r="Q167" s="27">
        <f>K167*100/F167</f>
        <v>75.99705485335625</v>
      </c>
      <c r="R167" s="24">
        <f t="shared" si="59"/>
        <v>34.508121360711</v>
      </c>
      <c r="S167" s="24">
        <f t="shared" si="54"/>
        <v>34.983265311886576</v>
      </c>
    </row>
    <row r="168" spans="1:19" ht="12.75">
      <c r="A168" s="21" t="s">
        <v>23</v>
      </c>
      <c r="B168" s="21"/>
      <c r="C168" s="28" t="s">
        <v>22</v>
      </c>
      <c r="D168" s="68">
        <v>2930</v>
      </c>
      <c r="E168" s="37">
        <f>G168+H168+I168+J168</f>
        <v>2930</v>
      </c>
      <c r="F168" s="51">
        <f>G168+H168</f>
        <v>1521.7</v>
      </c>
      <c r="G168" s="68">
        <v>730</v>
      </c>
      <c r="H168" s="68">
        <v>791.7</v>
      </c>
      <c r="I168" s="17">
        <v>625</v>
      </c>
      <c r="J168" s="18">
        <v>783.3</v>
      </c>
      <c r="K168" s="18">
        <v>991.2</v>
      </c>
      <c r="L168" s="20" t="e">
        <f>K168/#REF!*100</f>
        <v>#REF!</v>
      </c>
      <c r="M168" s="20">
        <f aca="true" t="shared" si="64" ref="M168:M176">K168/I168*100</f>
        <v>158.592</v>
      </c>
      <c r="N168" s="48"/>
      <c r="O168" s="48"/>
      <c r="P168" s="17">
        <f t="shared" si="60"/>
        <v>126.54155495978553</v>
      </c>
      <c r="Q168" s="20">
        <f>K168*100/F168</f>
        <v>65.1376749687849</v>
      </c>
      <c r="R168" s="18">
        <f>K168*100/E168</f>
        <v>33.829351535836174</v>
      </c>
      <c r="S168" s="18">
        <f t="shared" si="54"/>
        <v>33.829351535836174</v>
      </c>
    </row>
    <row r="169" spans="1:19" ht="12.75">
      <c r="A169" s="12" t="s">
        <v>69</v>
      </c>
      <c r="B169" s="12"/>
      <c r="C169" s="28" t="s">
        <v>70</v>
      </c>
      <c r="D169" s="68">
        <v>2826.6</v>
      </c>
      <c r="E169" s="37">
        <f>G169+H169+I169+J169</f>
        <v>2826.6</v>
      </c>
      <c r="F169" s="51">
        <f aca="true" t="shared" si="65" ref="F169:F177">G169+H169</f>
        <v>1413.4</v>
      </c>
      <c r="G169" s="68">
        <v>706.7</v>
      </c>
      <c r="H169" s="68">
        <v>706.7</v>
      </c>
      <c r="I169" s="17">
        <v>706.6</v>
      </c>
      <c r="J169" s="18">
        <v>706.6</v>
      </c>
      <c r="K169" s="18">
        <v>913</v>
      </c>
      <c r="L169" s="20"/>
      <c r="M169" s="20"/>
      <c r="N169" s="48"/>
      <c r="O169" s="48"/>
      <c r="P169" s="17"/>
      <c r="Q169" s="20">
        <f>K169*100/F169</f>
        <v>64.59600962218762</v>
      </c>
      <c r="R169" s="18">
        <f>K169*100/E169</f>
        <v>32.30029010118163</v>
      </c>
      <c r="S169" s="18">
        <f t="shared" si="54"/>
        <v>32.30029010118163</v>
      </c>
    </row>
    <row r="170" spans="1:19" ht="12.75">
      <c r="A170" s="12" t="s">
        <v>8</v>
      </c>
      <c r="B170" s="12"/>
      <c r="C170" s="28" t="s">
        <v>5</v>
      </c>
      <c r="D170" s="68">
        <v>0</v>
      </c>
      <c r="E170" s="37">
        <f>G170+H170+I170+J170</f>
        <v>0</v>
      </c>
      <c r="F170" s="51">
        <f t="shared" si="65"/>
        <v>0</v>
      </c>
      <c r="G170" s="68"/>
      <c r="H170" s="68"/>
      <c r="I170" s="17"/>
      <c r="J170" s="18"/>
      <c r="K170" s="18">
        <v>1.6</v>
      </c>
      <c r="L170" s="20"/>
      <c r="M170" s="20"/>
      <c r="N170" s="48"/>
      <c r="O170" s="48"/>
      <c r="P170" s="17"/>
      <c r="Q170" s="20"/>
      <c r="R170" s="18"/>
      <c r="S170" s="18"/>
    </row>
    <row r="171" spans="1:19" ht="12.75">
      <c r="A171" s="12" t="s">
        <v>9</v>
      </c>
      <c r="B171" s="12"/>
      <c r="C171" s="28" t="s">
        <v>6</v>
      </c>
      <c r="D171" s="68">
        <v>875.5</v>
      </c>
      <c r="E171" s="37">
        <f>G171+H171+I171+J171</f>
        <v>875.5</v>
      </c>
      <c r="F171" s="51">
        <f t="shared" si="65"/>
        <v>106</v>
      </c>
      <c r="G171" s="68"/>
      <c r="H171" s="68">
        <v>106</v>
      </c>
      <c r="I171" s="17">
        <v>106</v>
      </c>
      <c r="J171" s="18">
        <v>663.5</v>
      </c>
      <c r="K171" s="18">
        <v>177.6</v>
      </c>
      <c r="L171" s="20" t="e">
        <f>K171/#REF!*100</f>
        <v>#REF!</v>
      </c>
      <c r="M171" s="20">
        <f t="shared" si="64"/>
        <v>167.54716981132074</v>
      </c>
      <c r="N171" s="48"/>
      <c r="O171" s="48"/>
      <c r="P171" s="17">
        <f t="shared" si="60"/>
        <v>26.767143933685002</v>
      </c>
      <c r="Q171" s="20"/>
      <c r="R171" s="18">
        <f t="shared" si="59"/>
        <v>20.285551113649344</v>
      </c>
      <c r="S171" s="18">
        <f t="shared" si="54"/>
        <v>20.285551113649344</v>
      </c>
    </row>
    <row r="172" spans="1:19" ht="12.75">
      <c r="A172" s="12" t="s">
        <v>10</v>
      </c>
      <c r="B172" s="12"/>
      <c r="C172" s="28" t="s">
        <v>21</v>
      </c>
      <c r="D172" s="68">
        <v>35</v>
      </c>
      <c r="E172" s="37">
        <f aca="true" t="shared" si="66" ref="E172:E179">G172+H172+I172+J172</f>
        <v>35</v>
      </c>
      <c r="F172" s="51">
        <f t="shared" si="65"/>
        <v>17.5</v>
      </c>
      <c r="G172" s="68">
        <v>8.7</v>
      </c>
      <c r="H172" s="68">
        <v>8.8</v>
      </c>
      <c r="I172" s="17">
        <v>8.7</v>
      </c>
      <c r="J172" s="18">
        <v>8.8</v>
      </c>
      <c r="K172" s="18">
        <v>2.7</v>
      </c>
      <c r="L172" s="20" t="e">
        <f>K172/#REF!*100</f>
        <v>#REF!</v>
      </c>
      <c r="M172" s="20">
        <f t="shared" si="64"/>
        <v>31.034482758620697</v>
      </c>
      <c r="N172" s="48"/>
      <c r="O172" s="48"/>
      <c r="P172" s="17">
        <f t="shared" si="60"/>
        <v>30.68181818181818</v>
      </c>
      <c r="Q172" s="20">
        <f>K172*100/F172</f>
        <v>15.428571428571429</v>
      </c>
      <c r="R172" s="18">
        <f t="shared" si="59"/>
        <v>7.714285714285714</v>
      </c>
      <c r="S172" s="18">
        <f t="shared" si="54"/>
        <v>7.714285714285714</v>
      </c>
    </row>
    <row r="173" spans="1:19" ht="24">
      <c r="A173" s="13" t="s">
        <v>11</v>
      </c>
      <c r="B173" s="13"/>
      <c r="C173" s="28" t="s">
        <v>17</v>
      </c>
      <c r="D173" s="68">
        <v>414</v>
      </c>
      <c r="E173" s="37">
        <f t="shared" si="66"/>
        <v>511.5</v>
      </c>
      <c r="F173" s="51">
        <f t="shared" si="65"/>
        <v>201</v>
      </c>
      <c r="G173" s="68">
        <v>97.5</v>
      </c>
      <c r="H173" s="68">
        <v>103.5</v>
      </c>
      <c r="I173" s="17">
        <v>103.5</v>
      </c>
      <c r="J173" s="18">
        <v>207</v>
      </c>
      <c r="K173" s="18">
        <v>373.7</v>
      </c>
      <c r="L173" s="20" t="e">
        <f>K173/#REF!*100</f>
        <v>#REF!</v>
      </c>
      <c r="M173" s="20">
        <f t="shared" si="64"/>
        <v>361.0628019323671</v>
      </c>
      <c r="N173" s="48"/>
      <c r="O173" s="48"/>
      <c r="P173" s="17">
        <f t="shared" si="60"/>
        <v>180.53140096618358</v>
      </c>
      <c r="Q173" s="20"/>
      <c r="R173" s="18">
        <f t="shared" si="59"/>
        <v>73.05962854349951</v>
      </c>
      <c r="S173" s="18">
        <f t="shared" si="54"/>
        <v>90.26570048309179</v>
      </c>
    </row>
    <row r="174" spans="1:19" ht="24">
      <c r="A174" s="30" t="s">
        <v>42</v>
      </c>
      <c r="B174" s="30"/>
      <c r="C174" s="28" t="s">
        <v>43</v>
      </c>
      <c r="D174" s="68">
        <v>0</v>
      </c>
      <c r="E174" s="37">
        <f t="shared" si="66"/>
        <v>0</v>
      </c>
      <c r="F174" s="51">
        <f t="shared" si="65"/>
        <v>0</v>
      </c>
      <c r="G174" s="68"/>
      <c r="H174" s="68"/>
      <c r="I174" s="17"/>
      <c r="J174" s="18"/>
      <c r="K174" s="18">
        <v>7.4</v>
      </c>
      <c r="L174" s="20" t="e">
        <f>K174/#REF!*100</f>
        <v>#REF!</v>
      </c>
      <c r="M174" s="20" t="e">
        <f t="shared" si="64"/>
        <v>#DIV/0!</v>
      </c>
      <c r="N174" s="48"/>
      <c r="O174" s="48"/>
      <c r="P174" s="17" t="e">
        <f t="shared" si="60"/>
        <v>#DIV/0!</v>
      </c>
      <c r="Q174" s="20"/>
      <c r="R174" s="18"/>
      <c r="S174" s="18"/>
    </row>
    <row r="175" spans="1:19" ht="24" hidden="1">
      <c r="A175" s="29" t="s">
        <v>18</v>
      </c>
      <c r="B175" s="29"/>
      <c r="C175" s="28" t="s">
        <v>15</v>
      </c>
      <c r="D175" s="68"/>
      <c r="E175" s="37">
        <f t="shared" si="66"/>
        <v>0</v>
      </c>
      <c r="F175" s="51">
        <f t="shared" si="65"/>
        <v>0</v>
      </c>
      <c r="G175" s="68"/>
      <c r="H175" s="68"/>
      <c r="I175" s="17"/>
      <c r="J175" s="18"/>
      <c r="K175" s="18"/>
      <c r="L175" s="20" t="e">
        <f>K175/#REF!*100</f>
        <v>#REF!</v>
      </c>
      <c r="M175" s="20" t="e">
        <f t="shared" si="64"/>
        <v>#DIV/0!</v>
      </c>
      <c r="N175" s="48"/>
      <c r="O175" s="48"/>
      <c r="P175" s="17" t="e">
        <f t="shared" si="60"/>
        <v>#DIV/0!</v>
      </c>
      <c r="Q175" s="20"/>
      <c r="R175" s="18"/>
      <c r="S175" s="18"/>
    </row>
    <row r="176" spans="1:19" ht="12.75">
      <c r="A176" s="21" t="s">
        <v>12</v>
      </c>
      <c r="B176" s="21"/>
      <c r="C176" s="28" t="s">
        <v>7</v>
      </c>
      <c r="D176" s="68"/>
      <c r="E176" s="37">
        <f t="shared" si="66"/>
        <v>0</v>
      </c>
      <c r="F176" s="51">
        <f t="shared" si="65"/>
        <v>0</v>
      </c>
      <c r="G176" s="68"/>
      <c r="H176" s="68"/>
      <c r="I176" s="17"/>
      <c r="J176" s="18"/>
      <c r="K176" s="18">
        <v>10</v>
      </c>
      <c r="L176" s="20"/>
      <c r="M176" s="20" t="e">
        <f t="shared" si="64"/>
        <v>#DIV/0!</v>
      </c>
      <c r="N176" s="48"/>
      <c r="O176" s="48"/>
      <c r="P176" s="17" t="e">
        <f t="shared" si="60"/>
        <v>#DIV/0!</v>
      </c>
      <c r="Q176" s="27"/>
      <c r="R176" s="24"/>
      <c r="S176" s="18"/>
    </row>
    <row r="177" spans="1:19" ht="14.25" customHeight="1">
      <c r="A177" s="53" t="s">
        <v>39</v>
      </c>
      <c r="B177" s="52"/>
      <c r="C177" s="16" t="s">
        <v>40</v>
      </c>
      <c r="D177" s="68"/>
      <c r="E177" s="37">
        <f t="shared" si="66"/>
        <v>0</v>
      </c>
      <c r="F177" s="51">
        <f t="shared" si="65"/>
        <v>0</v>
      </c>
      <c r="G177" s="68"/>
      <c r="H177" s="68"/>
      <c r="I177" s="17"/>
      <c r="J177" s="18"/>
      <c r="K177" s="18">
        <v>0</v>
      </c>
      <c r="L177" s="20"/>
      <c r="M177" s="20"/>
      <c r="N177" s="48"/>
      <c r="O177" s="48"/>
      <c r="P177" s="17" t="e">
        <f t="shared" si="60"/>
        <v>#DIV/0!</v>
      </c>
      <c r="Q177" s="27"/>
      <c r="R177" s="24"/>
      <c r="S177" s="18"/>
    </row>
    <row r="178" spans="1:19" ht="12.75">
      <c r="A178" s="25" t="s">
        <v>1</v>
      </c>
      <c r="B178" s="25"/>
      <c r="C178" s="32" t="s">
        <v>0</v>
      </c>
      <c r="D178" s="33">
        <f aca="true" t="shared" si="67" ref="D178:K178">D179+D180</f>
        <v>28800.9</v>
      </c>
      <c r="E178" s="33">
        <f t="shared" si="67"/>
        <v>33293.7</v>
      </c>
      <c r="F178" s="83">
        <f t="shared" si="67"/>
        <v>19460.7</v>
      </c>
      <c r="G178" s="83">
        <f t="shared" si="67"/>
        <v>11213</v>
      </c>
      <c r="H178" s="83">
        <f t="shared" si="67"/>
        <v>8247.7</v>
      </c>
      <c r="I178" s="33">
        <f t="shared" si="67"/>
        <v>6883.9</v>
      </c>
      <c r="J178" s="33">
        <f t="shared" si="67"/>
        <v>6949.1</v>
      </c>
      <c r="K178" s="33">
        <f t="shared" si="67"/>
        <v>9616.9</v>
      </c>
      <c r="L178" s="27" t="e">
        <f>K178/#REF!*100</f>
        <v>#REF!</v>
      </c>
      <c r="M178" s="27">
        <f>K178/I178*100</f>
        <v>139.70133209372594</v>
      </c>
      <c r="N178" s="48"/>
      <c r="O178" s="48"/>
      <c r="P178" s="36">
        <f t="shared" si="60"/>
        <v>138.3905829531882</v>
      </c>
      <c r="Q178" s="27">
        <f>K178*100/F178</f>
        <v>49.41703021987904</v>
      </c>
      <c r="R178" s="24">
        <f t="shared" si="59"/>
        <v>28.88504431769374</v>
      </c>
      <c r="S178" s="24">
        <f t="shared" si="54"/>
        <v>33.39097042106323</v>
      </c>
    </row>
    <row r="179" spans="1:19" ht="23.25" customHeight="1">
      <c r="A179" s="14" t="s">
        <v>66</v>
      </c>
      <c r="B179" s="12"/>
      <c r="C179" s="34" t="s">
        <v>20</v>
      </c>
      <c r="D179" s="37">
        <v>28800.9</v>
      </c>
      <c r="E179" s="37">
        <f t="shared" si="66"/>
        <v>33293.7</v>
      </c>
      <c r="F179" s="51">
        <f>G179+H179</f>
        <v>19460.7</v>
      </c>
      <c r="G179" s="68">
        <v>11213</v>
      </c>
      <c r="H179" s="68">
        <f>7858.7+389</f>
        <v>8247.7</v>
      </c>
      <c r="I179" s="17">
        <v>6883.9</v>
      </c>
      <c r="J179" s="18">
        <v>6949.1</v>
      </c>
      <c r="K179" s="18">
        <v>9616.9</v>
      </c>
      <c r="L179" s="20" t="e">
        <f>K179/#REF!*100</f>
        <v>#REF!</v>
      </c>
      <c r="M179" s="20">
        <f>K179/I179*100</f>
        <v>139.70133209372594</v>
      </c>
      <c r="N179" s="48"/>
      <c r="O179" s="48"/>
      <c r="P179" s="17">
        <f t="shared" si="60"/>
        <v>138.3905829531882</v>
      </c>
      <c r="Q179" s="20">
        <f>K179*100/F179</f>
        <v>49.41703021987904</v>
      </c>
      <c r="R179" s="18">
        <f t="shared" si="59"/>
        <v>28.88504431769374</v>
      </c>
      <c r="S179" s="18">
        <f t="shared" si="54"/>
        <v>33.39097042106323</v>
      </c>
    </row>
    <row r="180" spans="1:19" ht="15.75" customHeight="1" hidden="1">
      <c r="A180" s="14" t="s">
        <v>2</v>
      </c>
      <c r="B180" s="14"/>
      <c r="C180" s="35" t="s">
        <v>19</v>
      </c>
      <c r="D180" s="69"/>
      <c r="E180" s="37">
        <f>G180+H180+I180+J180</f>
        <v>0</v>
      </c>
      <c r="F180" s="51">
        <f>G180+H180</f>
        <v>0</v>
      </c>
      <c r="G180" s="69"/>
      <c r="H180" s="69"/>
      <c r="I180" s="17"/>
      <c r="J180" s="18"/>
      <c r="K180" s="18"/>
      <c r="L180" s="20" t="e">
        <f>K180/#REF!*100</f>
        <v>#REF!</v>
      </c>
      <c r="M180" s="20"/>
      <c r="N180" s="48"/>
      <c r="O180" s="48"/>
      <c r="P180" s="17" t="e">
        <f t="shared" si="60"/>
        <v>#DIV/0!</v>
      </c>
      <c r="Q180" s="20"/>
      <c r="R180" s="18"/>
      <c r="S180" s="18"/>
    </row>
    <row r="181" spans="1:19" ht="12.75">
      <c r="A181" s="21"/>
      <c r="B181" s="22"/>
      <c r="C181" s="23" t="s">
        <v>4</v>
      </c>
      <c r="D181" s="24">
        <f aca="true" t="shared" si="68" ref="D181:K181">D178+D167</f>
        <v>35882</v>
      </c>
      <c r="E181" s="24">
        <f t="shared" si="68"/>
        <v>40472.299999999996</v>
      </c>
      <c r="F181" s="24">
        <f t="shared" si="68"/>
        <v>22720.300000000003</v>
      </c>
      <c r="G181" s="24">
        <f t="shared" si="68"/>
        <v>12755.9</v>
      </c>
      <c r="H181" s="24">
        <f t="shared" si="68"/>
        <v>9964.400000000001</v>
      </c>
      <c r="I181" s="24">
        <f t="shared" si="68"/>
        <v>8433.7</v>
      </c>
      <c r="J181" s="24">
        <f t="shared" si="68"/>
        <v>9318.3</v>
      </c>
      <c r="K181" s="24">
        <f t="shared" si="68"/>
        <v>12094.1</v>
      </c>
      <c r="L181" s="27" t="e">
        <f>K181/#REF!*100</f>
        <v>#REF!</v>
      </c>
      <c r="M181" s="27">
        <f>K181/I181*100</f>
        <v>143.40206552284286</v>
      </c>
      <c r="N181" s="48"/>
      <c r="O181" s="49" t="e">
        <f>J181+#REF!+#REF!</f>
        <v>#REF!</v>
      </c>
      <c r="P181" s="36">
        <f t="shared" si="60"/>
        <v>129.7886953628881</v>
      </c>
      <c r="Q181" s="27">
        <f>K181*100/F181</f>
        <v>53.23037107784668</v>
      </c>
      <c r="R181" s="24">
        <f t="shared" si="59"/>
        <v>29.8824134037354</v>
      </c>
      <c r="S181" s="24">
        <f t="shared" si="54"/>
        <v>33.70520037902012</v>
      </c>
    </row>
    <row r="182" spans="1:19" ht="12.75">
      <c r="A182" s="95"/>
      <c r="B182" s="96"/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7"/>
      <c r="N182" s="48"/>
      <c r="O182" s="48"/>
      <c r="P182" s="47"/>
      <c r="Q182" s="27"/>
      <c r="R182" s="24"/>
      <c r="S182" s="18"/>
    </row>
    <row r="183" spans="1:19" ht="12.75">
      <c r="A183" s="86" t="s">
        <v>34</v>
      </c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8"/>
    </row>
    <row r="184" spans="1:19" ht="12.75">
      <c r="A184" s="25" t="s">
        <v>3</v>
      </c>
      <c r="B184" s="25"/>
      <c r="C184" s="26" t="s">
        <v>67</v>
      </c>
      <c r="D184" s="27">
        <f aca="true" t="shared" si="69" ref="D184:J184">D185+D187+D188+D189+D190+D192+D194+D193+D191+D186</f>
        <v>25890.9</v>
      </c>
      <c r="E184" s="27">
        <f t="shared" si="69"/>
        <v>25890.9</v>
      </c>
      <c r="F184" s="27">
        <f t="shared" si="69"/>
        <v>11290</v>
      </c>
      <c r="G184" s="27">
        <f t="shared" si="69"/>
        <v>5517.5</v>
      </c>
      <c r="H184" s="27">
        <f t="shared" si="69"/>
        <v>5772.5</v>
      </c>
      <c r="I184" s="27">
        <f t="shared" si="69"/>
        <v>5772.5</v>
      </c>
      <c r="J184" s="27">
        <f t="shared" si="69"/>
        <v>8828.4</v>
      </c>
      <c r="K184" s="27">
        <f>K185+K187+K188+K189+K190+K192+K194+K193+K191+K186</f>
        <v>8216.099999999999</v>
      </c>
      <c r="L184" s="27" t="e">
        <f>K184/#REF!*100</f>
        <v>#REF!</v>
      </c>
      <c r="M184" s="27">
        <f>K184/I184*100</f>
        <v>142.33174534430486</v>
      </c>
      <c r="N184" s="48"/>
      <c r="O184" s="48"/>
      <c r="P184" s="27">
        <f t="shared" si="60"/>
        <v>93.06442843550359</v>
      </c>
      <c r="Q184" s="27">
        <f>K184*100/F184</f>
        <v>72.77325066430468</v>
      </c>
      <c r="R184" s="24">
        <f t="shared" si="59"/>
        <v>31.733543445766653</v>
      </c>
      <c r="S184" s="24">
        <f t="shared" si="54"/>
        <v>31.733543445766653</v>
      </c>
    </row>
    <row r="185" spans="1:19" ht="12.75">
      <c r="A185" s="21" t="s">
        <v>23</v>
      </c>
      <c r="B185" s="21"/>
      <c r="C185" s="28" t="s">
        <v>22</v>
      </c>
      <c r="D185" s="68">
        <v>17800</v>
      </c>
      <c r="E185" s="37">
        <f>G185+H185+I185+J185</f>
        <v>17800</v>
      </c>
      <c r="F185" s="51">
        <f>G185+H185</f>
        <v>8400</v>
      </c>
      <c r="G185" s="37">
        <v>4200</v>
      </c>
      <c r="H185" s="37">
        <v>4200</v>
      </c>
      <c r="I185" s="17">
        <v>4200</v>
      </c>
      <c r="J185" s="18">
        <v>5200</v>
      </c>
      <c r="K185" s="18">
        <v>6178.4</v>
      </c>
      <c r="L185" s="20" t="e">
        <f>K185/#REF!*100</f>
        <v>#REF!</v>
      </c>
      <c r="M185" s="20">
        <f>K185/I185*100</f>
        <v>147.1047619047619</v>
      </c>
      <c r="N185" s="48"/>
      <c r="O185" s="48"/>
      <c r="P185" s="17">
        <f t="shared" si="60"/>
        <v>118.81538461538462</v>
      </c>
      <c r="Q185" s="20">
        <f>K185*100/F185</f>
        <v>73.55238095238096</v>
      </c>
      <c r="R185" s="18">
        <f t="shared" si="59"/>
        <v>34.710112359550564</v>
      </c>
      <c r="S185" s="18">
        <f t="shared" si="54"/>
        <v>34.710112359550564</v>
      </c>
    </row>
    <row r="186" spans="1:19" ht="12.75">
      <c r="A186" s="12" t="s">
        <v>69</v>
      </c>
      <c r="B186" s="12"/>
      <c r="C186" s="28" t="s">
        <v>70</v>
      </c>
      <c r="D186" s="68">
        <v>4590.2</v>
      </c>
      <c r="E186" s="37">
        <f>G186+H186+I186+J186</f>
        <v>4590.2</v>
      </c>
      <c r="F186" s="51">
        <f aca="true" t="shared" si="70" ref="F186:F194">G186+H186</f>
        <v>2298</v>
      </c>
      <c r="G186" s="37">
        <v>1149</v>
      </c>
      <c r="H186" s="37">
        <v>1149</v>
      </c>
      <c r="I186" s="17">
        <v>1149</v>
      </c>
      <c r="J186" s="18">
        <v>1143.2</v>
      </c>
      <c r="K186" s="18">
        <v>1482.6</v>
      </c>
      <c r="L186" s="20"/>
      <c r="M186" s="20"/>
      <c r="N186" s="48"/>
      <c r="O186" s="48"/>
      <c r="P186" s="17"/>
      <c r="Q186" s="20">
        <f>K186*100/F186</f>
        <v>64.51697127937337</v>
      </c>
      <c r="R186" s="18">
        <f>K186*100/E186</f>
        <v>32.29924622020827</v>
      </c>
      <c r="S186" s="18">
        <f t="shared" si="54"/>
        <v>32.29924622020827</v>
      </c>
    </row>
    <row r="187" spans="1:19" ht="13.5" customHeight="1">
      <c r="A187" s="12" t="s">
        <v>8</v>
      </c>
      <c r="B187" s="12"/>
      <c r="C187" s="28" t="s">
        <v>5</v>
      </c>
      <c r="D187" s="68">
        <v>1</v>
      </c>
      <c r="E187" s="37">
        <f aca="true" t="shared" si="71" ref="E187:E197">G187+H187+I187+J187</f>
        <v>1</v>
      </c>
      <c r="F187" s="51">
        <f t="shared" si="70"/>
        <v>0</v>
      </c>
      <c r="G187" s="37"/>
      <c r="H187" s="37"/>
      <c r="I187" s="17"/>
      <c r="J187" s="18">
        <v>1</v>
      </c>
      <c r="K187" s="18"/>
      <c r="L187" s="20"/>
      <c r="M187" s="20"/>
      <c r="N187" s="48"/>
      <c r="O187" s="48"/>
      <c r="P187" s="17">
        <f t="shared" si="60"/>
        <v>0</v>
      </c>
      <c r="Q187" s="20"/>
      <c r="R187" s="18">
        <f>K187*100/E187</f>
        <v>0</v>
      </c>
      <c r="S187" s="18">
        <f t="shared" si="54"/>
        <v>0</v>
      </c>
    </row>
    <row r="188" spans="1:19" ht="12.75">
      <c r="A188" s="12" t="s">
        <v>9</v>
      </c>
      <c r="B188" s="12"/>
      <c r="C188" s="28" t="s">
        <v>6</v>
      </c>
      <c r="D188" s="68">
        <v>3084.7</v>
      </c>
      <c r="E188" s="37">
        <f t="shared" si="71"/>
        <v>3084.7</v>
      </c>
      <c r="F188" s="51">
        <f t="shared" si="70"/>
        <v>360</v>
      </c>
      <c r="G188" s="37">
        <v>27.5</v>
      </c>
      <c r="H188" s="37">
        <v>332.5</v>
      </c>
      <c r="I188" s="17">
        <v>332.5</v>
      </c>
      <c r="J188" s="18">
        <v>2392.2</v>
      </c>
      <c r="K188" s="18">
        <f>379.6+0.1</f>
        <v>379.70000000000005</v>
      </c>
      <c r="L188" s="20" t="e">
        <f>K188/#REF!*100</f>
        <v>#REF!</v>
      </c>
      <c r="M188" s="20">
        <f>K188/I188*100</f>
        <v>114.19548872180452</v>
      </c>
      <c r="N188" s="48"/>
      <c r="O188" s="48"/>
      <c r="P188" s="17">
        <f t="shared" si="60"/>
        <v>15.872418694089127</v>
      </c>
      <c r="Q188" s="20">
        <f>K188*100/F188</f>
        <v>105.47222222222224</v>
      </c>
      <c r="R188" s="18">
        <f t="shared" si="59"/>
        <v>12.309138652056928</v>
      </c>
      <c r="S188" s="18">
        <f t="shared" si="54"/>
        <v>12.309138652056928</v>
      </c>
    </row>
    <row r="189" spans="1:19" ht="12.75">
      <c r="A189" s="12" t="s">
        <v>10</v>
      </c>
      <c r="B189" s="12"/>
      <c r="C189" s="28" t="s">
        <v>21</v>
      </c>
      <c r="D189" s="68">
        <v>165</v>
      </c>
      <c r="E189" s="37">
        <f t="shared" si="71"/>
        <v>165</v>
      </c>
      <c r="F189" s="51">
        <f t="shared" si="70"/>
        <v>82</v>
      </c>
      <c r="G189" s="37">
        <v>41</v>
      </c>
      <c r="H189" s="37">
        <v>41</v>
      </c>
      <c r="I189" s="17">
        <v>41</v>
      </c>
      <c r="J189" s="18">
        <v>42</v>
      </c>
      <c r="K189" s="18">
        <v>32</v>
      </c>
      <c r="L189" s="20" t="e">
        <f>K189/#REF!*100</f>
        <v>#REF!</v>
      </c>
      <c r="M189" s="20">
        <f>K189/I189*100</f>
        <v>78.04878048780488</v>
      </c>
      <c r="N189" s="48"/>
      <c r="O189" s="48"/>
      <c r="P189" s="17">
        <f t="shared" si="60"/>
        <v>76.19047619047619</v>
      </c>
      <c r="Q189" s="20">
        <f>K189*100/F189</f>
        <v>39.02439024390244</v>
      </c>
      <c r="R189" s="18">
        <f t="shared" si="59"/>
        <v>19.393939393939394</v>
      </c>
      <c r="S189" s="18">
        <f t="shared" si="54"/>
        <v>19.393939393939394</v>
      </c>
    </row>
    <row r="190" spans="1:19" ht="24">
      <c r="A190" s="13" t="s">
        <v>11</v>
      </c>
      <c r="B190" s="13"/>
      <c r="C190" s="28" t="s">
        <v>17</v>
      </c>
      <c r="D190" s="68">
        <v>250</v>
      </c>
      <c r="E190" s="37">
        <f t="shared" si="71"/>
        <v>250</v>
      </c>
      <c r="F190" s="51">
        <f t="shared" si="70"/>
        <v>150</v>
      </c>
      <c r="G190" s="37">
        <v>100</v>
      </c>
      <c r="H190" s="37">
        <v>50</v>
      </c>
      <c r="I190" s="17">
        <v>50</v>
      </c>
      <c r="J190" s="18">
        <v>50</v>
      </c>
      <c r="K190" s="18">
        <v>143.4</v>
      </c>
      <c r="L190" s="20" t="e">
        <f>K190/#REF!*100</f>
        <v>#REF!</v>
      </c>
      <c r="M190" s="20">
        <f>K190/I190*100</f>
        <v>286.8</v>
      </c>
      <c r="N190" s="48"/>
      <c r="O190" s="48"/>
      <c r="P190" s="17">
        <f t="shared" si="60"/>
        <v>286.8</v>
      </c>
      <c r="Q190" s="20">
        <f>K190*100/F190</f>
        <v>95.6</v>
      </c>
      <c r="R190" s="18">
        <f t="shared" si="59"/>
        <v>57.36</v>
      </c>
      <c r="S190" s="18">
        <f t="shared" si="54"/>
        <v>57.36</v>
      </c>
    </row>
    <row r="191" spans="1:19" ht="24" hidden="1">
      <c r="A191" s="29" t="s">
        <v>42</v>
      </c>
      <c r="B191" s="30"/>
      <c r="C191" s="28" t="s">
        <v>43</v>
      </c>
      <c r="D191" s="68">
        <v>0</v>
      </c>
      <c r="E191" s="37">
        <f t="shared" si="71"/>
        <v>0</v>
      </c>
      <c r="F191" s="51">
        <f t="shared" si="70"/>
        <v>0</v>
      </c>
      <c r="G191" s="37"/>
      <c r="H191" s="37"/>
      <c r="I191" s="17"/>
      <c r="J191" s="18"/>
      <c r="K191" s="18"/>
      <c r="L191" s="20" t="e">
        <f>K191/#REF!*100</f>
        <v>#REF!</v>
      </c>
      <c r="M191" s="20" t="e">
        <f>K191/I191*100</f>
        <v>#DIV/0!</v>
      </c>
      <c r="N191" s="48"/>
      <c r="O191" s="48"/>
      <c r="P191" s="17" t="e">
        <f t="shared" si="60"/>
        <v>#DIV/0!</v>
      </c>
      <c r="Q191" s="20"/>
      <c r="R191" s="18"/>
      <c r="S191" s="18"/>
    </row>
    <row r="192" spans="1:19" ht="28.5" customHeight="1" hidden="1">
      <c r="A192" s="29" t="s">
        <v>18</v>
      </c>
      <c r="B192" s="30"/>
      <c r="C192" s="28" t="s">
        <v>15</v>
      </c>
      <c r="D192" s="68"/>
      <c r="E192" s="37">
        <f t="shared" si="71"/>
        <v>0</v>
      </c>
      <c r="F192" s="51">
        <f t="shared" si="70"/>
        <v>0</v>
      </c>
      <c r="G192" s="37"/>
      <c r="H192" s="37"/>
      <c r="I192" s="17"/>
      <c r="J192" s="18"/>
      <c r="K192" s="18"/>
      <c r="L192" s="20" t="e">
        <f>K192/#REF!*100</f>
        <v>#REF!</v>
      </c>
      <c r="M192" s="20" t="e">
        <f>K192/I192*100</f>
        <v>#DIV/0!</v>
      </c>
      <c r="N192" s="48"/>
      <c r="O192" s="48"/>
      <c r="P192" s="17" t="e">
        <f t="shared" si="60"/>
        <v>#DIV/0!</v>
      </c>
      <c r="Q192" s="20"/>
      <c r="R192" s="18"/>
      <c r="S192" s="18"/>
    </row>
    <row r="193" spans="1:19" ht="19.5" customHeight="1" hidden="1">
      <c r="A193" s="21" t="s">
        <v>12</v>
      </c>
      <c r="B193" s="21"/>
      <c r="C193" s="28" t="s">
        <v>7</v>
      </c>
      <c r="D193" s="68"/>
      <c r="E193" s="37">
        <f t="shared" si="71"/>
        <v>0</v>
      </c>
      <c r="F193" s="51">
        <f t="shared" si="70"/>
        <v>0</v>
      </c>
      <c r="G193" s="37"/>
      <c r="H193" s="37"/>
      <c r="I193" s="17"/>
      <c r="J193" s="18"/>
      <c r="K193" s="18"/>
      <c r="L193" s="20" t="e">
        <f>K193/#REF!*100</f>
        <v>#REF!</v>
      </c>
      <c r="M193" s="20"/>
      <c r="N193" s="48"/>
      <c r="O193" s="48"/>
      <c r="P193" s="17" t="e">
        <f t="shared" si="60"/>
        <v>#DIV/0!</v>
      </c>
      <c r="Q193" s="20"/>
      <c r="R193" s="18"/>
      <c r="S193" s="18"/>
    </row>
    <row r="194" spans="1:19" ht="15" customHeight="1">
      <c r="A194" s="53" t="s">
        <v>39</v>
      </c>
      <c r="B194" s="52"/>
      <c r="C194" s="16" t="s">
        <v>40</v>
      </c>
      <c r="D194" s="68"/>
      <c r="E194" s="37">
        <f t="shared" si="71"/>
        <v>0</v>
      </c>
      <c r="F194" s="51">
        <f t="shared" si="70"/>
        <v>0</v>
      </c>
      <c r="G194" s="37"/>
      <c r="H194" s="37"/>
      <c r="I194" s="17"/>
      <c r="J194" s="18"/>
      <c r="K194" s="18"/>
      <c r="L194" s="20" t="e">
        <f>K194/#REF!*100</f>
        <v>#REF!</v>
      </c>
      <c r="M194" s="20"/>
      <c r="N194" s="48"/>
      <c r="O194" s="48"/>
      <c r="P194" s="17" t="e">
        <f t="shared" si="60"/>
        <v>#DIV/0!</v>
      </c>
      <c r="Q194" s="27"/>
      <c r="R194" s="24"/>
      <c r="S194" s="18"/>
    </row>
    <row r="195" spans="1:19" ht="12.75">
      <c r="A195" s="63" t="s">
        <v>1</v>
      </c>
      <c r="B195" s="25"/>
      <c r="C195" s="32" t="s">
        <v>0</v>
      </c>
      <c r="D195" s="36">
        <f aca="true" t="shared" si="72" ref="D195:J195">D196</f>
        <v>29655.7</v>
      </c>
      <c r="E195" s="36">
        <f>E196+E197</f>
        <v>32097.099999999995</v>
      </c>
      <c r="F195" s="36">
        <f>F196</f>
        <v>18894.6</v>
      </c>
      <c r="G195" s="36">
        <f t="shared" si="72"/>
        <v>11478.2</v>
      </c>
      <c r="H195" s="36">
        <f t="shared" si="72"/>
        <v>7416.4</v>
      </c>
      <c r="I195" s="36">
        <f t="shared" si="72"/>
        <v>6492.3</v>
      </c>
      <c r="J195" s="36">
        <f t="shared" si="72"/>
        <v>6464.4</v>
      </c>
      <c r="K195" s="36">
        <f>K196+K197</f>
        <v>13690.599999999999</v>
      </c>
      <c r="L195" s="27" t="e">
        <f>K195/#REF!*100</f>
        <v>#REF!</v>
      </c>
      <c r="M195" s="27">
        <f>K195/I195*100</f>
        <v>210.87442046732278</v>
      </c>
      <c r="N195" s="48"/>
      <c r="O195" s="48"/>
      <c r="P195" s="36">
        <f t="shared" si="60"/>
        <v>211.78454303570322</v>
      </c>
      <c r="Q195" s="27">
        <f>K195*100/F195</f>
        <v>72.45773924825082</v>
      </c>
      <c r="R195" s="24">
        <f t="shared" si="59"/>
        <v>42.65369768608379</v>
      </c>
      <c r="S195" s="24">
        <f t="shared" si="54"/>
        <v>46.16515543386262</v>
      </c>
    </row>
    <row r="196" spans="1:19" ht="24">
      <c r="A196" s="84" t="s">
        <v>66</v>
      </c>
      <c r="B196" s="12"/>
      <c r="C196" s="34" t="s">
        <v>20</v>
      </c>
      <c r="D196" s="37">
        <v>29655.7</v>
      </c>
      <c r="E196" s="37">
        <f t="shared" si="71"/>
        <v>31851.299999999996</v>
      </c>
      <c r="F196" s="51">
        <f>G196+H196</f>
        <v>18894.6</v>
      </c>
      <c r="G196" s="37">
        <f>11378.2+100</f>
        <v>11478.2</v>
      </c>
      <c r="H196" s="37">
        <f>6506.4+910</f>
        <v>7416.4</v>
      </c>
      <c r="I196" s="17">
        <v>6492.3</v>
      </c>
      <c r="J196" s="18">
        <v>6464.4</v>
      </c>
      <c r="K196" s="18">
        <f>13444.9-0.1</f>
        <v>13444.8</v>
      </c>
      <c r="L196" s="20" t="e">
        <f>K196/#REF!*100</f>
        <v>#REF!</v>
      </c>
      <c r="M196" s="20">
        <f>K196/I196*100</f>
        <v>207.08839702416708</v>
      </c>
      <c r="N196" s="48"/>
      <c r="O196" s="48"/>
      <c r="P196" s="17">
        <f t="shared" si="60"/>
        <v>207.9821793205866</v>
      </c>
      <c r="Q196" s="20">
        <f>K196*100/F196</f>
        <v>71.15683846178274</v>
      </c>
      <c r="R196" s="18">
        <f t="shared" si="59"/>
        <v>42.2111499373652</v>
      </c>
      <c r="S196" s="18">
        <f t="shared" si="54"/>
        <v>45.336309714489964</v>
      </c>
    </row>
    <row r="197" spans="1:19" ht="12.75">
      <c r="A197" s="14" t="s">
        <v>2</v>
      </c>
      <c r="B197" s="14"/>
      <c r="C197" s="35" t="s">
        <v>19</v>
      </c>
      <c r="D197" s="37"/>
      <c r="E197" s="37">
        <f t="shared" si="71"/>
        <v>245.8</v>
      </c>
      <c r="F197" s="51">
        <f>G197+H197</f>
        <v>245.8</v>
      </c>
      <c r="G197" s="37"/>
      <c r="H197" s="37">
        <v>245.8</v>
      </c>
      <c r="I197" s="17"/>
      <c r="J197" s="18"/>
      <c r="K197" s="18">
        <v>245.8</v>
      </c>
      <c r="L197" s="20"/>
      <c r="M197" s="20"/>
      <c r="N197" s="48"/>
      <c r="O197" s="48"/>
      <c r="P197" s="17"/>
      <c r="Q197" s="20">
        <f>K197*100/F197</f>
        <v>100</v>
      </c>
      <c r="R197" s="18">
        <f>K197*100/E197</f>
        <v>100</v>
      </c>
      <c r="S197" s="18"/>
    </row>
    <row r="198" spans="1:19" ht="12.75">
      <c r="A198" s="21"/>
      <c r="B198" s="22"/>
      <c r="C198" s="23" t="s">
        <v>4</v>
      </c>
      <c r="D198" s="24">
        <f aca="true" t="shared" si="73" ref="D198:K198">D195+D184</f>
        <v>55546.600000000006</v>
      </c>
      <c r="E198" s="24">
        <f t="shared" si="73"/>
        <v>57988</v>
      </c>
      <c r="F198" s="24">
        <f t="shared" si="73"/>
        <v>30184.6</v>
      </c>
      <c r="G198" s="24">
        <f t="shared" si="73"/>
        <v>16995.7</v>
      </c>
      <c r="H198" s="24">
        <f t="shared" si="73"/>
        <v>13188.9</v>
      </c>
      <c r="I198" s="24">
        <f t="shared" si="73"/>
        <v>12264.8</v>
      </c>
      <c r="J198" s="24">
        <f t="shared" si="73"/>
        <v>15292.8</v>
      </c>
      <c r="K198" s="24">
        <f t="shared" si="73"/>
        <v>21906.699999999997</v>
      </c>
      <c r="L198" s="27" t="e">
        <f>K198/#REF!*100</f>
        <v>#REF!</v>
      </c>
      <c r="M198" s="27">
        <f>K198/I198*100</f>
        <v>178.61440871436955</v>
      </c>
      <c r="N198" s="48"/>
      <c r="O198" s="49" t="e">
        <f>J198+#REF!+#REF!</f>
        <v>#REF!</v>
      </c>
      <c r="P198" s="36">
        <f t="shared" si="60"/>
        <v>143.24845679012344</v>
      </c>
      <c r="Q198" s="27">
        <f>K198*100/F198</f>
        <v>72.57575054829283</v>
      </c>
      <c r="R198" s="24">
        <f t="shared" si="59"/>
        <v>37.77798854935503</v>
      </c>
      <c r="S198" s="24">
        <f t="shared" si="54"/>
        <v>39.43841747289662</v>
      </c>
    </row>
    <row r="199" spans="1:19" ht="12.75">
      <c r="A199" s="95"/>
      <c r="B199" s="96"/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7"/>
      <c r="N199" s="48"/>
      <c r="O199" s="48"/>
      <c r="P199" s="47"/>
      <c r="Q199" s="27"/>
      <c r="R199" s="24"/>
      <c r="S199" s="18"/>
    </row>
    <row r="200" spans="1:19" ht="12.75">
      <c r="A200" s="86" t="s">
        <v>35</v>
      </c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8"/>
    </row>
    <row r="201" spans="1:19" ht="12.75">
      <c r="A201" s="25" t="s">
        <v>3</v>
      </c>
      <c r="B201" s="25"/>
      <c r="C201" s="26" t="s">
        <v>67</v>
      </c>
      <c r="D201" s="27">
        <f>D202+D205+D207+D208+D206+D209+D210+D204+D203</f>
        <v>5268.6</v>
      </c>
      <c r="E201" s="27">
        <f>E202+E205+E207+E208+E206+E209+E210+E204+E203</f>
        <v>5268.6</v>
      </c>
      <c r="F201" s="27">
        <f>F202+F205+F207+F208+F206+F209+F210+F204+F203</f>
        <v>2451.5</v>
      </c>
      <c r="G201" s="27">
        <f aca="true" t="shared" si="74" ref="G201:P201">G202+G205+G207+G208+G206+G209+G210+G204+G203</f>
        <v>1182.2</v>
      </c>
      <c r="H201" s="27">
        <f t="shared" si="74"/>
        <v>1269.3</v>
      </c>
      <c r="I201" s="27">
        <f t="shared" si="74"/>
        <v>1318.3000000000002</v>
      </c>
      <c r="J201" s="27">
        <f t="shared" si="74"/>
        <v>1498.8</v>
      </c>
      <c r="K201" s="27">
        <f t="shared" si="74"/>
        <v>1608.4</v>
      </c>
      <c r="L201" s="27" t="e">
        <f t="shared" si="74"/>
        <v>#REF!</v>
      </c>
      <c r="M201" s="27" t="e">
        <f t="shared" si="74"/>
        <v>#DIV/0!</v>
      </c>
      <c r="N201" s="27">
        <f t="shared" si="74"/>
        <v>0</v>
      </c>
      <c r="O201" s="27">
        <f t="shared" si="74"/>
        <v>0</v>
      </c>
      <c r="P201" s="27" t="e">
        <f t="shared" si="74"/>
        <v>#DIV/0!</v>
      </c>
      <c r="Q201" s="27">
        <f>K201*100/F201</f>
        <v>65.60881093208239</v>
      </c>
      <c r="R201" s="24">
        <f t="shared" si="59"/>
        <v>30.52803401283073</v>
      </c>
      <c r="S201" s="24">
        <f t="shared" si="54"/>
        <v>30.52803401283073</v>
      </c>
    </row>
    <row r="202" spans="1:19" ht="12.75">
      <c r="A202" s="21" t="s">
        <v>23</v>
      </c>
      <c r="B202" s="21"/>
      <c r="C202" s="28" t="s">
        <v>22</v>
      </c>
      <c r="D202" s="68">
        <v>1320</v>
      </c>
      <c r="E202" s="37">
        <f>G202+H202+I202+J202</f>
        <v>1320</v>
      </c>
      <c r="F202" s="51">
        <f>G202+H202</f>
        <v>575</v>
      </c>
      <c r="G202" s="37">
        <v>245</v>
      </c>
      <c r="H202" s="37">
        <v>330</v>
      </c>
      <c r="I202" s="17">
        <v>330</v>
      </c>
      <c r="J202" s="17">
        <v>415</v>
      </c>
      <c r="K202" s="18">
        <v>368.7</v>
      </c>
      <c r="L202" s="20" t="e">
        <f>K202/#REF!*100</f>
        <v>#REF!</v>
      </c>
      <c r="M202" s="20">
        <f aca="true" t="shared" si="75" ref="M202:M208">K202/I202*100</f>
        <v>111.72727272727272</v>
      </c>
      <c r="N202" s="48"/>
      <c r="O202" s="48"/>
      <c r="P202" s="17">
        <f t="shared" si="60"/>
        <v>88.8433734939759</v>
      </c>
      <c r="Q202" s="20">
        <f>K202*100/F202</f>
        <v>64.12173913043478</v>
      </c>
      <c r="R202" s="18">
        <f t="shared" si="59"/>
        <v>27.931818181818183</v>
      </c>
      <c r="S202" s="18">
        <f t="shared" si="54"/>
        <v>27.931818181818183</v>
      </c>
    </row>
    <row r="203" spans="1:19" ht="12.75">
      <c r="A203" s="12" t="s">
        <v>69</v>
      </c>
      <c r="B203" s="12"/>
      <c r="C203" s="28" t="s">
        <v>70</v>
      </c>
      <c r="D203" s="68">
        <v>3521.6</v>
      </c>
      <c r="E203" s="37">
        <f>G203+H203+I203+J203</f>
        <v>3521.6</v>
      </c>
      <c r="F203" s="51">
        <f aca="true" t="shared" si="76" ref="F203:F213">G203+H203</f>
        <v>1759.5</v>
      </c>
      <c r="G203" s="37">
        <v>879.7</v>
      </c>
      <c r="H203" s="37">
        <v>879.8</v>
      </c>
      <c r="I203" s="17">
        <v>879.7</v>
      </c>
      <c r="J203" s="17">
        <v>882.4</v>
      </c>
      <c r="K203" s="18">
        <f>1137.4+0.1</f>
        <v>1137.5</v>
      </c>
      <c r="L203" s="20"/>
      <c r="M203" s="20"/>
      <c r="N203" s="48"/>
      <c r="O203" s="48"/>
      <c r="P203" s="17"/>
      <c r="Q203" s="20">
        <f>K203*100/F203</f>
        <v>64.6490480250071</v>
      </c>
      <c r="R203" s="18">
        <f>K203*100/E203</f>
        <v>32.30065879145843</v>
      </c>
      <c r="S203" s="18">
        <f t="shared" si="54"/>
        <v>32.30065879145843</v>
      </c>
    </row>
    <row r="204" spans="1:19" ht="12.75">
      <c r="A204" s="12" t="s">
        <v>8</v>
      </c>
      <c r="B204" s="38" t="s">
        <v>55</v>
      </c>
      <c r="C204" s="28" t="s">
        <v>5</v>
      </c>
      <c r="D204" s="68">
        <v>16</v>
      </c>
      <c r="E204" s="37">
        <f aca="true" t="shared" si="77" ref="E204:E212">G204+H204+I204+J204</f>
        <v>16</v>
      </c>
      <c r="F204" s="51">
        <f t="shared" si="76"/>
        <v>16</v>
      </c>
      <c r="G204" s="37"/>
      <c r="H204" s="37">
        <v>16</v>
      </c>
      <c r="I204" s="17"/>
      <c r="J204" s="17"/>
      <c r="K204" s="18"/>
      <c r="L204" s="20" t="e">
        <f>K204/#REF!*100</f>
        <v>#REF!</v>
      </c>
      <c r="M204" s="20"/>
      <c r="N204" s="48"/>
      <c r="O204" s="48"/>
      <c r="P204" s="17" t="e">
        <f t="shared" si="60"/>
        <v>#DIV/0!</v>
      </c>
      <c r="Q204" s="20"/>
      <c r="R204" s="18">
        <f t="shared" si="59"/>
        <v>0</v>
      </c>
      <c r="S204" s="18">
        <f t="shared" si="54"/>
        <v>0</v>
      </c>
    </row>
    <row r="205" spans="1:19" ht="12.75">
      <c r="A205" s="12" t="s">
        <v>9</v>
      </c>
      <c r="B205" s="12"/>
      <c r="C205" s="28" t="s">
        <v>6</v>
      </c>
      <c r="D205" s="68">
        <v>256.9</v>
      </c>
      <c r="E205" s="37">
        <f t="shared" si="77"/>
        <v>256.9</v>
      </c>
      <c r="F205" s="51">
        <f t="shared" si="76"/>
        <v>37.7</v>
      </c>
      <c r="G205" s="37">
        <v>30</v>
      </c>
      <c r="H205" s="37">
        <v>7.7</v>
      </c>
      <c r="I205" s="17">
        <v>70.8</v>
      </c>
      <c r="J205" s="17">
        <v>148.4</v>
      </c>
      <c r="K205" s="18">
        <v>43.3</v>
      </c>
      <c r="L205" s="20" t="e">
        <f>K205/#REF!*100</f>
        <v>#REF!</v>
      </c>
      <c r="M205" s="20">
        <f t="shared" si="75"/>
        <v>61.15819209039548</v>
      </c>
      <c r="N205" s="48"/>
      <c r="O205" s="48"/>
      <c r="P205" s="17">
        <f t="shared" si="60"/>
        <v>29.17789757412399</v>
      </c>
      <c r="Q205" s="20">
        <f>K205*100/F205</f>
        <v>114.85411140583554</v>
      </c>
      <c r="R205" s="18">
        <f t="shared" si="59"/>
        <v>16.85480731802258</v>
      </c>
      <c r="S205" s="18">
        <f aca="true" t="shared" si="78" ref="S205:S235">K205*100/D205</f>
        <v>16.85480731802258</v>
      </c>
    </row>
    <row r="206" spans="1:19" ht="12.75">
      <c r="A206" s="12" t="s">
        <v>10</v>
      </c>
      <c r="B206" s="12"/>
      <c r="C206" s="28" t="s">
        <v>21</v>
      </c>
      <c r="D206" s="68">
        <v>19</v>
      </c>
      <c r="E206" s="37">
        <f t="shared" si="77"/>
        <v>19</v>
      </c>
      <c r="F206" s="51">
        <f t="shared" si="76"/>
        <v>4</v>
      </c>
      <c r="G206" s="37">
        <v>2</v>
      </c>
      <c r="H206" s="37">
        <v>2</v>
      </c>
      <c r="I206" s="17">
        <v>4</v>
      </c>
      <c r="J206" s="17">
        <v>11</v>
      </c>
      <c r="K206" s="18">
        <v>3.9</v>
      </c>
      <c r="L206" s="20" t="e">
        <f>K206/#REF!*100</f>
        <v>#REF!</v>
      </c>
      <c r="M206" s="20">
        <f t="shared" si="75"/>
        <v>97.5</v>
      </c>
      <c r="N206" s="48"/>
      <c r="O206" s="48"/>
      <c r="P206" s="17">
        <f t="shared" si="60"/>
        <v>35.45454545454545</v>
      </c>
      <c r="Q206" s="20">
        <f>K206*100/F206</f>
        <v>97.5</v>
      </c>
      <c r="R206" s="18">
        <f t="shared" si="59"/>
        <v>20.526315789473685</v>
      </c>
      <c r="S206" s="18">
        <f t="shared" si="78"/>
        <v>20.526315789473685</v>
      </c>
    </row>
    <row r="207" spans="1:19" ht="24">
      <c r="A207" s="13" t="s">
        <v>11</v>
      </c>
      <c r="B207" s="13"/>
      <c r="C207" s="28" t="s">
        <v>17</v>
      </c>
      <c r="D207" s="68">
        <v>135.1</v>
      </c>
      <c r="E207" s="37">
        <f t="shared" si="77"/>
        <v>135.1</v>
      </c>
      <c r="F207" s="51">
        <f t="shared" si="76"/>
        <v>59.3</v>
      </c>
      <c r="G207" s="37">
        <v>25.5</v>
      </c>
      <c r="H207" s="37">
        <v>33.8</v>
      </c>
      <c r="I207" s="17">
        <v>33.8</v>
      </c>
      <c r="J207" s="17">
        <v>42</v>
      </c>
      <c r="K207" s="18">
        <v>55</v>
      </c>
      <c r="L207" s="20" t="e">
        <f>K207/#REF!*100</f>
        <v>#REF!</v>
      </c>
      <c r="M207" s="20">
        <f t="shared" si="75"/>
        <v>162.72189349112426</v>
      </c>
      <c r="N207" s="48"/>
      <c r="O207" s="48"/>
      <c r="P207" s="17">
        <f t="shared" si="60"/>
        <v>130.95238095238096</v>
      </c>
      <c r="Q207" s="20">
        <f>K207*100/F207</f>
        <v>92.7487352445194</v>
      </c>
      <c r="R207" s="18">
        <f t="shared" si="59"/>
        <v>40.71058475203553</v>
      </c>
      <c r="S207" s="18">
        <f t="shared" si="78"/>
        <v>40.71058475203553</v>
      </c>
    </row>
    <row r="208" spans="1:19" ht="24" hidden="1">
      <c r="A208" s="29" t="s">
        <v>18</v>
      </c>
      <c r="B208" s="29"/>
      <c r="C208" s="28" t="s">
        <v>15</v>
      </c>
      <c r="D208" s="68"/>
      <c r="E208" s="37">
        <f t="shared" si="77"/>
        <v>0</v>
      </c>
      <c r="F208" s="51">
        <f t="shared" si="76"/>
        <v>0</v>
      </c>
      <c r="G208" s="37"/>
      <c r="H208" s="37"/>
      <c r="I208" s="17"/>
      <c r="J208" s="17"/>
      <c r="K208" s="18"/>
      <c r="L208" s="20" t="e">
        <f>K208/#REF!*100</f>
        <v>#REF!</v>
      </c>
      <c r="M208" s="20" t="e">
        <f t="shared" si="75"/>
        <v>#DIV/0!</v>
      </c>
      <c r="N208" s="48"/>
      <c r="O208" s="48"/>
      <c r="P208" s="17" t="e">
        <f t="shared" si="60"/>
        <v>#DIV/0!</v>
      </c>
      <c r="Q208" s="20"/>
      <c r="R208" s="18"/>
      <c r="S208" s="18" t="e">
        <f t="shared" si="78"/>
        <v>#DIV/0!</v>
      </c>
    </row>
    <row r="209" spans="1:19" ht="15.75" customHeight="1" hidden="1">
      <c r="A209" s="29" t="s">
        <v>12</v>
      </c>
      <c r="B209" s="54"/>
      <c r="C209" s="28" t="s">
        <v>7</v>
      </c>
      <c r="D209" s="68"/>
      <c r="E209" s="37">
        <f t="shared" si="77"/>
        <v>0</v>
      </c>
      <c r="F209" s="51">
        <f t="shared" si="76"/>
        <v>0</v>
      </c>
      <c r="G209" s="37"/>
      <c r="H209" s="37"/>
      <c r="I209" s="17"/>
      <c r="J209" s="17"/>
      <c r="K209" s="18"/>
      <c r="L209" s="20" t="e">
        <f>K209/#REF!*100</f>
        <v>#REF!</v>
      </c>
      <c r="M209" s="20"/>
      <c r="N209" s="48"/>
      <c r="O209" s="48"/>
      <c r="P209" s="17" t="e">
        <f t="shared" si="60"/>
        <v>#DIV/0!</v>
      </c>
      <c r="Q209" s="20"/>
      <c r="R209" s="18"/>
      <c r="S209" s="18" t="e">
        <f t="shared" si="78"/>
        <v>#DIV/0!</v>
      </c>
    </row>
    <row r="210" spans="1:19" ht="13.5" customHeight="1">
      <c r="A210" s="53" t="s">
        <v>39</v>
      </c>
      <c r="B210" s="52"/>
      <c r="C210" s="16" t="s">
        <v>40</v>
      </c>
      <c r="D210" s="68"/>
      <c r="E210" s="37">
        <f t="shared" si="77"/>
        <v>0</v>
      </c>
      <c r="F210" s="51">
        <f t="shared" si="76"/>
        <v>0</v>
      </c>
      <c r="G210" s="37"/>
      <c r="H210" s="37"/>
      <c r="I210" s="17"/>
      <c r="J210" s="17"/>
      <c r="K210" s="18">
        <v>0</v>
      </c>
      <c r="L210" s="20" t="e">
        <f>K210/#REF!*100</f>
        <v>#REF!</v>
      </c>
      <c r="M210" s="20"/>
      <c r="N210" s="48"/>
      <c r="O210" s="48"/>
      <c r="P210" s="17"/>
      <c r="Q210" s="20"/>
      <c r="R210" s="18"/>
      <c r="S210" s="18"/>
    </row>
    <row r="211" spans="1:19" ht="12.75">
      <c r="A211" s="25" t="s">
        <v>1</v>
      </c>
      <c r="B211" s="25"/>
      <c r="C211" s="32" t="s">
        <v>0</v>
      </c>
      <c r="D211" s="33">
        <f aca="true" t="shared" si="79" ref="D211:J211">D212</f>
        <v>25685.5</v>
      </c>
      <c r="E211" s="33">
        <f t="shared" si="79"/>
        <v>34528.200000000004</v>
      </c>
      <c r="F211" s="33">
        <f t="shared" si="79"/>
        <v>21408.9</v>
      </c>
      <c r="G211" s="33">
        <f t="shared" si="79"/>
        <v>14870.8</v>
      </c>
      <c r="H211" s="33">
        <f t="shared" si="79"/>
        <v>6538.1</v>
      </c>
      <c r="I211" s="33">
        <f t="shared" si="79"/>
        <v>7192.2</v>
      </c>
      <c r="J211" s="33">
        <f t="shared" si="79"/>
        <v>5927.1</v>
      </c>
      <c r="K211" s="33">
        <f>K212+K213</f>
        <v>7747.7</v>
      </c>
      <c r="L211" s="27" t="e">
        <f>K211/#REF!*100</f>
        <v>#REF!</v>
      </c>
      <c r="M211" s="27">
        <f>K211/I211*100</f>
        <v>107.72364505992601</v>
      </c>
      <c r="N211" s="48"/>
      <c r="O211" s="48"/>
      <c r="P211" s="36">
        <f t="shared" si="60"/>
        <v>130.71653928565402</v>
      </c>
      <c r="Q211" s="27">
        <f>K211*100/F211</f>
        <v>36.18915497760277</v>
      </c>
      <c r="R211" s="24">
        <f t="shared" si="59"/>
        <v>22.43876020180606</v>
      </c>
      <c r="S211" s="24">
        <f t="shared" si="78"/>
        <v>30.163711043195576</v>
      </c>
    </row>
    <row r="212" spans="1:19" ht="24">
      <c r="A212" s="14" t="s">
        <v>66</v>
      </c>
      <c r="B212" s="12"/>
      <c r="C212" s="34" t="s">
        <v>20</v>
      </c>
      <c r="D212" s="37">
        <v>25685.5</v>
      </c>
      <c r="E212" s="37">
        <f t="shared" si="77"/>
        <v>34528.200000000004</v>
      </c>
      <c r="F212" s="51">
        <f t="shared" si="76"/>
        <v>21408.9</v>
      </c>
      <c r="G212" s="37">
        <v>14870.8</v>
      </c>
      <c r="H212" s="37">
        <f>6370.1+168</f>
        <v>6538.1</v>
      </c>
      <c r="I212" s="17">
        <v>7192.2</v>
      </c>
      <c r="J212" s="17">
        <v>5927.1</v>
      </c>
      <c r="K212" s="18">
        <v>7747.4</v>
      </c>
      <c r="L212" s="20" t="e">
        <f>K212/#REF!*100</f>
        <v>#REF!</v>
      </c>
      <c r="M212" s="20">
        <f>K212/I212*100</f>
        <v>107.71947387447511</v>
      </c>
      <c r="N212" s="48"/>
      <c r="O212" s="48"/>
      <c r="P212" s="17">
        <f t="shared" si="60"/>
        <v>130.71147778846316</v>
      </c>
      <c r="Q212" s="20">
        <f>K212*100/F212</f>
        <v>36.18775369122187</v>
      </c>
      <c r="R212" s="18">
        <f t="shared" si="59"/>
        <v>22.437891346783207</v>
      </c>
      <c r="S212" s="18">
        <f t="shared" si="78"/>
        <v>30.162543069046738</v>
      </c>
    </row>
    <row r="213" spans="1:19" ht="12.75">
      <c r="A213" s="14" t="s">
        <v>2</v>
      </c>
      <c r="B213" s="14"/>
      <c r="C213" s="35" t="s">
        <v>19</v>
      </c>
      <c r="D213" s="37"/>
      <c r="E213" s="37"/>
      <c r="F213" s="51">
        <f t="shared" si="76"/>
        <v>0</v>
      </c>
      <c r="G213" s="37"/>
      <c r="H213" s="37"/>
      <c r="I213" s="17"/>
      <c r="J213" s="17"/>
      <c r="K213" s="18">
        <v>0.3</v>
      </c>
      <c r="L213" s="20"/>
      <c r="M213" s="20"/>
      <c r="N213" s="48"/>
      <c r="O213" s="48"/>
      <c r="P213" s="17"/>
      <c r="Q213" s="20"/>
      <c r="R213" s="18"/>
      <c r="S213" s="18"/>
    </row>
    <row r="214" spans="1:19" ht="12.75">
      <c r="A214" s="21"/>
      <c r="B214" s="22"/>
      <c r="C214" s="23" t="s">
        <v>4</v>
      </c>
      <c r="D214" s="24">
        <f aca="true" t="shared" si="80" ref="D214:J214">D211+D201</f>
        <v>30954.1</v>
      </c>
      <c r="E214" s="24">
        <f t="shared" si="80"/>
        <v>39796.8</v>
      </c>
      <c r="F214" s="24">
        <f t="shared" si="80"/>
        <v>23860.4</v>
      </c>
      <c r="G214" s="36">
        <f t="shared" si="80"/>
        <v>16053</v>
      </c>
      <c r="H214" s="36">
        <f t="shared" si="80"/>
        <v>7807.400000000001</v>
      </c>
      <c r="I214" s="36">
        <f t="shared" si="80"/>
        <v>8510.5</v>
      </c>
      <c r="J214" s="36">
        <f t="shared" si="80"/>
        <v>7425.900000000001</v>
      </c>
      <c r="K214" s="24">
        <f>K211+K201+0.1</f>
        <v>9356.2</v>
      </c>
      <c r="L214" s="27" t="e">
        <f>K214/#REF!*100</f>
        <v>#REF!</v>
      </c>
      <c r="M214" s="27">
        <f>K214/I214*100</f>
        <v>109.93713647846779</v>
      </c>
      <c r="N214" s="48"/>
      <c r="O214" s="49" t="e">
        <f>J214+#REF!+#REF!</f>
        <v>#REF!</v>
      </c>
      <c r="P214" s="36">
        <f t="shared" si="60"/>
        <v>125.99415559056816</v>
      </c>
      <c r="Q214" s="27">
        <f>K214*100/F214</f>
        <v>39.21225126150442</v>
      </c>
      <c r="R214" s="24">
        <f t="shared" si="59"/>
        <v>23.50993044666908</v>
      </c>
      <c r="S214" s="24">
        <f t="shared" si="78"/>
        <v>30.226044368920437</v>
      </c>
    </row>
    <row r="215" spans="1:19" ht="12.75">
      <c r="A215" s="95"/>
      <c r="B215" s="96"/>
      <c r="C215" s="96"/>
      <c r="D215" s="96"/>
      <c r="E215" s="96"/>
      <c r="F215" s="96"/>
      <c r="G215" s="96"/>
      <c r="H215" s="96"/>
      <c r="I215" s="96"/>
      <c r="J215" s="96"/>
      <c r="K215" s="96"/>
      <c r="L215" s="96"/>
      <c r="M215" s="97"/>
      <c r="N215" s="48"/>
      <c r="O215" s="48"/>
      <c r="P215" s="47"/>
      <c r="Q215" s="27"/>
      <c r="R215" s="24"/>
      <c r="S215" s="18"/>
    </row>
    <row r="216" spans="1:19" ht="12.75">
      <c r="A216" s="86" t="s">
        <v>36</v>
      </c>
      <c r="B216" s="87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8"/>
    </row>
    <row r="217" spans="1:19" ht="12.75">
      <c r="A217" s="25" t="s">
        <v>3</v>
      </c>
      <c r="B217" s="39"/>
      <c r="C217" s="26" t="s">
        <v>67</v>
      </c>
      <c r="D217" s="27">
        <f aca="true" t="shared" si="81" ref="D217:J217">D218+D220+D221+D222+D224+D225+D227+D229+D226+D223+D230+D228+D219</f>
        <v>1078319.6</v>
      </c>
      <c r="E217" s="27">
        <f t="shared" si="81"/>
        <v>1081312.1</v>
      </c>
      <c r="F217" s="27">
        <f t="shared" si="81"/>
        <v>543698.3</v>
      </c>
      <c r="G217" s="27">
        <f t="shared" si="81"/>
        <v>261049.19999999998</v>
      </c>
      <c r="H217" s="27">
        <f t="shared" si="81"/>
        <v>282649.1</v>
      </c>
      <c r="I217" s="27">
        <f t="shared" si="81"/>
        <v>241466.69999999998</v>
      </c>
      <c r="J217" s="27">
        <f t="shared" si="81"/>
        <v>296147.1</v>
      </c>
      <c r="K217" s="27">
        <f>K218+K220+K221+K222+K224+K225+K227+K229+K226+K223+K230+K228+K219+0.1</f>
        <v>373288.9000000001</v>
      </c>
      <c r="L217" s="27" t="e">
        <f>K217/#REF!*100</f>
        <v>#REF!</v>
      </c>
      <c r="M217" s="27">
        <f aca="true" t="shared" si="82" ref="M217:M228">K217/I217*100</f>
        <v>154.5922895372323</v>
      </c>
      <c r="N217" s="48"/>
      <c r="O217" s="48"/>
      <c r="P217" s="27">
        <f t="shared" si="60"/>
        <v>126.04847388341811</v>
      </c>
      <c r="Q217" s="27">
        <f aca="true" t="shared" si="83" ref="Q217:Q222">K217*100/F217</f>
        <v>68.6573601572784</v>
      </c>
      <c r="R217" s="24">
        <f t="shared" si="59"/>
        <v>34.521846190382966</v>
      </c>
      <c r="S217" s="24">
        <f t="shared" si="78"/>
        <v>34.61764953544385</v>
      </c>
    </row>
    <row r="218" spans="1:19" ht="12.75">
      <c r="A218" s="21" t="s">
        <v>23</v>
      </c>
      <c r="B218" s="40" t="s">
        <v>54</v>
      </c>
      <c r="C218" s="28" t="s">
        <v>22</v>
      </c>
      <c r="D218" s="18">
        <f>D9+D31+D47+D65+D82+D100+D116+D133+D151+D168+D185+D202</f>
        <v>788632.3</v>
      </c>
      <c r="E218" s="37">
        <f>G218+H218+I218+J218</f>
        <v>788632.3000000002</v>
      </c>
      <c r="F218" s="51">
        <f aca="true" t="shared" si="84" ref="F218:F234">G218+H218</f>
        <v>404165.70000000007</v>
      </c>
      <c r="G218" s="18">
        <f>G9+G31+G47+G65+G82+G100+G116+G133+G151+G168+G185+G202</f>
        <v>197848.7</v>
      </c>
      <c r="H218" s="18">
        <f>H9+H31+H47+H65+H82+H100+H116+H133+H151+H168+H185+H202</f>
        <v>206317.00000000003</v>
      </c>
      <c r="I218" s="18">
        <f>I9+I31+I47+I65+I82+I100+I116+I133+I151+I168+I185+I202</f>
        <v>173107.7</v>
      </c>
      <c r="J218" s="18">
        <f>J9+J31+J47+J65+J82+J100+J116+J133+J151+J168+J185+J202</f>
        <v>211358.9</v>
      </c>
      <c r="K218" s="18">
        <f>K9+K31+K47+K65+K82+K100+K116+K133+K151+K168+K185+K202+0.2</f>
        <v>258161.90000000005</v>
      </c>
      <c r="L218" s="20" t="e">
        <f>K218/#REF!*100</f>
        <v>#REF!</v>
      </c>
      <c r="M218" s="20">
        <f t="shared" si="82"/>
        <v>149.1336896047952</v>
      </c>
      <c r="N218" s="48"/>
      <c r="O218" s="48"/>
      <c r="P218" s="17">
        <f t="shared" si="60"/>
        <v>122.14385105145799</v>
      </c>
      <c r="Q218" s="20">
        <f t="shared" si="83"/>
        <v>63.875262052173156</v>
      </c>
      <c r="R218" s="18">
        <f t="shared" si="59"/>
        <v>32.73539518987492</v>
      </c>
      <c r="S218" s="18">
        <f t="shared" si="78"/>
        <v>32.73539518987493</v>
      </c>
    </row>
    <row r="219" spans="1:19" ht="12.75">
      <c r="A219" s="12" t="s">
        <v>69</v>
      </c>
      <c r="B219" s="12"/>
      <c r="C219" s="28" t="s">
        <v>70</v>
      </c>
      <c r="D219" s="18">
        <f>D10+D32+D48+D66+D83+D101+D118+D134+D152+D169+D186+D203</f>
        <v>48723.299999999996</v>
      </c>
      <c r="E219" s="37">
        <f aca="true" t="shared" si="85" ref="E219:E233">G219+H219+I219+J219</f>
        <v>48723.3</v>
      </c>
      <c r="F219" s="51">
        <f t="shared" si="84"/>
        <v>23922.800000000003</v>
      </c>
      <c r="G219" s="18">
        <f>G10+G32+G48+G66+G83+G101+G118+G134+G152+G169+G186+G203</f>
        <v>11895.2</v>
      </c>
      <c r="H219" s="18">
        <f>H10+H32+H48+H66+H83+H101+H118+H134+H152+H169+H186+H203</f>
        <v>12027.6</v>
      </c>
      <c r="I219" s="18">
        <f>I10+I32+I48+I66+I83+I101+I118+I134+I152+I169+I186+I203</f>
        <v>12214.400000000001</v>
      </c>
      <c r="J219" s="18">
        <f>J10+J32+J48+J66+J83+J101+J118+J134+J152+J169+J186+J203</f>
        <v>12586.100000000002</v>
      </c>
      <c r="K219" s="18">
        <f>K10+K32+K48+K66+K83+K101+K118+K134+K152+K169+K186+K203</f>
        <v>15737.300000000001</v>
      </c>
      <c r="L219" s="18">
        <f>L10</f>
        <v>0</v>
      </c>
      <c r="M219" s="18">
        <f>M10</f>
        <v>0</v>
      </c>
      <c r="N219" s="18">
        <f>N10</f>
        <v>0</v>
      </c>
      <c r="O219" s="18">
        <f>O10</f>
        <v>0</v>
      </c>
      <c r="P219" s="18">
        <f>P10</f>
        <v>0</v>
      </c>
      <c r="Q219" s="20">
        <f t="shared" si="83"/>
        <v>65.78368752821575</v>
      </c>
      <c r="R219" s="18">
        <f t="shared" si="59"/>
        <v>32.29933112083951</v>
      </c>
      <c r="S219" s="18">
        <f t="shared" si="78"/>
        <v>32.29933112083952</v>
      </c>
    </row>
    <row r="220" spans="1:19" ht="12.75">
      <c r="A220" s="12" t="s">
        <v>8</v>
      </c>
      <c r="B220" s="38" t="s">
        <v>55</v>
      </c>
      <c r="C220" s="28" t="s">
        <v>5</v>
      </c>
      <c r="D220" s="18">
        <f>D11+D49+D67+D204+D153+D117+D187+D84+D102+D170+D119</f>
        <v>44696</v>
      </c>
      <c r="E220" s="37">
        <f>G220+H220+I220+J220</f>
        <v>44696</v>
      </c>
      <c r="F220" s="51">
        <f t="shared" si="84"/>
        <v>25042.1</v>
      </c>
      <c r="G220" s="18">
        <f>G11+G49+G67+G204+G153+G187+G84+G102+G170+G119</f>
        <v>7257</v>
      </c>
      <c r="H220" s="18">
        <f>H11+H49+H67+H204+H153+H187+H84+H102+H170+H119</f>
        <v>17785.1</v>
      </c>
      <c r="I220" s="18">
        <f>I11+I49+I67+I204+I153+I187+I84+I102+I170+I119</f>
        <v>9438</v>
      </c>
      <c r="J220" s="18">
        <f>J11+J49+J67+J204+J153+J187+J84+J102+J170+J119</f>
        <v>10215.9</v>
      </c>
      <c r="K220" s="18">
        <f>K11+K49+K67+K204+K153+K117+K187+K84+K102+K170+K119+0.1</f>
        <v>20473.299999999992</v>
      </c>
      <c r="L220" s="20" t="e">
        <f>K220/#REF!*100</f>
        <v>#REF!</v>
      </c>
      <c r="M220" s="20">
        <f t="shared" si="82"/>
        <v>216.92413646959093</v>
      </c>
      <c r="N220" s="48"/>
      <c r="O220" s="48"/>
      <c r="P220" s="17">
        <f t="shared" si="60"/>
        <v>200.40622950498727</v>
      </c>
      <c r="Q220" s="20">
        <f t="shared" si="83"/>
        <v>81.75552369809239</v>
      </c>
      <c r="R220" s="18">
        <f t="shared" si="59"/>
        <v>45.80566493645962</v>
      </c>
      <c r="S220" s="18">
        <f t="shared" si="78"/>
        <v>45.80566493645962</v>
      </c>
    </row>
    <row r="221" spans="1:19" ht="12.75">
      <c r="A221" s="12" t="s">
        <v>9</v>
      </c>
      <c r="B221" s="38" t="s">
        <v>56</v>
      </c>
      <c r="C221" s="28" t="s">
        <v>6</v>
      </c>
      <c r="D221" s="18">
        <f>D12+D33+D50+D68+D85+D103+D120+D135+D154+D171+D188+D205</f>
        <v>31354.900000000005</v>
      </c>
      <c r="E221" s="37">
        <f t="shared" si="85"/>
        <v>31354.9</v>
      </c>
      <c r="F221" s="51">
        <f t="shared" si="84"/>
        <v>7962.099999999999</v>
      </c>
      <c r="G221" s="18">
        <f>G12+G33+G50+G68+G85+G103+G120+G135+G154+G171+G188+G205</f>
        <v>4004.7999999999997</v>
      </c>
      <c r="H221" s="18">
        <f>H12+H33+H50+H68+H85+H103+H120+H135+H154+H171+H188+H205</f>
        <v>3957.2999999999997</v>
      </c>
      <c r="I221" s="18">
        <f>I12+I33+I50+I68+I85+I103+I120+I135+I154+I171+I188+I205</f>
        <v>5912.900000000001</v>
      </c>
      <c r="J221" s="18">
        <f>J12+J33+J50+J68+J85+J103+J120+J135+J154+J171+J188+J205</f>
        <v>17479.9</v>
      </c>
      <c r="K221" s="18">
        <f>K12+K33+K50+K68+K85+K103+K120+K135+K154+K171+K188+K205-0.1</f>
        <v>7221.5</v>
      </c>
      <c r="L221" s="20" t="e">
        <f>K221/#REF!*100</f>
        <v>#REF!</v>
      </c>
      <c r="M221" s="20">
        <f t="shared" si="82"/>
        <v>122.13127230293085</v>
      </c>
      <c r="N221" s="48"/>
      <c r="O221" s="48"/>
      <c r="P221" s="17">
        <f t="shared" si="60"/>
        <v>41.31316540712475</v>
      </c>
      <c r="Q221" s="20">
        <f t="shared" si="83"/>
        <v>90.69843383027091</v>
      </c>
      <c r="R221" s="18">
        <f t="shared" si="59"/>
        <v>23.031487901412536</v>
      </c>
      <c r="S221" s="18">
        <f t="shared" si="78"/>
        <v>23.031487901412536</v>
      </c>
    </row>
    <row r="222" spans="1:19" ht="12.75">
      <c r="A222" s="12" t="s">
        <v>10</v>
      </c>
      <c r="B222" s="38" t="s">
        <v>49</v>
      </c>
      <c r="C222" s="28" t="s">
        <v>21</v>
      </c>
      <c r="D222" s="18">
        <f>D13+D34+D51+D69+D86+D104+D121+D136+D155+D172+D189+D206</f>
        <v>3813.7</v>
      </c>
      <c r="E222" s="37">
        <f t="shared" si="85"/>
        <v>3813.7</v>
      </c>
      <c r="F222" s="51">
        <f t="shared" si="84"/>
        <v>1891.1999999999998</v>
      </c>
      <c r="G222" s="18">
        <f>G13+G34+G69+G86+G104+G121+G136+G155+G172+G189+G206</f>
        <v>926.4</v>
      </c>
      <c r="H222" s="18">
        <f>H13+H34+H69+H86+H104+H121+H136+H155+H172+H189+H206</f>
        <v>964.8</v>
      </c>
      <c r="I222" s="18">
        <f>I13+I34+I69+I86+I104+I121+I136+I155+I172+I189+I206</f>
        <v>971.9</v>
      </c>
      <c r="J222" s="18">
        <f>J13+J34+J69+J86+J104+J121+J136+J155+J172+J189+J206</f>
        <v>950.5999999999999</v>
      </c>
      <c r="K222" s="18">
        <f>K13+K34+K51+K69+K86+K104+K121+K136+K155+K172+K189+K206</f>
        <v>1391.7000000000005</v>
      </c>
      <c r="L222" s="20" t="e">
        <f>K222/#REF!*100</f>
        <v>#REF!</v>
      </c>
      <c r="M222" s="20">
        <f t="shared" si="82"/>
        <v>143.1937442123676</v>
      </c>
      <c r="N222" s="48"/>
      <c r="O222" s="48"/>
      <c r="P222" s="17">
        <f t="shared" si="60"/>
        <v>146.4022722491059</v>
      </c>
      <c r="Q222" s="20">
        <f t="shared" si="83"/>
        <v>73.58819796954319</v>
      </c>
      <c r="R222" s="18">
        <f t="shared" si="59"/>
        <v>36.492120512887766</v>
      </c>
      <c r="S222" s="18">
        <f t="shared" si="78"/>
        <v>36.492120512887766</v>
      </c>
    </row>
    <row r="223" spans="1:19" ht="24" hidden="1">
      <c r="A223" s="12" t="s">
        <v>37</v>
      </c>
      <c r="B223" s="38" t="s">
        <v>57</v>
      </c>
      <c r="C223" s="28" t="s">
        <v>38</v>
      </c>
      <c r="D223" s="41">
        <f>D14</f>
        <v>0</v>
      </c>
      <c r="E223" s="37">
        <f t="shared" si="85"/>
        <v>0</v>
      </c>
      <c r="F223" s="51">
        <f t="shared" si="84"/>
        <v>0</v>
      </c>
      <c r="G223" s="41">
        <f>G14</f>
        <v>0</v>
      </c>
      <c r="H223" s="41">
        <f>H14</f>
        <v>0</v>
      </c>
      <c r="I223" s="41">
        <f>I14</f>
        <v>0</v>
      </c>
      <c r="J223" s="41">
        <f>J14</f>
        <v>0</v>
      </c>
      <c r="K223" s="41">
        <f>K14</f>
        <v>0</v>
      </c>
      <c r="L223" s="20" t="e">
        <f>K223/#REF!*100</f>
        <v>#REF!</v>
      </c>
      <c r="M223" s="20"/>
      <c r="N223" s="48"/>
      <c r="O223" s="48"/>
      <c r="P223" s="17" t="e">
        <f t="shared" si="60"/>
        <v>#DIV/0!</v>
      </c>
      <c r="Q223" s="20"/>
      <c r="R223" s="18"/>
      <c r="S223" s="18" t="e">
        <f t="shared" si="78"/>
        <v>#DIV/0!</v>
      </c>
    </row>
    <row r="224" spans="1:19" ht="24">
      <c r="A224" s="13" t="s">
        <v>11</v>
      </c>
      <c r="B224" s="42" t="s">
        <v>48</v>
      </c>
      <c r="C224" s="28" t="s">
        <v>17</v>
      </c>
      <c r="D224" s="18">
        <f>D15+D35+D52+D70+D87+D105+D122+D137+D156+D173+D190+D207</f>
        <v>122481.50000000001</v>
      </c>
      <c r="E224" s="37">
        <f t="shared" si="85"/>
        <v>122578.99999999999</v>
      </c>
      <c r="F224" s="51">
        <f t="shared" si="84"/>
        <v>59795.49999999999</v>
      </c>
      <c r="G224" s="18">
        <f>G15+G35+G52+G70+G87+G105+G122+G137+G156+G173+G190+G207</f>
        <v>29255.999999999996</v>
      </c>
      <c r="H224" s="18">
        <f>H15+H35+H52+H70+H87+H105+H122+H137+H156+H173+H190+H207</f>
        <v>30539.499999999996</v>
      </c>
      <c r="I224" s="18">
        <f>I15+I35+I52+I70+I87+I105+I122+I137+I156+I173+I190+I207</f>
        <v>30996.999999999996</v>
      </c>
      <c r="J224" s="18">
        <f>J15+J35+J52+J70+J87+J105+J122+J137+J156+J173+J190+J207</f>
        <v>31786.5</v>
      </c>
      <c r="K224" s="18">
        <f>K15+K35+K52+K70+K87+K105+K122+K137+K156+K173+K190+K207-0.1</f>
        <v>33648.4</v>
      </c>
      <c r="L224" s="20" t="e">
        <f>K224/#REF!*100</f>
        <v>#REF!</v>
      </c>
      <c r="M224" s="20">
        <f t="shared" si="82"/>
        <v>108.55373100622643</v>
      </c>
      <c r="N224" s="48"/>
      <c r="O224" s="48"/>
      <c r="P224" s="17">
        <f t="shared" si="60"/>
        <v>105.85751812876535</v>
      </c>
      <c r="Q224" s="20">
        <f aca="true" t="shared" si="86" ref="Q224:Q235">K224*100/F224</f>
        <v>56.27246197456331</v>
      </c>
      <c r="R224" s="18">
        <f aca="true" t="shared" si="87" ref="R224:R235">K224*100/E224</f>
        <v>27.450378939296293</v>
      </c>
      <c r="S224" s="18">
        <f t="shared" si="78"/>
        <v>27.47223050011634</v>
      </c>
    </row>
    <row r="225" spans="1:19" ht="12.75">
      <c r="A225" s="29" t="s">
        <v>14</v>
      </c>
      <c r="B225" s="43" t="s">
        <v>47</v>
      </c>
      <c r="C225" s="28" t="s">
        <v>13</v>
      </c>
      <c r="D225" s="18">
        <f>D16</f>
        <v>9593.1</v>
      </c>
      <c r="E225" s="37">
        <f t="shared" si="85"/>
        <v>9593.1</v>
      </c>
      <c r="F225" s="51">
        <f t="shared" si="84"/>
        <v>4798.6</v>
      </c>
      <c r="G225" s="18">
        <f>G16</f>
        <v>2399.3</v>
      </c>
      <c r="H225" s="18">
        <f>H16</f>
        <v>2399.3</v>
      </c>
      <c r="I225" s="18">
        <f>I16</f>
        <v>2399.3</v>
      </c>
      <c r="J225" s="18">
        <f>J16</f>
        <v>2395.2</v>
      </c>
      <c r="K225" s="18">
        <f>K16</f>
        <v>17317.6</v>
      </c>
      <c r="L225" s="20" t="e">
        <f>K225/#REF!*100</f>
        <v>#REF!</v>
      </c>
      <c r="M225" s="20">
        <f t="shared" si="82"/>
        <v>721.7771850122951</v>
      </c>
      <c r="N225" s="48"/>
      <c r="O225" s="48"/>
      <c r="P225" s="17">
        <f t="shared" si="60"/>
        <v>723.0126920507681</v>
      </c>
      <c r="Q225" s="20">
        <f t="shared" si="86"/>
        <v>360.8885925061476</v>
      </c>
      <c r="R225" s="18">
        <f t="shared" si="87"/>
        <v>180.5214164347291</v>
      </c>
      <c r="S225" s="18">
        <f t="shared" si="78"/>
        <v>180.5214164347291</v>
      </c>
    </row>
    <row r="226" spans="1:19" ht="24">
      <c r="A226" s="30" t="s">
        <v>42</v>
      </c>
      <c r="B226" s="44" t="s">
        <v>58</v>
      </c>
      <c r="C226" s="28" t="s">
        <v>43</v>
      </c>
      <c r="D226" s="45">
        <f>D17+D88+D53+D106+D138+D157+D174+D191+D123+D71+D36</f>
        <v>15967.8</v>
      </c>
      <c r="E226" s="37">
        <f t="shared" si="85"/>
        <v>15967.8</v>
      </c>
      <c r="F226" s="51">
        <f t="shared" si="84"/>
        <v>6244.4</v>
      </c>
      <c r="G226" s="45">
        <f>G17+G88+G53+G106+G138+G157+G174+G191+G123+G71+G36</f>
        <v>2717</v>
      </c>
      <c r="H226" s="45">
        <f>H17+H88+H53+H106+H138+H157+H174+H191+H123+H71+H36</f>
        <v>3527.4</v>
      </c>
      <c r="I226" s="45">
        <f>I17+I88+I53+I106+I138+I157+I174+I191+I123+I71+I36</f>
        <v>3213.9</v>
      </c>
      <c r="J226" s="45">
        <f>J17+J88+J53+J106+J138+J157+J174+J191+J123+J71+J36</f>
        <v>6509.5</v>
      </c>
      <c r="K226" s="45">
        <f>K17+K88+K53+K106+K138+K157+K174+K191+K123+K71+K36-0.1</f>
        <v>7788.9</v>
      </c>
      <c r="L226" s="45" t="e">
        <f>L17+L88+L53+L106+L138+L157+L174+L191+L123+L71+L36</f>
        <v>#REF!</v>
      </c>
      <c r="M226" s="45" t="e">
        <f>M17+M88+M53+M106+M138+M157+M174+M191+M123+M71+M36</f>
        <v>#DIV/0!</v>
      </c>
      <c r="N226" s="45">
        <f>N17+N88+N53+N106+N138+N157+N174+N191+N123+N71+N36</f>
        <v>0</v>
      </c>
      <c r="O226" s="45">
        <f>O17+O88+O53+O106+O138+O157+O174+O191+O123+O71+O36</f>
        <v>0</v>
      </c>
      <c r="P226" s="45" t="e">
        <f>P17+P88+P53+P106+P138+P157+P174+P191+P123+P71+P36</f>
        <v>#DIV/0!</v>
      </c>
      <c r="Q226" s="20">
        <f t="shared" si="86"/>
        <v>124.73416180898086</v>
      </c>
      <c r="R226" s="18">
        <f t="shared" si="87"/>
        <v>48.77879231954308</v>
      </c>
      <c r="S226" s="18">
        <f t="shared" si="78"/>
        <v>48.77879231954308</v>
      </c>
    </row>
    <row r="227" spans="1:19" ht="24">
      <c r="A227" s="30" t="s">
        <v>18</v>
      </c>
      <c r="B227" s="44" t="s">
        <v>53</v>
      </c>
      <c r="C227" s="28" t="s">
        <v>15</v>
      </c>
      <c r="D227" s="18">
        <f>D18+D37+D54+D72+D89+D124+D158+D175+D192+D208+D139</f>
        <v>13051</v>
      </c>
      <c r="E227" s="37">
        <f>G227+H227+I227+J227</f>
        <v>15945.999999999998</v>
      </c>
      <c r="F227" s="51">
        <f t="shared" si="84"/>
        <v>9872.899999999998</v>
      </c>
      <c r="G227" s="18">
        <f>G18+G37+G54+G72+G89+G107+G124+G158+G175+G192+G208+G139</f>
        <v>4741.799999999999</v>
      </c>
      <c r="H227" s="18">
        <f>H18+H37+H54+H72+H89+H107+H124+H158+H175+H192+H208+H139</f>
        <v>5131.099999999999</v>
      </c>
      <c r="I227" s="18">
        <f>I18+I37+I54+I72+I89+I107+I124+I158+I175+I192+I208+I139</f>
        <v>3208.6</v>
      </c>
      <c r="J227" s="18">
        <f>J18+J37+J54+J72+J89+J107+J124+J158+J175+J192+J208+J139</f>
        <v>2864.5</v>
      </c>
      <c r="K227" s="18">
        <f>K18+K37+K54+K72+K89+K124+K158+K175+K192+K208+K139</f>
        <v>5330.7</v>
      </c>
      <c r="L227" s="20" t="e">
        <f>K227/#REF!*100</f>
        <v>#REF!</v>
      </c>
      <c r="M227" s="20">
        <f t="shared" si="82"/>
        <v>166.13787944898087</v>
      </c>
      <c r="N227" s="48"/>
      <c r="O227" s="48"/>
      <c r="P227" s="17">
        <f aca="true" t="shared" si="88" ref="P227:P235">K227*100/J227</f>
        <v>186.095304590679</v>
      </c>
      <c r="Q227" s="20">
        <f t="shared" si="86"/>
        <v>53.99325426166578</v>
      </c>
      <c r="R227" s="18">
        <f t="shared" si="87"/>
        <v>33.42970023830428</v>
      </c>
      <c r="S227" s="18">
        <f t="shared" si="78"/>
        <v>40.845145965826376</v>
      </c>
    </row>
    <row r="228" spans="1:19" ht="12.75">
      <c r="A228" s="30" t="s">
        <v>60</v>
      </c>
      <c r="B228" s="30"/>
      <c r="C228" s="28" t="s">
        <v>61</v>
      </c>
      <c r="D228" s="18">
        <f>D19</f>
        <v>6</v>
      </c>
      <c r="E228" s="37">
        <f t="shared" si="85"/>
        <v>6</v>
      </c>
      <c r="F228" s="51">
        <f t="shared" si="84"/>
        <v>3</v>
      </c>
      <c r="G228" s="18">
        <f>G19</f>
        <v>3</v>
      </c>
      <c r="H228" s="18">
        <f>H19</f>
        <v>0</v>
      </c>
      <c r="I228" s="18">
        <f>I19</f>
        <v>3</v>
      </c>
      <c r="J228" s="18">
        <f>J19</f>
        <v>0</v>
      </c>
      <c r="K228" s="18">
        <f>K19</f>
        <v>2.6</v>
      </c>
      <c r="L228" s="20" t="e">
        <f>K228/#REF!*100</f>
        <v>#REF!</v>
      </c>
      <c r="M228" s="20">
        <f t="shared" si="82"/>
        <v>86.66666666666667</v>
      </c>
      <c r="N228" s="48"/>
      <c r="O228" s="48"/>
      <c r="P228" s="17" t="e">
        <f t="shared" si="88"/>
        <v>#DIV/0!</v>
      </c>
      <c r="Q228" s="20">
        <f t="shared" si="86"/>
        <v>86.66666666666667</v>
      </c>
      <c r="R228" s="18">
        <f t="shared" si="87"/>
        <v>43.333333333333336</v>
      </c>
      <c r="S228" s="18">
        <f t="shared" si="78"/>
        <v>43.333333333333336</v>
      </c>
    </row>
    <row r="229" spans="1:19" ht="12.75">
      <c r="A229" s="21" t="s">
        <v>12</v>
      </c>
      <c r="B229" s="40" t="s">
        <v>50</v>
      </c>
      <c r="C229" s="28" t="s">
        <v>7</v>
      </c>
      <c r="D229" s="18">
        <f>D20+D193+D209+D73+D140+D55+D159+D90+D176+D107</f>
        <v>0</v>
      </c>
      <c r="E229" s="37">
        <f t="shared" si="85"/>
        <v>0</v>
      </c>
      <c r="F229" s="51">
        <f t="shared" si="84"/>
        <v>0</v>
      </c>
      <c r="G229" s="18">
        <f>G20+G193+G209+G73+G140+G55+G159+G90+G176</f>
        <v>0</v>
      </c>
      <c r="H229" s="18">
        <f>H20+H193+H209+H73+H140+H55+H159+H90+H176</f>
        <v>0</v>
      </c>
      <c r="I229" s="18">
        <f>I20+I193+I209+I73+I140+I55+I159+I90+I176</f>
        <v>0</v>
      </c>
      <c r="J229" s="18">
        <f>J20+J193+J209+J73+J140+J55+J159+J90+J176</f>
        <v>0</v>
      </c>
      <c r="K229" s="18">
        <f>K20+K193+K209+K73+K140+K55+K159+K90+K176+K107+K38</f>
        <v>5967</v>
      </c>
      <c r="L229" s="18" t="e">
        <f>L20+L193+L209+L73+L140+L55+L159+L90</f>
        <v>#REF!</v>
      </c>
      <c r="M229" s="18" t="e">
        <f>M20+M193+M209+M73+M140+M55+M159+M90</f>
        <v>#DIV/0!</v>
      </c>
      <c r="N229" s="18">
        <f>N20+N193+N209+N73+N140+N55+N159+N90</f>
        <v>0</v>
      </c>
      <c r="O229" s="18">
        <f>O20+O193+O209+O73+O140+O55+O159+O90</f>
        <v>0</v>
      </c>
      <c r="P229" s="18" t="e">
        <f>P20+P193+P209+P73+P140+P55+P159+P90</f>
        <v>#DIV/0!</v>
      </c>
      <c r="Q229" s="20"/>
      <c r="R229" s="18"/>
      <c r="S229" s="18"/>
    </row>
    <row r="230" spans="1:19" ht="12.75">
      <c r="A230" s="31" t="s">
        <v>39</v>
      </c>
      <c r="B230" s="46" t="s">
        <v>57</v>
      </c>
      <c r="C230" s="16" t="s">
        <v>40</v>
      </c>
      <c r="D230" s="18">
        <f>D21+D39+D56+D74+D91+D108+D126+D141+D160+D177+D194+D210</f>
        <v>0</v>
      </c>
      <c r="E230" s="37">
        <f t="shared" si="85"/>
        <v>0</v>
      </c>
      <c r="F230" s="51">
        <f t="shared" si="84"/>
        <v>0</v>
      </c>
      <c r="G230" s="18">
        <v>0</v>
      </c>
      <c r="H230" s="18">
        <f>H21+H39+H56+H74+H91+H108+H126+H141+H160+H177+H194+H210</f>
        <v>0</v>
      </c>
      <c r="I230" s="18">
        <f>I21+I39+I56+I74+I91+I108+I126+I141+I160+I177+I194+I210</f>
        <v>0</v>
      </c>
      <c r="J230" s="18">
        <f>J21+J39+J56+J74+J91+J108+J126+J141+J160+J177+J194+J210</f>
        <v>0</v>
      </c>
      <c r="K230" s="18">
        <f>K21+K39+K56+K74+K91+K108+K126+K141+K160+K177+K194+K210-0.1</f>
        <v>247.9</v>
      </c>
      <c r="L230" s="20"/>
      <c r="M230" s="20"/>
      <c r="N230" s="48"/>
      <c r="O230" s="48"/>
      <c r="P230" s="17" t="e">
        <f t="shared" si="88"/>
        <v>#DIV/0!</v>
      </c>
      <c r="Q230" s="20"/>
      <c r="R230" s="18"/>
      <c r="S230" s="18"/>
    </row>
    <row r="231" spans="1:19" ht="12.75">
      <c r="A231" s="25" t="s">
        <v>1</v>
      </c>
      <c r="B231" s="39"/>
      <c r="C231" s="32" t="s">
        <v>0</v>
      </c>
      <c r="D231" s="33">
        <f aca="true" t="shared" si="89" ref="D231:J231">D232+D233+D234</f>
        <v>3294234.4</v>
      </c>
      <c r="E231" s="33">
        <f t="shared" si="89"/>
        <v>3598394.0999999996</v>
      </c>
      <c r="F231" s="33">
        <f t="shared" si="89"/>
        <v>2024614.4000000001</v>
      </c>
      <c r="G231" s="33">
        <f t="shared" si="89"/>
        <v>1061898.7</v>
      </c>
      <c r="H231" s="33">
        <f t="shared" si="89"/>
        <v>962715.7</v>
      </c>
      <c r="I231" s="33">
        <f t="shared" si="89"/>
        <v>796712.2999999999</v>
      </c>
      <c r="J231" s="33">
        <f t="shared" si="89"/>
        <v>777039.4</v>
      </c>
      <c r="K231" s="33">
        <f>K232+K233+K234</f>
        <v>1009080.5</v>
      </c>
      <c r="L231" s="27" t="e">
        <f>K231/#REF!*100</f>
        <v>#REF!</v>
      </c>
      <c r="M231" s="27">
        <f>K231/I231*100</f>
        <v>126.65556939437236</v>
      </c>
      <c r="N231" s="48"/>
      <c r="O231" s="48"/>
      <c r="P231" s="36">
        <f t="shared" si="88"/>
        <v>129.86220518547708</v>
      </c>
      <c r="Q231" s="27">
        <f t="shared" si="86"/>
        <v>49.840626442249935</v>
      </c>
      <c r="R231" s="24">
        <f>K231*100/E231</f>
        <v>28.04252319110906</v>
      </c>
      <c r="S231" s="24">
        <f t="shared" si="78"/>
        <v>30.631715217350653</v>
      </c>
    </row>
    <row r="232" spans="1:19" ht="24">
      <c r="A232" s="14" t="s">
        <v>66</v>
      </c>
      <c r="B232" s="38" t="s">
        <v>51</v>
      </c>
      <c r="C232" s="34" t="s">
        <v>20</v>
      </c>
      <c r="D232" s="17">
        <f>D23-26864.5</f>
        <v>3294234.4</v>
      </c>
      <c r="E232" s="37">
        <f t="shared" si="85"/>
        <v>3575314.6999999997</v>
      </c>
      <c r="F232" s="51">
        <f t="shared" si="84"/>
        <v>2025563</v>
      </c>
      <c r="G232" s="17">
        <f>G23</f>
        <v>1065719.4</v>
      </c>
      <c r="H232" s="17">
        <f>H23-5372.9-73</f>
        <v>959843.6</v>
      </c>
      <c r="I232" s="17">
        <f>I23-10745.8</f>
        <v>775212.2999999999</v>
      </c>
      <c r="J232" s="17">
        <f>J23-10949.7</f>
        <v>774539.4</v>
      </c>
      <c r="K232" s="17">
        <f>K23-6336.8</f>
        <v>1007842.7999999999</v>
      </c>
      <c r="L232" s="20" t="e">
        <f>K232/#REF!*100</f>
        <v>#REF!</v>
      </c>
      <c r="M232" s="20">
        <f>K232/I232*100</f>
        <v>130.0086182843074</v>
      </c>
      <c r="N232" s="48"/>
      <c r="O232" s="48"/>
      <c r="P232" s="17">
        <f t="shared" si="88"/>
        <v>130.12156644323065</v>
      </c>
      <c r="Q232" s="20">
        <f t="shared" si="86"/>
        <v>49.756181367846864</v>
      </c>
      <c r="R232" s="18">
        <f t="shared" si="87"/>
        <v>28.188925579054622</v>
      </c>
      <c r="S232" s="18">
        <f t="shared" si="78"/>
        <v>30.59414351328491</v>
      </c>
    </row>
    <row r="233" spans="1:19" ht="12.75">
      <c r="A233" s="14" t="s">
        <v>2</v>
      </c>
      <c r="B233" s="14" t="s">
        <v>52</v>
      </c>
      <c r="C233" s="35" t="s">
        <v>19</v>
      </c>
      <c r="D233" s="18">
        <f>D24+D95+D180+D77</f>
        <v>0</v>
      </c>
      <c r="E233" s="37">
        <f t="shared" si="85"/>
        <v>26897.1</v>
      </c>
      <c r="F233" s="51">
        <f t="shared" si="84"/>
        <v>2897.1000000000004</v>
      </c>
      <c r="G233" s="18">
        <f>G24+G95+G180+G77+G146+G197</f>
        <v>25</v>
      </c>
      <c r="H233" s="18">
        <f>H24+H95+H180+H77+H146+H197</f>
        <v>2872.1000000000004</v>
      </c>
      <c r="I233" s="18">
        <f>I24+I95+I180+I77+I146+I197</f>
        <v>21500</v>
      </c>
      <c r="J233" s="18">
        <f>J24+J95+J180+J77+J146+J197</f>
        <v>2500</v>
      </c>
      <c r="K233" s="18">
        <f>K24+K95+K163+K197+K213+G146+K77</f>
        <v>5083.4</v>
      </c>
      <c r="L233" s="20" t="e">
        <f>K233/#REF!*100</f>
        <v>#REF!</v>
      </c>
      <c r="M233" s="20">
        <f>K233/I233*100</f>
        <v>23.643720930232558</v>
      </c>
      <c r="N233" s="48"/>
      <c r="O233" s="48"/>
      <c r="P233" s="17">
        <f t="shared" si="88"/>
        <v>203.33599999999998</v>
      </c>
      <c r="Q233" s="20">
        <f t="shared" si="86"/>
        <v>175.46512029270644</v>
      </c>
      <c r="R233" s="18">
        <f>K233*100/E233</f>
        <v>18.89943525510185</v>
      </c>
      <c r="S233" s="18"/>
    </row>
    <row r="234" spans="1:19" ht="36">
      <c r="A234" s="14" t="s">
        <v>65</v>
      </c>
      <c r="B234" s="15"/>
      <c r="C234" s="19" t="s">
        <v>63</v>
      </c>
      <c r="D234" s="18">
        <f>D26</f>
        <v>0</v>
      </c>
      <c r="E234" s="37">
        <f>G234+H234+I234+J234+28</f>
        <v>-3817.7</v>
      </c>
      <c r="F234" s="51">
        <f t="shared" si="84"/>
        <v>-3845.7</v>
      </c>
      <c r="G234" s="18">
        <f>G26</f>
        <v>-3845.7</v>
      </c>
      <c r="H234" s="18">
        <f>H26</f>
        <v>0</v>
      </c>
      <c r="I234" s="18">
        <f>I26</f>
        <v>0</v>
      </c>
      <c r="J234" s="18">
        <f>J26</f>
        <v>0</v>
      </c>
      <c r="K234" s="18">
        <f>K26+28</f>
        <v>-3845.7</v>
      </c>
      <c r="L234" s="20" t="e">
        <f>K234/#REF!*100</f>
        <v>#REF!</v>
      </c>
      <c r="M234" s="20"/>
      <c r="N234" s="48"/>
      <c r="O234" s="48"/>
      <c r="P234" s="17" t="e">
        <f t="shared" si="88"/>
        <v>#DIV/0!</v>
      </c>
      <c r="Q234" s="20">
        <f>K234*100/F234</f>
        <v>100</v>
      </c>
      <c r="R234" s="18">
        <f>K234*100/E234</f>
        <v>100.73342588469498</v>
      </c>
      <c r="S234" s="18"/>
    </row>
    <row r="235" spans="1:19" ht="12.75">
      <c r="A235" s="21"/>
      <c r="B235" s="22"/>
      <c r="C235" s="23" t="s">
        <v>4</v>
      </c>
      <c r="D235" s="24">
        <f aca="true" t="shared" si="90" ref="D235:K235">D231+D217</f>
        <v>4372554</v>
      </c>
      <c r="E235" s="24">
        <f t="shared" si="90"/>
        <v>4679706.199999999</v>
      </c>
      <c r="F235" s="24">
        <f t="shared" si="90"/>
        <v>2568312.7</v>
      </c>
      <c r="G235" s="24">
        <f t="shared" si="90"/>
        <v>1322947.9</v>
      </c>
      <c r="H235" s="24">
        <f t="shared" si="90"/>
        <v>1245364.7999999998</v>
      </c>
      <c r="I235" s="24">
        <f t="shared" si="90"/>
        <v>1038178.9999999999</v>
      </c>
      <c r="J235" s="24">
        <f t="shared" si="90"/>
        <v>1073186.5</v>
      </c>
      <c r="K235" s="24">
        <f t="shared" si="90"/>
        <v>1382369.4000000001</v>
      </c>
      <c r="L235" s="27" t="e">
        <f>K235/#REF!*100</f>
        <v>#REF!</v>
      </c>
      <c r="M235" s="27">
        <f>K235/I235*100</f>
        <v>133.15328088894114</v>
      </c>
      <c r="N235" s="48"/>
      <c r="O235" s="49" t="e">
        <f>J235+#REF!+#REF!</f>
        <v>#REF!</v>
      </c>
      <c r="P235" s="36">
        <f t="shared" si="88"/>
        <v>128.8098014650762</v>
      </c>
      <c r="Q235" s="27">
        <f t="shared" si="86"/>
        <v>53.82403007235061</v>
      </c>
      <c r="R235" s="24">
        <f t="shared" si="87"/>
        <v>29.539662126652313</v>
      </c>
      <c r="S235" s="24">
        <f t="shared" si="78"/>
        <v>31.614690178783384</v>
      </c>
    </row>
    <row r="236" spans="3:9" ht="12.75">
      <c r="C236" s="8"/>
      <c r="D236" s="8"/>
      <c r="E236" s="8"/>
      <c r="F236" s="8"/>
      <c r="G236" s="8"/>
      <c r="H236" s="8"/>
      <c r="I236" s="2"/>
    </row>
    <row r="237" spans="3:12" ht="12.75">
      <c r="C237" s="9" t="s">
        <v>59</v>
      </c>
      <c r="D237" s="9"/>
      <c r="E237" s="9"/>
      <c r="F237" s="9"/>
      <c r="G237" s="9"/>
      <c r="H237" s="9"/>
      <c r="I237" s="3"/>
      <c r="J237" s="3"/>
      <c r="K237" s="5"/>
      <c r="L237" s="5"/>
    </row>
    <row r="238" spans="3:13" ht="12.75" hidden="1">
      <c r="C238" s="9"/>
      <c r="D238" s="9"/>
      <c r="E238" s="9"/>
      <c r="F238" s="9"/>
      <c r="G238" s="9"/>
      <c r="H238" s="9"/>
      <c r="I238" s="3" t="s">
        <v>62</v>
      </c>
      <c r="J238" s="3">
        <f>J237-J217</f>
        <v>-296147.1</v>
      </c>
      <c r="K238" s="4"/>
      <c r="L238" s="5"/>
      <c r="M238" s="2" t="e">
        <f>O27+O43+O61+O78+O96+O112+O129+O147+O164+O181+O198+O214-#REF!-#REF!-#REF!-#REF!-#REF!-#REF!-#REF!-#REF!-#REF!-#REF!-#REF!-#REF!-5301.3-7951.9-535.1-7243.1</f>
        <v>#REF!</v>
      </c>
    </row>
    <row r="239" spans="1:13" ht="12.75" hidden="1">
      <c r="A239" s="2"/>
      <c r="C239" s="9"/>
      <c r="D239" s="9"/>
      <c r="E239" s="9"/>
      <c r="F239" s="9"/>
      <c r="G239" s="9"/>
      <c r="H239" s="9"/>
      <c r="I239" s="6"/>
      <c r="J239" s="3"/>
      <c r="K239" s="5"/>
      <c r="L239" s="5"/>
      <c r="M239" s="2" t="e">
        <f>O235-M238</f>
        <v>#REF!</v>
      </c>
    </row>
    <row r="240" spans="3:12" ht="12.75" hidden="1">
      <c r="C240" s="10"/>
      <c r="D240" s="10"/>
      <c r="E240" s="10"/>
      <c r="F240" s="10"/>
      <c r="G240" s="10"/>
      <c r="H240" s="10"/>
      <c r="I240" s="3"/>
      <c r="J240" s="3">
        <f>J239-J231</f>
        <v>-777039.4</v>
      </c>
      <c r="K240" s="5"/>
      <c r="L240" s="5"/>
    </row>
    <row r="241" spans="3:12" ht="12.75" hidden="1">
      <c r="C241" s="10"/>
      <c r="D241" s="10"/>
      <c r="E241" s="10"/>
      <c r="F241" s="10"/>
      <c r="G241" s="10"/>
      <c r="H241" s="10"/>
      <c r="I241" s="6"/>
      <c r="J241" s="3" t="e">
        <f>#REF!+#REF!+#REF!+#REF!+#REF!+#REF!+#REF!+#REF!+#REF!+#REF!</f>
        <v>#REF!</v>
      </c>
      <c r="K241" s="5"/>
      <c r="L241" s="5"/>
    </row>
    <row r="242" spans="1:12" ht="12.75" hidden="1">
      <c r="A242" s="2">
        <f>J217+J231</f>
        <v>1073186.5</v>
      </c>
      <c r="C242" s="11"/>
      <c r="D242" s="11"/>
      <c r="E242" s="11"/>
      <c r="F242" s="11"/>
      <c r="G242" s="11"/>
      <c r="H242" s="11"/>
      <c r="I242" s="6"/>
      <c r="J242" s="3" t="e">
        <f>J241-#REF!</f>
        <v>#REF!</v>
      </c>
      <c r="K242" s="5"/>
      <c r="L242" s="5"/>
    </row>
    <row r="243" spans="1:12" ht="12.75" hidden="1">
      <c r="A243" s="2" t="e">
        <f>#REF!+#REF!</f>
        <v>#REF!</v>
      </c>
      <c r="C243" s="10"/>
      <c r="D243" s="10"/>
      <c r="E243" s="10"/>
      <c r="F243" s="10"/>
      <c r="G243" s="10"/>
      <c r="H243" s="10"/>
      <c r="I243" s="6"/>
      <c r="J243" s="3" t="e">
        <f>J237+J239+J241</f>
        <v>#REF!</v>
      </c>
      <c r="K243" s="5"/>
      <c r="L243" s="5"/>
    </row>
    <row r="244" spans="1:12" ht="12.75" hidden="1">
      <c r="A244" s="2" t="e">
        <f>J217+#REF!</f>
        <v>#REF!</v>
      </c>
      <c r="C244" s="9"/>
      <c r="D244" s="9"/>
      <c r="E244" s="9"/>
      <c r="F244" s="9"/>
      <c r="G244" s="9"/>
      <c r="H244" s="9"/>
      <c r="I244" s="6"/>
      <c r="J244" s="3">
        <f>J27+J43+J61+J78+J96+J112+J129+J147+J164+J181+J198+J214-J211-J195-J178-J161-J142-J127-J109-J93-J75-J40-J57</f>
        <v>1084136.2</v>
      </c>
      <c r="K244" s="5"/>
      <c r="L244" s="5"/>
    </row>
    <row r="245" spans="1:12" ht="12.75" hidden="1">
      <c r="A245" s="2" t="e">
        <f>J231+#REF!</f>
        <v>#REF!</v>
      </c>
      <c r="C245" s="9"/>
      <c r="D245" s="9"/>
      <c r="E245" s="9"/>
      <c r="F245" s="9"/>
      <c r="G245" s="9"/>
      <c r="H245" s="9"/>
      <c r="I245" s="6"/>
      <c r="J245" s="3">
        <f>J244-J235</f>
        <v>10949.699999999953</v>
      </c>
      <c r="K245" s="5"/>
      <c r="L245" s="5"/>
    </row>
    <row r="246" spans="3:12" ht="12.75" hidden="1">
      <c r="C246" s="9"/>
      <c r="D246" s="9"/>
      <c r="E246" s="9"/>
      <c r="F246" s="9"/>
      <c r="G246" s="9"/>
      <c r="H246" s="9"/>
      <c r="I246" s="6"/>
      <c r="J246" s="3"/>
      <c r="K246" s="5"/>
      <c r="L246" s="5"/>
    </row>
    <row r="247" spans="3:12" ht="12.75" hidden="1">
      <c r="C247" s="8"/>
      <c r="D247" s="8"/>
      <c r="E247" s="8"/>
      <c r="F247" s="8"/>
      <c r="G247" s="8"/>
      <c r="H247" s="8"/>
      <c r="I247" s="5"/>
      <c r="J247" s="4"/>
      <c r="K247" s="5"/>
      <c r="L247" s="5"/>
    </row>
    <row r="248" spans="3:12" ht="12.75">
      <c r="C248" s="8"/>
      <c r="D248" s="8"/>
      <c r="E248" s="8"/>
      <c r="F248" s="50"/>
      <c r="G248" s="50"/>
      <c r="H248" s="50"/>
      <c r="I248" s="50"/>
      <c r="J248" s="50"/>
      <c r="K248" s="50"/>
      <c r="L248" s="5"/>
    </row>
    <row r="249" spans="3:12" ht="12.75">
      <c r="C249" s="8"/>
      <c r="D249" s="8"/>
      <c r="E249" s="8"/>
      <c r="F249" s="8"/>
      <c r="G249" s="8"/>
      <c r="H249" s="8"/>
      <c r="I249" s="5"/>
      <c r="J249" s="4"/>
      <c r="K249" s="5"/>
      <c r="L249" s="5"/>
    </row>
    <row r="250" spans="3:12" ht="12.75">
      <c r="C250" s="8"/>
      <c r="D250" s="50"/>
      <c r="E250" s="50"/>
      <c r="F250" s="8"/>
      <c r="G250" s="50"/>
      <c r="H250" s="50"/>
      <c r="I250" s="50"/>
      <c r="J250" s="50"/>
      <c r="K250" s="50"/>
      <c r="L250" s="5"/>
    </row>
    <row r="251" spans="4:12" ht="12.75">
      <c r="D251" s="2"/>
      <c r="E251" s="2"/>
      <c r="F251" s="2"/>
      <c r="G251" s="2"/>
      <c r="H251" s="2"/>
      <c r="I251" s="2"/>
      <c r="J251" s="2"/>
      <c r="K251" s="2"/>
      <c r="L251" s="5"/>
    </row>
    <row r="252" spans="9:12" ht="12.75">
      <c r="I252" s="5"/>
      <c r="J252" s="4"/>
      <c r="K252" s="5"/>
      <c r="L252" s="5"/>
    </row>
    <row r="253" spans="9:12" ht="12.75">
      <c r="I253" s="5"/>
      <c r="J253" s="4"/>
      <c r="K253" s="5"/>
      <c r="L253" s="5"/>
    </row>
    <row r="254" spans="3:12" ht="12.75">
      <c r="C254" s="8"/>
      <c r="D254" s="8"/>
      <c r="E254" s="8"/>
      <c r="F254" s="8"/>
      <c r="G254" s="8"/>
      <c r="H254" s="8"/>
      <c r="I254" s="5"/>
      <c r="J254" s="4"/>
      <c r="K254" s="5"/>
      <c r="L254" s="5"/>
    </row>
    <row r="255" spans="3:12" ht="12.75">
      <c r="C255" s="8"/>
      <c r="D255" s="8"/>
      <c r="E255" s="8"/>
      <c r="F255" s="8"/>
      <c r="G255" s="8"/>
      <c r="H255" s="8"/>
      <c r="I255" s="5"/>
      <c r="J255" s="4"/>
      <c r="K255" s="5"/>
      <c r="L255" s="5"/>
    </row>
    <row r="256" spans="3:12" ht="12.75">
      <c r="C256" s="8"/>
      <c r="D256" s="8"/>
      <c r="E256" s="8"/>
      <c r="F256" s="8"/>
      <c r="G256" s="8"/>
      <c r="H256" s="8"/>
      <c r="I256" s="5"/>
      <c r="J256" s="4"/>
      <c r="K256" s="5"/>
      <c r="L256" s="5"/>
    </row>
    <row r="257" spans="3:12" ht="12.75">
      <c r="C257" s="8"/>
      <c r="D257" s="8"/>
      <c r="E257" s="8"/>
      <c r="F257" s="8"/>
      <c r="G257" s="8"/>
      <c r="H257" s="8"/>
      <c r="I257" s="5"/>
      <c r="J257" s="4"/>
      <c r="K257" s="5"/>
      <c r="L257" s="5"/>
    </row>
    <row r="258" spans="3:12" ht="12.75">
      <c r="C258" s="8"/>
      <c r="D258" s="8"/>
      <c r="E258" s="8"/>
      <c r="F258" s="8"/>
      <c r="G258" s="8"/>
      <c r="H258" s="8"/>
      <c r="I258" s="4"/>
      <c r="J258" s="4"/>
      <c r="K258" s="4"/>
      <c r="L258" s="5"/>
    </row>
    <row r="259" spans="3:12" ht="12.75">
      <c r="C259" s="8"/>
      <c r="D259" s="8"/>
      <c r="E259" s="8"/>
      <c r="F259" s="8"/>
      <c r="G259" s="8"/>
      <c r="H259" s="8"/>
      <c r="I259" s="5"/>
      <c r="J259" s="5"/>
      <c r="K259" s="5"/>
      <c r="L259" s="5"/>
    </row>
    <row r="260" spans="3:12" ht="12.75">
      <c r="C260" s="8"/>
      <c r="D260" s="8"/>
      <c r="E260" s="8"/>
      <c r="F260" s="8"/>
      <c r="G260" s="8"/>
      <c r="H260" s="8"/>
      <c r="I260" s="7"/>
      <c r="J260" s="4"/>
      <c r="K260" s="5"/>
      <c r="L260" s="5"/>
    </row>
  </sheetData>
  <sheetProtection password="CF7A" sheet="1"/>
  <mergeCells count="43">
    <mergeCell ref="A2:M2"/>
    <mergeCell ref="A97:M97"/>
    <mergeCell ref="A113:M113"/>
    <mergeCell ref="C44:M44"/>
    <mergeCell ref="A28:M28"/>
    <mergeCell ref="A7:S7"/>
    <mergeCell ref="A62:M62"/>
    <mergeCell ref="A1:S1"/>
    <mergeCell ref="A216:S216"/>
    <mergeCell ref="A200:S200"/>
    <mergeCell ref="A183:S183"/>
    <mergeCell ref="A166:S166"/>
    <mergeCell ref="A149:S149"/>
    <mergeCell ref="A131:S131"/>
    <mergeCell ref="S4:S6"/>
    <mergeCell ref="F4:F6"/>
    <mergeCell ref="P4:P6"/>
    <mergeCell ref="A215:M215"/>
    <mergeCell ref="A199:M199"/>
    <mergeCell ref="A165:M165"/>
    <mergeCell ref="K4:K6"/>
    <mergeCell ref="H4:H6"/>
    <mergeCell ref="L4:L6"/>
    <mergeCell ref="M4:M6"/>
    <mergeCell ref="A98:S98"/>
    <mergeCell ref="A80:S80"/>
    <mergeCell ref="E4:E6"/>
    <mergeCell ref="N4:N6"/>
    <mergeCell ref="O4:O6"/>
    <mergeCell ref="R4:R6"/>
    <mergeCell ref="Q4:Q6"/>
    <mergeCell ref="A130:M130"/>
    <mergeCell ref="I4:I6"/>
    <mergeCell ref="A45:S45"/>
    <mergeCell ref="A29:S29"/>
    <mergeCell ref="D4:D6"/>
    <mergeCell ref="J4:J6"/>
    <mergeCell ref="G4:G6"/>
    <mergeCell ref="A182:M182"/>
    <mergeCell ref="A148:M148"/>
    <mergeCell ref="A63:S63"/>
    <mergeCell ref="A114:S114"/>
    <mergeCell ref="A79:M79"/>
  </mergeCells>
  <printOptions/>
  <pageMargins left="0" right="0" top="0.15748031496062992" bottom="0.15748031496062992" header="0.15748031496062992" footer="0.196850393700787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2"/>
  <sheetViews>
    <sheetView tabSelected="1" zoomScalePageLayoutView="0" workbookViewId="0" topLeftCell="A1">
      <selection activeCell="R128" sqref="R128"/>
    </sheetView>
  </sheetViews>
  <sheetFormatPr defaultColWidth="9.00390625" defaultRowHeight="12.75"/>
  <cols>
    <col min="2" max="2" width="39.875" style="0" customWidth="1"/>
    <col min="3" max="3" width="17.25390625" style="0" customWidth="1"/>
    <col min="4" max="4" width="18.125" style="0" customWidth="1"/>
    <col min="6" max="6" width="15.875" style="0" customWidth="1"/>
    <col min="7" max="7" width="16.75390625" style="0" customWidth="1"/>
    <col min="9" max="9" width="17.875" style="0" customWidth="1"/>
    <col min="10" max="10" width="17.375" style="0" customWidth="1"/>
  </cols>
  <sheetData>
    <row r="1" spans="1:11" ht="15.75">
      <c r="A1" s="105" t="s">
        <v>90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13.5" thickBot="1">
      <c r="A2" s="106"/>
      <c r="B2" s="107"/>
      <c r="C2" s="108"/>
      <c r="D2" s="109"/>
      <c r="E2" s="110"/>
      <c r="F2" s="111"/>
      <c r="G2" s="111"/>
      <c r="H2" s="112"/>
      <c r="I2" s="113"/>
      <c r="J2" s="114"/>
      <c r="K2" s="115"/>
    </row>
    <row r="3" spans="1:11" ht="15">
      <c r="A3" s="116" t="s">
        <v>91</v>
      </c>
      <c r="B3" s="117" t="s">
        <v>92</v>
      </c>
      <c r="C3" s="118" t="s">
        <v>93</v>
      </c>
      <c r="D3" s="118"/>
      <c r="E3" s="118"/>
      <c r="F3" s="119" t="s">
        <v>94</v>
      </c>
      <c r="G3" s="119"/>
      <c r="H3" s="119"/>
      <c r="I3" s="120" t="s">
        <v>95</v>
      </c>
      <c r="J3" s="120"/>
      <c r="K3" s="121"/>
    </row>
    <row r="4" spans="1:11" ht="12.75">
      <c r="A4" s="122"/>
      <c r="B4" s="123"/>
      <c r="C4" s="124" t="s">
        <v>96</v>
      </c>
      <c r="D4" s="124" t="s">
        <v>97</v>
      </c>
      <c r="E4" s="125" t="s">
        <v>98</v>
      </c>
      <c r="F4" s="124" t="s">
        <v>96</v>
      </c>
      <c r="G4" s="124" t="s">
        <v>97</v>
      </c>
      <c r="H4" s="126" t="s">
        <v>98</v>
      </c>
      <c r="I4" s="127" t="s">
        <v>96</v>
      </c>
      <c r="J4" s="128" t="s">
        <v>99</v>
      </c>
      <c r="K4" s="129" t="s">
        <v>98</v>
      </c>
    </row>
    <row r="5" spans="1:11" ht="12.75">
      <c r="A5" s="122"/>
      <c r="B5" s="123"/>
      <c r="C5" s="130"/>
      <c r="D5" s="124"/>
      <c r="E5" s="131"/>
      <c r="F5" s="130"/>
      <c r="G5" s="124"/>
      <c r="H5" s="132"/>
      <c r="I5" s="133"/>
      <c r="J5" s="128"/>
      <c r="K5" s="134"/>
    </row>
    <row r="6" spans="1:11" ht="12.75">
      <c r="A6" s="122"/>
      <c r="B6" s="135" t="s">
        <v>100</v>
      </c>
      <c r="C6" s="135"/>
      <c r="D6" s="135"/>
      <c r="E6" s="135"/>
      <c r="F6" s="135"/>
      <c r="G6" s="135"/>
      <c r="H6" s="135"/>
      <c r="I6" s="135"/>
      <c r="J6" s="135"/>
      <c r="K6" s="136"/>
    </row>
    <row r="7" spans="1:11" ht="12.75">
      <c r="A7" s="122"/>
      <c r="B7" s="135"/>
      <c r="C7" s="135"/>
      <c r="D7" s="135"/>
      <c r="E7" s="135"/>
      <c r="F7" s="135"/>
      <c r="G7" s="135"/>
      <c r="H7" s="135"/>
      <c r="I7" s="135"/>
      <c r="J7" s="135"/>
      <c r="K7" s="136"/>
    </row>
    <row r="8" spans="1:11" ht="12.75">
      <c r="A8" s="122"/>
      <c r="B8" s="135"/>
      <c r="C8" s="135"/>
      <c r="D8" s="135"/>
      <c r="E8" s="135"/>
      <c r="F8" s="135"/>
      <c r="G8" s="135"/>
      <c r="H8" s="135"/>
      <c r="I8" s="135"/>
      <c r="J8" s="135"/>
      <c r="K8" s="136"/>
    </row>
    <row r="9" spans="1:11" ht="44.25" customHeight="1">
      <c r="A9" s="137" t="s">
        <v>101</v>
      </c>
      <c r="B9" s="138" t="s">
        <v>102</v>
      </c>
      <c r="C9" s="139">
        <f>SUM(C10:C17)</f>
        <v>495115.5</v>
      </c>
      <c r="D9" s="139">
        <f>SUM(D10:D17)</f>
        <v>152302.3</v>
      </c>
      <c r="E9" s="139">
        <f>D9/C9*100</f>
        <v>30.76096385590837</v>
      </c>
      <c r="F9" s="139">
        <f>F10+F11+F12+F13+F14+F16+F17+F15</f>
        <v>212863.2</v>
      </c>
      <c r="G9" s="139">
        <f>SUM(G10:G17)</f>
        <v>78240.20000000001</v>
      </c>
      <c r="H9" s="140">
        <f>G9/F9*100</f>
        <v>36.75609499434379</v>
      </c>
      <c r="I9" s="139">
        <f>SUM(I10:I17)</f>
        <v>691741.8</v>
      </c>
      <c r="J9" s="139">
        <f>SUM(J10:J17)</f>
        <v>228917.6</v>
      </c>
      <c r="K9" s="141">
        <f>J9/I9*100</f>
        <v>33.09292571303339</v>
      </c>
    </row>
    <row r="10" spans="1:11" ht="33.75" customHeight="1">
      <c r="A10" s="142" t="s">
        <v>103</v>
      </c>
      <c r="B10" s="143" t="s">
        <v>104</v>
      </c>
      <c r="C10" s="144">
        <v>4678.7</v>
      </c>
      <c r="D10" s="144">
        <v>1514.1</v>
      </c>
      <c r="E10" s="145">
        <f>D10/C10*100</f>
        <v>32.36155342295937</v>
      </c>
      <c r="F10" s="146">
        <v>45472.1</v>
      </c>
      <c r="G10" s="146">
        <v>18166.3</v>
      </c>
      <c r="H10" s="147">
        <f>G10/F10*100</f>
        <v>39.95043114349238</v>
      </c>
      <c r="I10" s="148">
        <f>C10+F10</f>
        <v>50150.799999999996</v>
      </c>
      <c r="J10" s="149">
        <f>D10+G10</f>
        <v>19680.399999999998</v>
      </c>
      <c r="K10" s="150">
        <f aca="true" t="shared" si="0" ref="K10:K103">J10/I10*100</f>
        <v>39.24244478652385</v>
      </c>
    </row>
    <row r="11" spans="1:11" ht="37.5" customHeight="1">
      <c r="A11" s="142" t="s">
        <v>105</v>
      </c>
      <c r="B11" s="143" t="s">
        <v>106</v>
      </c>
      <c r="C11" s="144">
        <v>8538.4</v>
      </c>
      <c r="D11" s="144">
        <v>3477.7</v>
      </c>
      <c r="E11" s="145">
        <f aca="true" t="shared" si="1" ref="E11:E19">D11/C11*100</f>
        <v>40.73011337018645</v>
      </c>
      <c r="F11" s="146">
        <v>0</v>
      </c>
      <c r="G11" s="146"/>
      <c r="H11" s="147">
        <v>0</v>
      </c>
      <c r="I11" s="148">
        <f>C11+F11</f>
        <v>8538.4</v>
      </c>
      <c r="J11" s="149">
        <f>D11+G11</f>
        <v>3477.7</v>
      </c>
      <c r="K11" s="150">
        <f t="shared" si="0"/>
        <v>40.73011337018645</v>
      </c>
    </row>
    <row r="12" spans="1:11" ht="31.5" customHeight="1">
      <c r="A12" s="142" t="s">
        <v>107</v>
      </c>
      <c r="B12" s="143" t="s">
        <v>108</v>
      </c>
      <c r="C12" s="144">
        <v>174585.6</v>
      </c>
      <c r="D12" s="144">
        <v>61108.7</v>
      </c>
      <c r="E12" s="145">
        <f t="shared" si="1"/>
        <v>35.002142215623735</v>
      </c>
      <c r="F12" s="146">
        <v>127877.1</v>
      </c>
      <c r="G12" s="146">
        <v>50095.3</v>
      </c>
      <c r="H12" s="147">
        <f>G12/F12*100</f>
        <v>39.174566830183046</v>
      </c>
      <c r="I12" s="151">
        <f>C12+F12-6300</f>
        <v>296162.7</v>
      </c>
      <c r="J12" s="151">
        <f>D12+G12-1575</f>
        <v>109629</v>
      </c>
      <c r="K12" s="150">
        <f t="shared" si="0"/>
        <v>37.01647776711922</v>
      </c>
    </row>
    <row r="13" spans="1:11" ht="24.75" customHeight="1">
      <c r="A13" s="142" t="s">
        <v>109</v>
      </c>
      <c r="B13" s="143" t="s">
        <v>110</v>
      </c>
      <c r="C13" s="144">
        <v>13.1</v>
      </c>
      <c r="D13" s="144"/>
      <c r="E13" s="145">
        <f t="shared" si="1"/>
        <v>0</v>
      </c>
      <c r="F13" s="146">
        <v>0</v>
      </c>
      <c r="G13" s="146"/>
      <c r="H13" s="147">
        <v>0</v>
      </c>
      <c r="I13" s="148">
        <f aca="true" t="shared" si="2" ref="I13:J16">C13+F13</f>
        <v>13.1</v>
      </c>
      <c r="J13" s="149">
        <f t="shared" si="2"/>
        <v>0</v>
      </c>
      <c r="K13" s="150">
        <f t="shared" si="0"/>
        <v>0</v>
      </c>
    </row>
    <row r="14" spans="1:11" ht="33" customHeight="1">
      <c r="A14" s="142" t="s">
        <v>111</v>
      </c>
      <c r="B14" s="143" t="s">
        <v>112</v>
      </c>
      <c r="C14" s="144">
        <v>34572</v>
      </c>
      <c r="D14" s="144">
        <v>12558.3</v>
      </c>
      <c r="E14" s="145">
        <f t="shared" si="1"/>
        <v>36.32506074279764</v>
      </c>
      <c r="F14" s="146">
        <v>0</v>
      </c>
      <c r="G14" s="146"/>
      <c r="H14" s="147">
        <v>0</v>
      </c>
      <c r="I14" s="148">
        <f t="shared" si="2"/>
        <v>34572</v>
      </c>
      <c r="J14" s="152">
        <f t="shared" si="2"/>
        <v>12558.3</v>
      </c>
      <c r="K14" s="150">
        <f t="shared" si="0"/>
        <v>36.32506074279764</v>
      </c>
    </row>
    <row r="15" spans="1:11" ht="36.75" customHeight="1">
      <c r="A15" s="142" t="s">
        <v>113</v>
      </c>
      <c r="B15" s="143" t="s">
        <v>114</v>
      </c>
      <c r="C15" s="144"/>
      <c r="D15" s="144"/>
      <c r="E15" s="145"/>
      <c r="F15" s="146">
        <v>1362.3</v>
      </c>
      <c r="G15" s="146"/>
      <c r="H15" s="147">
        <f>G15/F15*100</f>
        <v>0</v>
      </c>
      <c r="I15" s="148">
        <f t="shared" si="2"/>
        <v>1362.3</v>
      </c>
      <c r="J15" s="149">
        <f t="shared" si="2"/>
        <v>0</v>
      </c>
      <c r="K15" s="150">
        <f t="shared" si="0"/>
        <v>0</v>
      </c>
    </row>
    <row r="16" spans="1:11" ht="21" customHeight="1">
      <c r="A16" s="153" t="s">
        <v>115</v>
      </c>
      <c r="B16" s="143" t="s">
        <v>116</v>
      </c>
      <c r="C16" s="144">
        <v>23326.3</v>
      </c>
      <c r="D16" s="144">
        <v>0</v>
      </c>
      <c r="E16" s="145">
        <f t="shared" si="1"/>
        <v>0</v>
      </c>
      <c r="F16" s="146">
        <v>438.7</v>
      </c>
      <c r="G16" s="146"/>
      <c r="H16" s="147">
        <f>G16/F16*100</f>
        <v>0</v>
      </c>
      <c r="I16" s="148">
        <f t="shared" si="2"/>
        <v>23765</v>
      </c>
      <c r="J16" s="149">
        <f t="shared" si="2"/>
        <v>0</v>
      </c>
      <c r="K16" s="150">
        <f t="shared" si="0"/>
        <v>0</v>
      </c>
    </row>
    <row r="17" spans="1:11" ht="34.5" customHeight="1">
      <c r="A17" s="142" t="s">
        <v>117</v>
      </c>
      <c r="B17" s="143" t="s">
        <v>118</v>
      </c>
      <c r="C17" s="144">
        <v>249401.4</v>
      </c>
      <c r="D17" s="144">
        <v>73643.5</v>
      </c>
      <c r="E17" s="145">
        <f t="shared" si="1"/>
        <v>29.52810208763864</v>
      </c>
      <c r="F17" s="146">
        <v>37713</v>
      </c>
      <c r="G17" s="146">
        <v>9978.6</v>
      </c>
      <c r="H17" s="147">
        <f>G17/F17*100</f>
        <v>26.459311112878847</v>
      </c>
      <c r="I17" s="154">
        <f>C17+F17-9936.9</f>
        <v>277177.5</v>
      </c>
      <c r="J17" s="151">
        <f>D17+G17-49.9</f>
        <v>83572.20000000001</v>
      </c>
      <c r="K17" s="150">
        <f t="shared" si="0"/>
        <v>30.151148632194175</v>
      </c>
    </row>
    <row r="18" spans="1:11" ht="24" customHeight="1">
      <c r="A18" s="137" t="s">
        <v>119</v>
      </c>
      <c r="B18" s="138" t="s">
        <v>120</v>
      </c>
      <c r="C18" s="139">
        <f aca="true" t="shared" si="3" ref="C18:J18">C19</f>
        <v>3723</v>
      </c>
      <c r="D18" s="139">
        <f t="shared" si="3"/>
        <v>1139.6</v>
      </c>
      <c r="E18" s="139">
        <f t="shared" si="3"/>
        <v>30.609723341391348</v>
      </c>
      <c r="F18" s="139">
        <f t="shared" si="3"/>
        <v>3723</v>
      </c>
      <c r="G18" s="139">
        <f t="shared" si="3"/>
        <v>1139.6</v>
      </c>
      <c r="H18" s="155">
        <f t="shared" si="3"/>
        <v>30.609723341391348</v>
      </c>
      <c r="I18" s="139">
        <f>I19</f>
        <v>3723</v>
      </c>
      <c r="J18" s="139">
        <f t="shared" si="3"/>
        <v>1139.6</v>
      </c>
      <c r="K18" s="156">
        <f t="shared" si="0"/>
        <v>30.609723341391348</v>
      </c>
    </row>
    <row r="19" spans="1:11" ht="29.25" customHeight="1">
      <c r="A19" s="142" t="s">
        <v>121</v>
      </c>
      <c r="B19" s="143" t="s">
        <v>122</v>
      </c>
      <c r="C19" s="144">
        <v>3723</v>
      </c>
      <c r="D19" s="144">
        <v>1139.6</v>
      </c>
      <c r="E19" s="145">
        <f t="shared" si="1"/>
        <v>30.609723341391348</v>
      </c>
      <c r="F19" s="146">
        <v>3723</v>
      </c>
      <c r="G19" s="146">
        <v>1139.6</v>
      </c>
      <c r="H19" s="147">
        <f>G19/F19*100</f>
        <v>30.609723341391348</v>
      </c>
      <c r="I19" s="151">
        <f>C19+F19-3723</f>
        <v>3723</v>
      </c>
      <c r="J19" s="151">
        <f>D19+G19-1139.6</f>
        <v>1139.6</v>
      </c>
      <c r="K19" s="150">
        <f t="shared" si="0"/>
        <v>30.609723341391348</v>
      </c>
    </row>
    <row r="20" spans="1:11" ht="12.75">
      <c r="A20" s="157" t="s">
        <v>123</v>
      </c>
      <c r="B20" s="158" t="s">
        <v>124</v>
      </c>
      <c r="C20" s="159">
        <f>C23+C24+C22</f>
        <v>28975.6</v>
      </c>
      <c r="D20" s="159">
        <f>D23+D24+D22</f>
        <v>3977.1</v>
      </c>
      <c r="E20" s="159">
        <f>D20/C20*100</f>
        <v>13.725686439625065</v>
      </c>
      <c r="F20" s="159">
        <f>F23+F24+F22</f>
        <v>17163.100000000002</v>
      </c>
      <c r="G20" s="159">
        <f>G23+G24+G22</f>
        <v>2370.3</v>
      </c>
      <c r="H20" s="159">
        <f>G20/F20*100</f>
        <v>13.810442169538137</v>
      </c>
      <c r="I20" s="159">
        <f>I23+I24+I22</f>
        <v>32910.1</v>
      </c>
      <c r="J20" s="159">
        <f>SUM(J22:J24)</f>
        <v>4641.8</v>
      </c>
      <c r="K20" s="159">
        <f>J20/I20*100</f>
        <v>14.104484641493038</v>
      </c>
    </row>
    <row r="21" spans="1:11" ht="22.5" customHeight="1">
      <c r="A21" s="157"/>
      <c r="B21" s="158"/>
      <c r="C21" s="159"/>
      <c r="D21" s="159"/>
      <c r="E21" s="159"/>
      <c r="F21" s="159"/>
      <c r="G21" s="159"/>
      <c r="H21" s="159"/>
      <c r="I21" s="159"/>
      <c r="J21" s="159"/>
      <c r="K21" s="159"/>
    </row>
    <row r="22" spans="1:11" ht="15">
      <c r="A22" s="153" t="s">
        <v>125</v>
      </c>
      <c r="B22" s="143" t="s">
        <v>126</v>
      </c>
      <c r="C22" s="144">
        <v>4872.7</v>
      </c>
      <c r="D22" s="144">
        <v>1672.9</v>
      </c>
      <c r="E22" s="145">
        <f aca="true" t="shared" si="4" ref="E22:E114">D22/C22*100</f>
        <v>34.33209514232356</v>
      </c>
      <c r="F22" s="146">
        <v>915.9</v>
      </c>
      <c r="G22" s="146">
        <v>172.9</v>
      </c>
      <c r="H22" s="147">
        <f>G22/F22*100</f>
        <v>18.87760672562507</v>
      </c>
      <c r="I22" s="151">
        <f>C22+F22-915.9</f>
        <v>4872.7</v>
      </c>
      <c r="J22" s="151">
        <f>D22+G22-172.9</f>
        <v>1672.9</v>
      </c>
      <c r="K22" s="150">
        <f>J22/I22*100</f>
        <v>34.33209514232356</v>
      </c>
    </row>
    <row r="23" spans="1:11" ht="35.25" customHeight="1">
      <c r="A23" s="142" t="s">
        <v>127</v>
      </c>
      <c r="B23" s="143" t="s">
        <v>128</v>
      </c>
      <c r="C23" s="144">
        <v>22468.8</v>
      </c>
      <c r="D23" s="144">
        <v>2279.6</v>
      </c>
      <c r="E23" s="145">
        <f t="shared" si="4"/>
        <v>10.145624154382967</v>
      </c>
      <c r="F23" s="146">
        <v>15909.1</v>
      </c>
      <c r="G23" s="146">
        <v>2148.1</v>
      </c>
      <c r="H23" s="147">
        <f>G23/F23*100</f>
        <v>13.502335141522776</v>
      </c>
      <c r="I23" s="151">
        <f>C23+F23-12076.1</f>
        <v>26301.800000000003</v>
      </c>
      <c r="J23" s="151">
        <f>D23+G23-1508.1</f>
        <v>2919.6</v>
      </c>
      <c r="K23" s="150">
        <f>J23/I23*100</f>
        <v>11.100380962519674</v>
      </c>
    </row>
    <row r="24" spans="1:11" ht="50.25" customHeight="1">
      <c r="A24" s="153" t="s">
        <v>129</v>
      </c>
      <c r="B24" s="143" t="s">
        <v>130</v>
      </c>
      <c r="C24" s="144">
        <v>1634.1</v>
      </c>
      <c r="D24" s="144">
        <v>24.6</v>
      </c>
      <c r="E24" s="145">
        <f t="shared" si="4"/>
        <v>1.5054158252248946</v>
      </c>
      <c r="F24" s="146">
        <v>338.1</v>
      </c>
      <c r="G24" s="146">
        <v>49.3</v>
      </c>
      <c r="H24" s="147">
        <f>G24/F24*100</f>
        <v>14.581484767820168</v>
      </c>
      <c r="I24" s="151">
        <f>C24+F24-236.6</f>
        <v>1735.6</v>
      </c>
      <c r="J24" s="151">
        <f>D24+G24-24.6</f>
        <v>49.300000000000004</v>
      </c>
      <c r="K24" s="150">
        <f>J24/I24*100</f>
        <v>2.8405162479834067</v>
      </c>
    </row>
    <row r="25" spans="1:11" ht="17.25" customHeight="1">
      <c r="A25" s="137" t="s">
        <v>131</v>
      </c>
      <c r="B25" s="138" t="s">
        <v>132</v>
      </c>
      <c r="C25" s="139">
        <f>SUM(C26:C49)</f>
        <v>156934.5</v>
      </c>
      <c r="D25" s="139">
        <f>SUM(D26:D49)</f>
        <v>47127.9</v>
      </c>
      <c r="E25" s="139">
        <f>D25/C25*100</f>
        <v>30.030299264979977</v>
      </c>
      <c r="F25" s="139">
        <f>SUM(F26:F49)</f>
        <v>102269.30000000002</v>
      </c>
      <c r="G25" s="139">
        <f>SUM(G26:G49)</f>
        <v>23983.6</v>
      </c>
      <c r="H25" s="140">
        <f>G25/F25*100</f>
        <v>23.45141699415171</v>
      </c>
      <c r="I25" s="139">
        <f>SUM(I26:I49)</f>
        <v>228949.30000000002</v>
      </c>
      <c r="J25" s="139">
        <f>SUM(J26:J49)</f>
        <v>61992.49999999999</v>
      </c>
      <c r="K25" s="160">
        <f t="shared" si="0"/>
        <v>27.076955465686066</v>
      </c>
    </row>
    <row r="26" spans="1:11" ht="64.5" customHeight="1">
      <c r="A26" s="153" t="s">
        <v>133</v>
      </c>
      <c r="B26" s="161" t="s">
        <v>134</v>
      </c>
      <c r="C26" s="144">
        <v>14271.6</v>
      </c>
      <c r="D26" s="144">
        <v>8783.9</v>
      </c>
      <c r="E26" s="145">
        <f t="shared" si="4"/>
        <v>61.54810953221783</v>
      </c>
      <c r="F26" s="144">
        <v>8056.5</v>
      </c>
      <c r="G26" s="146">
        <v>4706.9</v>
      </c>
      <c r="H26" s="147">
        <f>G26/F26*100</f>
        <v>58.423633091292736</v>
      </c>
      <c r="I26" s="151">
        <f>C26+F26-8056.5</f>
        <v>14271.599999999999</v>
      </c>
      <c r="J26" s="151">
        <f>D26+G26-8022.2</f>
        <v>5468.599999999999</v>
      </c>
      <c r="K26" s="150">
        <f t="shared" si="0"/>
        <v>38.318058241542644</v>
      </c>
    </row>
    <row r="27" spans="1:11" ht="21.75" customHeight="1">
      <c r="A27" s="142" t="s">
        <v>135</v>
      </c>
      <c r="B27" s="143" t="s">
        <v>136</v>
      </c>
      <c r="C27" s="144">
        <v>42873.4</v>
      </c>
      <c r="D27" s="144">
        <v>24582.6</v>
      </c>
      <c r="E27" s="145">
        <f t="shared" si="4"/>
        <v>57.33764991813105</v>
      </c>
      <c r="F27" s="146">
        <v>111</v>
      </c>
      <c r="G27" s="146"/>
      <c r="H27" s="147">
        <v>0</v>
      </c>
      <c r="I27" s="162">
        <f>C27+F27-111</f>
        <v>42873.4</v>
      </c>
      <c r="J27" s="149">
        <f>D27+G27</f>
        <v>24582.6</v>
      </c>
      <c r="K27" s="150">
        <f t="shared" si="0"/>
        <v>57.33764991813105</v>
      </c>
    </row>
    <row r="28" spans="1:11" ht="28.5" customHeight="1">
      <c r="A28" s="142" t="s">
        <v>137</v>
      </c>
      <c r="B28" s="143" t="s">
        <v>138</v>
      </c>
      <c r="C28" s="144">
        <v>7000</v>
      </c>
      <c r="D28" s="144"/>
      <c r="E28" s="145">
        <f t="shared" si="4"/>
        <v>0</v>
      </c>
      <c r="F28" s="146">
        <v>0</v>
      </c>
      <c r="G28" s="146"/>
      <c r="H28" s="147">
        <v>0</v>
      </c>
      <c r="I28" s="148">
        <f>C28+F28</f>
        <v>7000</v>
      </c>
      <c r="J28" s="149">
        <f>D28+G28</f>
        <v>0</v>
      </c>
      <c r="K28" s="150">
        <f t="shared" si="0"/>
        <v>0</v>
      </c>
    </row>
    <row r="29" spans="1:11" ht="46.5" customHeight="1">
      <c r="A29" s="142" t="s">
        <v>137</v>
      </c>
      <c r="B29" s="143" t="s">
        <v>139</v>
      </c>
      <c r="C29" s="144">
        <v>18607</v>
      </c>
      <c r="D29" s="144">
        <v>9989.4</v>
      </c>
      <c r="E29" s="145">
        <f t="shared" si="4"/>
        <v>53.6862471113022</v>
      </c>
      <c r="F29" s="146">
        <v>14993</v>
      </c>
      <c r="G29" s="146">
        <v>3880.9</v>
      </c>
      <c r="H29" s="147">
        <f>G29/F29*100</f>
        <v>25.88474621490029</v>
      </c>
      <c r="I29" s="151">
        <f>C29+F29-2107</f>
        <v>31493</v>
      </c>
      <c r="J29" s="151">
        <f>D29+G29-526.8</f>
        <v>13343.5</v>
      </c>
      <c r="K29" s="150">
        <f t="shared" si="0"/>
        <v>42.36973295653002</v>
      </c>
    </row>
    <row r="30" spans="1:11" ht="26.25" customHeight="1">
      <c r="A30" s="142" t="s">
        <v>137</v>
      </c>
      <c r="B30" s="143" t="s">
        <v>140</v>
      </c>
      <c r="C30" s="144">
        <v>21500</v>
      </c>
      <c r="D30" s="144"/>
      <c r="E30" s="145">
        <f t="shared" si="4"/>
        <v>0</v>
      </c>
      <c r="F30" s="146">
        <v>0</v>
      </c>
      <c r="G30" s="146"/>
      <c r="H30" s="147">
        <v>0</v>
      </c>
      <c r="I30" s="148">
        <f aca="true" t="shared" si="5" ref="I30:J32">C30+F30</f>
        <v>21500</v>
      </c>
      <c r="J30" s="149">
        <f t="shared" si="5"/>
        <v>0</v>
      </c>
      <c r="K30" s="150">
        <f t="shared" si="0"/>
        <v>0</v>
      </c>
    </row>
    <row r="31" spans="1:11" ht="60" customHeight="1">
      <c r="A31" s="142" t="s">
        <v>141</v>
      </c>
      <c r="B31" s="163" t="s">
        <v>142</v>
      </c>
      <c r="C31" s="144"/>
      <c r="D31" s="144"/>
      <c r="E31" s="145" t="e">
        <f t="shared" si="4"/>
        <v>#DIV/0!</v>
      </c>
      <c r="F31" s="146"/>
      <c r="G31" s="146"/>
      <c r="H31" s="147" t="e">
        <f aca="true" t="shared" si="6" ref="H31:H41">G31/F31*100</f>
        <v>#DIV/0!</v>
      </c>
      <c r="I31" s="148">
        <f t="shared" si="5"/>
        <v>0</v>
      </c>
      <c r="J31" s="149">
        <f t="shared" si="5"/>
        <v>0</v>
      </c>
      <c r="K31" s="150" t="e">
        <f t="shared" si="0"/>
        <v>#DIV/0!</v>
      </c>
    </row>
    <row r="32" spans="1:11" ht="71.25" customHeight="1">
      <c r="A32" s="153" t="s">
        <v>141</v>
      </c>
      <c r="B32" s="163" t="s">
        <v>143</v>
      </c>
      <c r="C32" s="144"/>
      <c r="D32" s="144"/>
      <c r="E32" s="145" t="e">
        <f t="shared" si="4"/>
        <v>#DIV/0!</v>
      </c>
      <c r="F32" s="146"/>
      <c r="G32" s="146"/>
      <c r="H32" s="147" t="e">
        <f t="shared" si="6"/>
        <v>#DIV/0!</v>
      </c>
      <c r="I32" s="151">
        <f t="shared" si="5"/>
        <v>0</v>
      </c>
      <c r="J32" s="151">
        <f t="shared" si="5"/>
        <v>0</v>
      </c>
      <c r="K32" s="150" t="e">
        <f t="shared" si="0"/>
        <v>#DIV/0!</v>
      </c>
    </row>
    <row r="33" spans="1:11" ht="56.25" customHeight="1">
      <c r="A33" s="153" t="s">
        <v>141</v>
      </c>
      <c r="B33" s="143" t="s">
        <v>144</v>
      </c>
      <c r="C33" s="144">
        <v>15718.5</v>
      </c>
      <c r="D33" s="144">
        <v>692</v>
      </c>
      <c r="E33" s="145">
        <f t="shared" si="4"/>
        <v>4.402455705060915</v>
      </c>
      <c r="F33" s="146">
        <v>15245</v>
      </c>
      <c r="G33" s="146">
        <v>498</v>
      </c>
      <c r="H33" s="147">
        <f t="shared" si="6"/>
        <v>3.2666448015742864</v>
      </c>
      <c r="I33" s="151">
        <f>C33+F33-15245</f>
        <v>15718.5</v>
      </c>
      <c r="J33" s="151">
        <f>D33+G33-498</f>
        <v>692</v>
      </c>
      <c r="K33" s="150">
        <f t="shared" si="0"/>
        <v>4.402455705060915</v>
      </c>
    </row>
    <row r="34" spans="1:11" ht="81" customHeight="1">
      <c r="A34" s="153" t="s">
        <v>141</v>
      </c>
      <c r="B34" s="143" t="s">
        <v>145</v>
      </c>
      <c r="C34" s="144">
        <v>210</v>
      </c>
      <c r="D34" s="144">
        <v>40</v>
      </c>
      <c r="E34" s="145">
        <f t="shared" si="4"/>
        <v>19.047619047619047</v>
      </c>
      <c r="F34" s="146"/>
      <c r="G34" s="146"/>
      <c r="H34" s="147" t="e">
        <f t="shared" si="6"/>
        <v>#DIV/0!</v>
      </c>
      <c r="I34" s="151">
        <f>C34+F34</f>
        <v>210</v>
      </c>
      <c r="J34" s="151">
        <f>D34+G34</f>
        <v>40</v>
      </c>
      <c r="K34" s="150">
        <f t="shared" si="0"/>
        <v>19.047619047619047</v>
      </c>
    </row>
    <row r="35" spans="1:11" ht="48.75" customHeight="1">
      <c r="A35" s="153" t="s">
        <v>141</v>
      </c>
      <c r="B35" s="143" t="s">
        <v>146</v>
      </c>
      <c r="C35" s="144"/>
      <c r="D35" s="144"/>
      <c r="E35" s="145" t="e">
        <f t="shared" si="4"/>
        <v>#DIV/0!</v>
      </c>
      <c r="F35" s="146">
        <v>4754.9</v>
      </c>
      <c r="G35" s="146">
        <v>1441.7</v>
      </c>
      <c r="H35" s="147">
        <f t="shared" si="6"/>
        <v>30.320301163010793</v>
      </c>
      <c r="I35" s="149">
        <f>C35+F35</f>
        <v>4754.9</v>
      </c>
      <c r="J35" s="149">
        <f>D35+G35</f>
        <v>1441.7</v>
      </c>
      <c r="K35" s="150">
        <f t="shared" si="0"/>
        <v>30.320301163010793</v>
      </c>
    </row>
    <row r="36" spans="1:11" ht="101.25" customHeight="1">
      <c r="A36" s="153" t="s">
        <v>141</v>
      </c>
      <c r="B36" s="143" t="s">
        <v>147</v>
      </c>
      <c r="C36" s="144">
        <v>3500</v>
      </c>
      <c r="D36" s="144"/>
      <c r="E36" s="145">
        <f t="shared" si="4"/>
        <v>0</v>
      </c>
      <c r="F36" s="146">
        <v>3500</v>
      </c>
      <c r="G36" s="146"/>
      <c r="H36" s="147">
        <f t="shared" si="6"/>
        <v>0</v>
      </c>
      <c r="I36" s="151">
        <f>C36+F36-3500</f>
        <v>3500</v>
      </c>
      <c r="J36" s="151">
        <f>D36+G36</f>
        <v>0</v>
      </c>
      <c r="K36" s="150">
        <f t="shared" si="0"/>
        <v>0</v>
      </c>
    </row>
    <row r="37" spans="1:11" ht="54.75" customHeight="1">
      <c r="A37" s="153" t="s">
        <v>141</v>
      </c>
      <c r="B37" s="143" t="s">
        <v>148</v>
      </c>
      <c r="C37" s="144">
        <v>0</v>
      </c>
      <c r="D37" s="144"/>
      <c r="E37" s="145" t="e">
        <f>D37/C37*100</f>
        <v>#DIV/0!</v>
      </c>
      <c r="F37" s="146"/>
      <c r="G37" s="146"/>
      <c r="H37" s="147" t="e">
        <f t="shared" si="6"/>
        <v>#DIV/0!</v>
      </c>
      <c r="I37" s="148">
        <f>C37+F37</f>
        <v>0</v>
      </c>
      <c r="J37" s="149">
        <f>D37+G37</f>
        <v>0</v>
      </c>
      <c r="K37" s="150" t="e">
        <f t="shared" si="0"/>
        <v>#DIV/0!</v>
      </c>
    </row>
    <row r="38" spans="1:11" ht="38.25" customHeight="1">
      <c r="A38" s="153" t="s">
        <v>141</v>
      </c>
      <c r="B38" s="143" t="s">
        <v>149</v>
      </c>
      <c r="C38" s="144"/>
      <c r="D38" s="144"/>
      <c r="E38" s="144" t="e">
        <f t="shared" si="4"/>
        <v>#DIV/0!</v>
      </c>
      <c r="F38" s="146">
        <v>8858.7</v>
      </c>
      <c r="G38" s="146">
        <v>1920</v>
      </c>
      <c r="H38" s="147">
        <f t="shared" si="6"/>
        <v>21.67360899454773</v>
      </c>
      <c r="I38" s="148">
        <f>C38+F38</f>
        <v>8858.7</v>
      </c>
      <c r="J38" s="149">
        <f>D38+G38</f>
        <v>1920</v>
      </c>
      <c r="K38" s="150">
        <f t="shared" si="0"/>
        <v>21.67360899454773</v>
      </c>
    </row>
    <row r="39" spans="1:11" ht="48.75" customHeight="1">
      <c r="A39" s="153" t="s">
        <v>141</v>
      </c>
      <c r="B39" s="143" t="s">
        <v>150</v>
      </c>
      <c r="C39" s="144"/>
      <c r="D39" s="144"/>
      <c r="E39" s="145"/>
      <c r="F39" s="146">
        <v>40058.6</v>
      </c>
      <c r="G39" s="146">
        <f>8643.1+1087.4</f>
        <v>9730.5</v>
      </c>
      <c r="H39" s="147">
        <f t="shared" si="6"/>
        <v>24.290664176980727</v>
      </c>
      <c r="I39" s="148">
        <f>C39+F39</f>
        <v>40058.6</v>
      </c>
      <c r="J39" s="149">
        <f>D39+G39</f>
        <v>9730.5</v>
      </c>
      <c r="K39" s="150">
        <f t="shared" si="0"/>
        <v>24.290664176980727</v>
      </c>
    </row>
    <row r="40" spans="1:11" ht="22.5" customHeight="1">
      <c r="A40" s="142" t="s">
        <v>151</v>
      </c>
      <c r="B40" s="143" t="s">
        <v>152</v>
      </c>
      <c r="C40" s="144">
        <v>5580.5</v>
      </c>
      <c r="D40" s="144">
        <v>915</v>
      </c>
      <c r="E40" s="145">
        <f t="shared" si="4"/>
        <v>16.396380252665534</v>
      </c>
      <c r="F40" s="146">
        <v>4746.6</v>
      </c>
      <c r="G40" s="146">
        <v>1733.6</v>
      </c>
      <c r="H40" s="146">
        <f t="shared" si="6"/>
        <v>36.522984873383045</v>
      </c>
      <c r="I40" s="148">
        <f>C40+F40</f>
        <v>10327.1</v>
      </c>
      <c r="J40" s="149">
        <f>D40+G40</f>
        <v>2648.6</v>
      </c>
      <c r="K40" s="150">
        <f t="shared" si="0"/>
        <v>25.64708388608612</v>
      </c>
    </row>
    <row r="41" spans="1:11" ht="66" customHeight="1">
      <c r="A41" s="142" t="s">
        <v>153</v>
      </c>
      <c r="B41" s="163" t="s">
        <v>154</v>
      </c>
      <c r="C41" s="144">
        <v>3422.3</v>
      </c>
      <c r="D41" s="144">
        <v>601.5</v>
      </c>
      <c r="E41" s="144">
        <f t="shared" si="4"/>
        <v>17.57589924904304</v>
      </c>
      <c r="F41" s="146">
        <v>1235</v>
      </c>
      <c r="G41" s="146">
        <v>72</v>
      </c>
      <c r="H41" s="146">
        <f t="shared" si="6"/>
        <v>5.82995951417004</v>
      </c>
      <c r="I41" s="151">
        <f>C41+F41-1235</f>
        <v>3422.3</v>
      </c>
      <c r="J41" s="151">
        <f>D41+G41-72</f>
        <v>601.5</v>
      </c>
      <c r="K41" s="150">
        <f t="shared" si="0"/>
        <v>17.57589924904304</v>
      </c>
    </row>
    <row r="42" spans="1:11" ht="65.25" customHeight="1">
      <c r="A42" s="142" t="s">
        <v>153</v>
      </c>
      <c r="B42" s="163" t="s">
        <v>155</v>
      </c>
      <c r="C42" s="144">
        <f>12953.4+681.8</f>
        <v>13635.199999999999</v>
      </c>
      <c r="D42" s="144">
        <v>900</v>
      </c>
      <c r="E42" s="144">
        <f t="shared" si="4"/>
        <v>6.600563248063835</v>
      </c>
      <c r="F42" s="146"/>
      <c r="G42" s="146"/>
      <c r="H42" s="146"/>
      <c r="I42" s="148">
        <f aca="true" t="shared" si="7" ref="I42:J49">C42+F42</f>
        <v>13635.199999999999</v>
      </c>
      <c r="J42" s="149">
        <f t="shared" si="7"/>
        <v>900</v>
      </c>
      <c r="K42" s="150">
        <f t="shared" si="0"/>
        <v>6.600563248063835</v>
      </c>
    </row>
    <row r="43" spans="1:11" ht="87.75" customHeight="1">
      <c r="A43" s="142" t="s">
        <v>153</v>
      </c>
      <c r="B43" s="163" t="s">
        <v>156</v>
      </c>
      <c r="C43" s="144">
        <v>1123.4</v>
      </c>
      <c r="D43" s="146"/>
      <c r="E43" s="145">
        <f t="shared" si="4"/>
        <v>0</v>
      </c>
      <c r="F43" s="146">
        <v>0</v>
      </c>
      <c r="G43" s="146"/>
      <c r="H43" s="146">
        <v>0</v>
      </c>
      <c r="I43" s="148">
        <f t="shared" si="7"/>
        <v>1123.4</v>
      </c>
      <c r="J43" s="149">
        <f t="shared" si="7"/>
        <v>0</v>
      </c>
      <c r="K43" s="150">
        <f t="shared" si="0"/>
        <v>0</v>
      </c>
    </row>
    <row r="44" spans="1:11" ht="99" customHeight="1">
      <c r="A44" s="153" t="s">
        <v>153</v>
      </c>
      <c r="B44" s="163" t="s">
        <v>157</v>
      </c>
      <c r="C44" s="144">
        <f>4382.7+601.8+381.1</f>
        <v>5365.6</v>
      </c>
      <c r="D44" s="146"/>
      <c r="E44" s="144">
        <f t="shared" si="4"/>
        <v>0</v>
      </c>
      <c r="F44" s="146"/>
      <c r="G44" s="146"/>
      <c r="H44" s="146"/>
      <c r="I44" s="148">
        <f t="shared" si="7"/>
        <v>5365.6</v>
      </c>
      <c r="J44" s="149">
        <f t="shared" si="7"/>
        <v>0</v>
      </c>
      <c r="K44" s="150">
        <f t="shared" si="0"/>
        <v>0</v>
      </c>
    </row>
    <row r="45" spans="1:11" ht="65.25" customHeight="1">
      <c r="A45" s="153" t="s">
        <v>153</v>
      </c>
      <c r="B45" s="163" t="s">
        <v>158</v>
      </c>
      <c r="C45" s="144">
        <v>1546.5</v>
      </c>
      <c r="D45" s="146">
        <v>623.5</v>
      </c>
      <c r="E45" s="144">
        <f t="shared" si="4"/>
        <v>40.31684448755254</v>
      </c>
      <c r="F45" s="146">
        <v>0</v>
      </c>
      <c r="G45" s="146"/>
      <c r="H45" s="146">
        <v>0</v>
      </c>
      <c r="I45" s="148">
        <f t="shared" si="7"/>
        <v>1546.5</v>
      </c>
      <c r="J45" s="149">
        <f t="shared" si="7"/>
        <v>623.5</v>
      </c>
      <c r="K45" s="150">
        <f t="shared" si="0"/>
        <v>40.31684448755254</v>
      </c>
    </row>
    <row r="46" spans="1:11" ht="83.25" customHeight="1">
      <c r="A46" s="153" t="s">
        <v>153</v>
      </c>
      <c r="B46" s="163" t="s">
        <v>159</v>
      </c>
      <c r="C46" s="144">
        <v>2443.2</v>
      </c>
      <c r="D46" s="146"/>
      <c r="E46" s="144">
        <f t="shared" si="4"/>
        <v>0</v>
      </c>
      <c r="F46" s="146"/>
      <c r="G46" s="146"/>
      <c r="H46" s="146"/>
      <c r="I46" s="148">
        <f t="shared" si="7"/>
        <v>2443.2</v>
      </c>
      <c r="J46" s="149">
        <f t="shared" si="7"/>
        <v>0</v>
      </c>
      <c r="K46" s="150">
        <f t="shared" si="0"/>
        <v>0</v>
      </c>
    </row>
    <row r="47" spans="1:11" ht="80.25" customHeight="1">
      <c r="A47" s="153" t="s">
        <v>153</v>
      </c>
      <c r="B47" s="163" t="s">
        <v>160</v>
      </c>
      <c r="C47" s="144">
        <v>52.3</v>
      </c>
      <c r="D47" s="146"/>
      <c r="E47" s="144">
        <f t="shared" si="4"/>
        <v>0</v>
      </c>
      <c r="F47" s="146"/>
      <c r="G47" s="146"/>
      <c r="H47" s="146"/>
      <c r="I47" s="148">
        <f t="shared" si="7"/>
        <v>52.3</v>
      </c>
      <c r="J47" s="149">
        <f t="shared" si="7"/>
        <v>0</v>
      </c>
      <c r="K47" s="150">
        <f t="shared" si="0"/>
        <v>0</v>
      </c>
    </row>
    <row r="48" spans="1:11" ht="56.25" customHeight="1">
      <c r="A48" s="153" t="s">
        <v>153</v>
      </c>
      <c r="B48" s="163" t="s">
        <v>161</v>
      </c>
      <c r="C48" s="144">
        <v>85</v>
      </c>
      <c r="D48" s="146"/>
      <c r="E48" s="144">
        <f>D48/C48*100</f>
        <v>0</v>
      </c>
      <c r="F48" s="146"/>
      <c r="G48" s="146"/>
      <c r="H48" s="146">
        <v>0</v>
      </c>
      <c r="I48" s="148">
        <f t="shared" si="7"/>
        <v>85</v>
      </c>
      <c r="J48" s="149">
        <f t="shared" si="7"/>
        <v>0</v>
      </c>
      <c r="K48" s="150">
        <f t="shared" si="0"/>
        <v>0</v>
      </c>
    </row>
    <row r="49" spans="1:11" ht="46.5" customHeight="1">
      <c r="A49" s="153" t="s">
        <v>153</v>
      </c>
      <c r="B49" s="163" t="s">
        <v>162</v>
      </c>
      <c r="C49" s="144">
        <v>0</v>
      </c>
      <c r="D49" s="146">
        <v>0</v>
      </c>
      <c r="E49" s="144" t="e">
        <f>D49/C49*100</f>
        <v>#DIV/0!</v>
      </c>
      <c r="F49" s="146">
        <v>710</v>
      </c>
      <c r="G49" s="146"/>
      <c r="H49" s="146">
        <v>0</v>
      </c>
      <c r="I49" s="148">
        <f t="shared" si="7"/>
        <v>710</v>
      </c>
      <c r="J49" s="149">
        <f t="shared" si="7"/>
        <v>0</v>
      </c>
      <c r="K49" s="150">
        <f t="shared" si="0"/>
        <v>0</v>
      </c>
    </row>
    <row r="50" spans="1:11" ht="31.5" customHeight="1">
      <c r="A50" s="137" t="s">
        <v>163</v>
      </c>
      <c r="B50" s="138" t="s">
        <v>164</v>
      </c>
      <c r="C50" s="139">
        <f>SUM(C51:C88)</f>
        <v>764695.2</v>
      </c>
      <c r="D50" s="139">
        <f>SUM(D51:D88)</f>
        <v>38358.50000000001</v>
      </c>
      <c r="E50" s="139">
        <f t="shared" si="4"/>
        <v>5.016181610660039</v>
      </c>
      <c r="F50" s="164">
        <f>SUM(F51:F88)</f>
        <v>273066.6</v>
      </c>
      <c r="G50" s="164">
        <f>SUM(G51:G88)</f>
        <v>29746.3</v>
      </c>
      <c r="H50" s="164">
        <f>G50/F50*100</f>
        <v>10.893423069683367</v>
      </c>
      <c r="I50" s="139">
        <f>SUM(I51:I88)</f>
        <v>860104.2999999999</v>
      </c>
      <c r="J50" s="139">
        <f>SUM(J51:J88)</f>
        <v>62082.9</v>
      </c>
      <c r="K50" s="141">
        <f t="shared" si="0"/>
        <v>7.218066460079318</v>
      </c>
    </row>
    <row r="51" spans="1:11" ht="86.25" customHeight="1">
      <c r="A51" s="142" t="s">
        <v>165</v>
      </c>
      <c r="B51" s="143" t="s">
        <v>166</v>
      </c>
      <c r="C51" s="144">
        <f>420673.6+2250</f>
        <v>422923.6</v>
      </c>
      <c r="D51" s="144"/>
      <c r="E51" s="145">
        <f t="shared" si="4"/>
        <v>0</v>
      </c>
      <c r="F51" s="146">
        <v>0</v>
      </c>
      <c r="G51" s="146">
        <v>0</v>
      </c>
      <c r="H51" s="147">
        <v>0</v>
      </c>
      <c r="I51" s="148">
        <f aca="true" t="shared" si="8" ref="I51:J66">C51+F51</f>
        <v>422923.6</v>
      </c>
      <c r="J51" s="149">
        <f t="shared" si="8"/>
        <v>0</v>
      </c>
      <c r="K51" s="150">
        <f t="shared" si="0"/>
        <v>0</v>
      </c>
    </row>
    <row r="52" spans="1:11" ht="66" customHeight="1">
      <c r="A52" s="142" t="s">
        <v>165</v>
      </c>
      <c r="B52" s="143" t="s">
        <v>167</v>
      </c>
      <c r="C52" s="144">
        <v>1836</v>
      </c>
      <c r="D52" s="144">
        <v>556.4</v>
      </c>
      <c r="E52" s="145">
        <f t="shared" si="4"/>
        <v>30.305010893246187</v>
      </c>
      <c r="F52" s="146"/>
      <c r="G52" s="146"/>
      <c r="H52" s="147">
        <v>0</v>
      </c>
      <c r="I52" s="148">
        <f t="shared" si="8"/>
        <v>1836</v>
      </c>
      <c r="J52" s="149">
        <f t="shared" si="8"/>
        <v>556.4</v>
      </c>
      <c r="K52" s="150">
        <f t="shared" si="0"/>
        <v>30.305010893246187</v>
      </c>
    </row>
    <row r="53" spans="1:11" ht="57.75" customHeight="1">
      <c r="A53" s="142" t="s">
        <v>165</v>
      </c>
      <c r="B53" s="143" t="s">
        <v>168</v>
      </c>
      <c r="C53" s="144">
        <v>0</v>
      </c>
      <c r="D53" s="144">
        <v>0</v>
      </c>
      <c r="E53" s="145" t="e">
        <f t="shared" si="4"/>
        <v>#DIV/0!</v>
      </c>
      <c r="F53" s="146"/>
      <c r="G53" s="146"/>
      <c r="H53" s="147">
        <v>0</v>
      </c>
      <c r="I53" s="148">
        <f t="shared" si="8"/>
        <v>0</v>
      </c>
      <c r="J53" s="149">
        <f t="shared" si="8"/>
        <v>0</v>
      </c>
      <c r="K53" s="150" t="e">
        <f t="shared" si="0"/>
        <v>#DIV/0!</v>
      </c>
    </row>
    <row r="54" spans="1:11" ht="51.75" customHeight="1">
      <c r="A54" s="142" t="s">
        <v>165</v>
      </c>
      <c r="B54" s="143" t="s">
        <v>169</v>
      </c>
      <c r="C54" s="144"/>
      <c r="D54" s="144"/>
      <c r="E54" s="145" t="e">
        <f t="shared" si="4"/>
        <v>#DIV/0!</v>
      </c>
      <c r="F54" s="146"/>
      <c r="G54" s="146"/>
      <c r="H54" s="147">
        <v>0</v>
      </c>
      <c r="I54" s="148">
        <f t="shared" si="8"/>
        <v>0</v>
      </c>
      <c r="J54" s="149">
        <f t="shared" si="8"/>
        <v>0</v>
      </c>
      <c r="K54" s="150" t="e">
        <f t="shared" si="0"/>
        <v>#DIV/0!</v>
      </c>
    </row>
    <row r="55" spans="1:11" ht="63.75" customHeight="1">
      <c r="A55" s="142" t="s">
        <v>165</v>
      </c>
      <c r="B55" s="143" t="s">
        <v>170</v>
      </c>
      <c r="C55" s="144"/>
      <c r="D55" s="144"/>
      <c r="E55" s="145" t="e">
        <f t="shared" si="4"/>
        <v>#DIV/0!</v>
      </c>
      <c r="F55" s="146"/>
      <c r="G55" s="146"/>
      <c r="H55" s="147">
        <v>0</v>
      </c>
      <c r="I55" s="148">
        <f t="shared" si="8"/>
        <v>0</v>
      </c>
      <c r="J55" s="149">
        <f t="shared" si="8"/>
        <v>0</v>
      </c>
      <c r="K55" s="150" t="e">
        <f t="shared" si="0"/>
        <v>#DIV/0!</v>
      </c>
    </row>
    <row r="56" spans="1:11" ht="117" customHeight="1">
      <c r="A56" s="142" t="s">
        <v>165</v>
      </c>
      <c r="B56" s="143" t="s">
        <v>171</v>
      </c>
      <c r="C56" s="144">
        <v>51343.6</v>
      </c>
      <c r="D56" s="144"/>
      <c r="E56" s="145">
        <f t="shared" si="4"/>
        <v>0</v>
      </c>
      <c r="F56" s="146"/>
      <c r="G56" s="146"/>
      <c r="H56" s="147">
        <v>0</v>
      </c>
      <c r="I56" s="148">
        <f t="shared" si="8"/>
        <v>51343.6</v>
      </c>
      <c r="J56" s="149">
        <f t="shared" si="8"/>
        <v>0</v>
      </c>
      <c r="K56" s="150">
        <f t="shared" si="0"/>
        <v>0</v>
      </c>
    </row>
    <row r="57" spans="1:11" ht="117.75" customHeight="1">
      <c r="A57" s="142" t="s">
        <v>165</v>
      </c>
      <c r="B57" s="143" t="s">
        <v>172</v>
      </c>
      <c r="C57" s="144">
        <v>4444</v>
      </c>
      <c r="D57" s="144"/>
      <c r="E57" s="145">
        <f t="shared" si="4"/>
        <v>0</v>
      </c>
      <c r="F57" s="146"/>
      <c r="G57" s="146"/>
      <c r="H57" s="147">
        <v>0</v>
      </c>
      <c r="I57" s="148">
        <f t="shared" si="8"/>
        <v>4444</v>
      </c>
      <c r="J57" s="149">
        <f t="shared" si="8"/>
        <v>0</v>
      </c>
      <c r="K57" s="150">
        <f t="shared" si="0"/>
        <v>0</v>
      </c>
    </row>
    <row r="58" spans="1:11" ht="134.25" customHeight="1">
      <c r="A58" s="142" t="s">
        <v>165</v>
      </c>
      <c r="B58" s="143" t="s">
        <v>173</v>
      </c>
      <c r="C58" s="144">
        <v>33091</v>
      </c>
      <c r="D58" s="144"/>
      <c r="E58" s="145">
        <f t="shared" si="4"/>
        <v>0</v>
      </c>
      <c r="F58" s="146"/>
      <c r="G58" s="146"/>
      <c r="H58" s="147">
        <v>0</v>
      </c>
      <c r="I58" s="148">
        <f t="shared" si="8"/>
        <v>33091</v>
      </c>
      <c r="J58" s="149">
        <f t="shared" si="8"/>
        <v>0</v>
      </c>
      <c r="K58" s="150">
        <f t="shared" si="0"/>
        <v>0</v>
      </c>
    </row>
    <row r="59" spans="1:11" ht="71.25" customHeight="1">
      <c r="A59" s="142" t="s">
        <v>165</v>
      </c>
      <c r="B59" s="143" t="s">
        <v>174</v>
      </c>
      <c r="C59" s="144"/>
      <c r="D59" s="144"/>
      <c r="E59" s="145"/>
      <c r="F59" s="146">
        <v>100</v>
      </c>
      <c r="G59" s="146"/>
      <c r="H59" s="147">
        <v>0</v>
      </c>
      <c r="I59" s="148">
        <f t="shared" si="8"/>
        <v>100</v>
      </c>
      <c r="J59" s="149">
        <f t="shared" si="8"/>
        <v>0</v>
      </c>
      <c r="K59" s="150">
        <f t="shared" si="0"/>
        <v>0</v>
      </c>
    </row>
    <row r="60" spans="1:11" ht="53.25" customHeight="1">
      <c r="A60" s="153" t="s">
        <v>165</v>
      </c>
      <c r="B60" s="143" t="s">
        <v>175</v>
      </c>
      <c r="C60" s="144">
        <v>27257.5</v>
      </c>
      <c r="D60" s="144">
        <v>3295.9</v>
      </c>
      <c r="E60" s="145">
        <f t="shared" si="4"/>
        <v>12.091717875813996</v>
      </c>
      <c r="F60" s="146">
        <v>31082.2</v>
      </c>
      <c r="G60" s="146">
        <v>1782.8</v>
      </c>
      <c r="H60" s="147">
        <f>G60/F60*100</f>
        <v>5.735758730077022</v>
      </c>
      <c r="I60" s="151">
        <f>C60+F60-21958.7</f>
        <v>36381</v>
      </c>
      <c r="J60" s="149">
        <f t="shared" si="8"/>
        <v>5078.7</v>
      </c>
      <c r="K60" s="150">
        <f t="shared" si="0"/>
        <v>13.959759214974849</v>
      </c>
    </row>
    <row r="61" spans="1:11" ht="194.25" customHeight="1">
      <c r="A61" s="165" t="s">
        <v>176</v>
      </c>
      <c r="B61" s="143" t="s">
        <v>177</v>
      </c>
      <c r="C61" s="144">
        <v>10355.6</v>
      </c>
      <c r="D61" s="144">
        <v>3985.9</v>
      </c>
      <c r="E61" s="145">
        <f t="shared" si="4"/>
        <v>38.49028544941867</v>
      </c>
      <c r="F61" s="146"/>
      <c r="G61" s="146"/>
      <c r="H61" s="147"/>
      <c r="I61" s="148">
        <f>C61+F61</f>
        <v>10355.6</v>
      </c>
      <c r="J61" s="149">
        <f t="shared" si="8"/>
        <v>3985.9</v>
      </c>
      <c r="K61" s="150">
        <f t="shared" si="0"/>
        <v>38.49028544941867</v>
      </c>
    </row>
    <row r="62" spans="1:11" ht="170.25" customHeight="1">
      <c r="A62" s="142" t="s">
        <v>176</v>
      </c>
      <c r="B62" s="143" t="s">
        <v>178</v>
      </c>
      <c r="C62" s="144">
        <v>14898</v>
      </c>
      <c r="D62" s="144">
        <v>14898</v>
      </c>
      <c r="E62" s="145">
        <f t="shared" si="4"/>
        <v>100</v>
      </c>
      <c r="F62" s="146"/>
      <c r="G62" s="146"/>
      <c r="H62" s="147"/>
      <c r="I62" s="148">
        <f>C62+F62</f>
        <v>14898</v>
      </c>
      <c r="J62" s="149">
        <f t="shared" si="8"/>
        <v>14898</v>
      </c>
      <c r="K62" s="150">
        <f t="shared" si="0"/>
        <v>100</v>
      </c>
    </row>
    <row r="63" spans="1:11" ht="141.75" customHeight="1">
      <c r="A63" s="153" t="s">
        <v>176</v>
      </c>
      <c r="B63" s="143" t="s">
        <v>179</v>
      </c>
      <c r="C63" s="144">
        <v>3929.9</v>
      </c>
      <c r="D63" s="144">
        <v>1155</v>
      </c>
      <c r="E63" s="145">
        <f t="shared" si="4"/>
        <v>29.390060815796836</v>
      </c>
      <c r="F63" s="146"/>
      <c r="G63" s="146"/>
      <c r="H63" s="147"/>
      <c r="I63" s="148">
        <f>C63+F63</f>
        <v>3929.9</v>
      </c>
      <c r="J63" s="149">
        <f t="shared" si="8"/>
        <v>1155</v>
      </c>
      <c r="K63" s="150">
        <f t="shared" si="0"/>
        <v>29.390060815796836</v>
      </c>
    </row>
    <row r="64" spans="1:11" ht="147" customHeight="1">
      <c r="A64" s="153" t="s">
        <v>176</v>
      </c>
      <c r="B64" s="143" t="s">
        <v>180</v>
      </c>
      <c r="C64" s="144">
        <v>6728.9</v>
      </c>
      <c r="D64" s="144">
        <v>1732.5</v>
      </c>
      <c r="E64" s="145">
        <f t="shared" si="4"/>
        <v>25.74715035146904</v>
      </c>
      <c r="F64" s="146"/>
      <c r="G64" s="146"/>
      <c r="H64" s="147"/>
      <c r="I64" s="148">
        <f>C64+F64</f>
        <v>6728.9</v>
      </c>
      <c r="J64" s="149">
        <f t="shared" si="8"/>
        <v>1732.5</v>
      </c>
      <c r="K64" s="150">
        <f t="shared" si="0"/>
        <v>25.74715035146904</v>
      </c>
    </row>
    <row r="65" spans="1:11" ht="190.5" customHeight="1">
      <c r="A65" s="142" t="s">
        <v>176</v>
      </c>
      <c r="B65" s="166" t="s">
        <v>181</v>
      </c>
      <c r="C65" s="144">
        <v>28857</v>
      </c>
      <c r="D65" s="144">
        <v>10433.1</v>
      </c>
      <c r="E65" s="145">
        <f>D65/C65*100</f>
        <v>36.154485913296604</v>
      </c>
      <c r="F65" s="146"/>
      <c r="G65" s="146"/>
      <c r="H65" s="147"/>
      <c r="I65" s="148">
        <f>C65+F65</f>
        <v>28857</v>
      </c>
      <c r="J65" s="149">
        <f t="shared" si="8"/>
        <v>10433.1</v>
      </c>
      <c r="K65" s="150">
        <f>J65/I65*100</f>
        <v>36.154485913296604</v>
      </c>
    </row>
    <row r="66" spans="1:11" ht="212.25" customHeight="1">
      <c r="A66" s="153" t="s">
        <v>176</v>
      </c>
      <c r="B66" s="163" t="s">
        <v>182</v>
      </c>
      <c r="C66" s="144">
        <f>42762+7597+1500</f>
        <v>51859</v>
      </c>
      <c r="D66" s="144"/>
      <c r="E66" s="145">
        <f aca="true" t="shared" si="9" ref="E66:E75">D66/C66*100</f>
        <v>0</v>
      </c>
      <c r="F66" s="146">
        <f>38213.3+5812.5</f>
        <v>44025.8</v>
      </c>
      <c r="G66" s="146"/>
      <c r="H66" s="147">
        <f>G66/F66*100</f>
        <v>0</v>
      </c>
      <c r="I66" s="151">
        <f>C66+F66-44025.8</f>
        <v>51859</v>
      </c>
      <c r="J66" s="151">
        <f t="shared" si="8"/>
        <v>0</v>
      </c>
      <c r="K66" s="150">
        <f t="shared" si="0"/>
        <v>0</v>
      </c>
    </row>
    <row r="67" spans="1:11" ht="77.25" customHeight="1">
      <c r="A67" s="153" t="s">
        <v>176</v>
      </c>
      <c r="B67" s="163" t="s">
        <v>183</v>
      </c>
      <c r="C67" s="144"/>
      <c r="D67" s="144"/>
      <c r="E67" s="145" t="e">
        <f t="shared" si="9"/>
        <v>#DIV/0!</v>
      </c>
      <c r="F67" s="146"/>
      <c r="G67" s="146"/>
      <c r="H67" s="147" t="e">
        <f aca="true" t="shared" si="10" ref="H67:H87">G67/F67*100</f>
        <v>#DIV/0!</v>
      </c>
      <c r="I67" s="149">
        <f aca="true" t="shared" si="11" ref="I67:J73">C67+F67</f>
        <v>0</v>
      </c>
      <c r="J67" s="149">
        <f t="shared" si="11"/>
        <v>0</v>
      </c>
      <c r="K67" s="150" t="e">
        <f t="shared" si="0"/>
        <v>#DIV/0!</v>
      </c>
    </row>
    <row r="68" spans="1:11" ht="50.25" customHeight="1">
      <c r="A68" s="153" t="s">
        <v>176</v>
      </c>
      <c r="B68" s="163" t="s">
        <v>184</v>
      </c>
      <c r="C68" s="144"/>
      <c r="D68" s="144"/>
      <c r="E68" s="145" t="e">
        <f t="shared" si="9"/>
        <v>#DIV/0!</v>
      </c>
      <c r="F68" s="146"/>
      <c r="G68" s="146"/>
      <c r="H68" s="147" t="e">
        <f t="shared" si="10"/>
        <v>#DIV/0!</v>
      </c>
      <c r="I68" s="149">
        <f t="shared" si="11"/>
        <v>0</v>
      </c>
      <c r="J68" s="149">
        <f t="shared" si="11"/>
        <v>0</v>
      </c>
      <c r="K68" s="150" t="e">
        <f t="shared" si="0"/>
        <v>#DIV/0!</v>
      </c>
    </row>
    <row r="69" spans="1:11" ht="72" customHeight="1">
      <c r="A69" s="153" t="s">
        <v>176</v>
      </c>
      <c r="B69" s="163" t="s">
        <v>185</v>
      </c>
      <c r="C69" s="144"/>
      <c r="D69" s="144"/>
      <c r="E69" s="145" t="e">
        <f t="shared" si="9"/>
        <v>#DIV/0!</v>
      </c>
      <c r="F69" s="146">
        <v>50</v>
      </c>
      <c r="G69" s="146"/>
      <c r="H69" s="147">
        <f t="shared" si="10"/>
        <v>0</v>
      </c>
      <c r="I69" s="148">
        <f t="shared" si="11"/>
        <v>50</v>
      </c>
      <c r="J69" s="149">
        <f t="shared" si="11"/>
        <v>0</v>
      </c>
      <c r="K69" s="150">
        <f>J69/I69*100</f>
        <v>0</v>
      </c>
    </row>
    <row r="70" spans="1:11" ht="79.5" customHeight="1">
      <c r="A70" s="153" t="s">
        <v>176</v>
      </c>
      <c r="B70" s="163" t="s">
        <v>186</v>
      </c>
      <c r="C70" s="144"/>
      <c r="D70" s="144"/>
      <c r="E70" s="145" t="e">
        <f t="shared" si="9"/>
        <v>#DIV/0!</v>
      </c>
      <c r="F70" s="146"/>
      <c r="G70" s="146"/>
      <c r="H70" s="147"/>
      <c r="I70" s="148">
        <f t="shared" si="11"/>
        <v>0</v>
      </c>
      <c r="J70" s="149">
        <f t="shared" si="11"/>
        <v>0</v>
      </c>
      <c r="K70" s="150" t="e">
        <f>J70/I70*100</f>
        <v>#DIV/0!</v>
      </c>
    </row>
    <row r="71" spans="1:11" ht="110.25" customHeight="1">
      <c r="A71" s="153" t="s">
        <v>176</v>
      </c>
      <c r="B71" s="163" t="s">
        <v>187</v>
      </c>
      <c r="C71" s="144"/>
      <c r="D71" s="144"/>
      <c r="E71" s="145" t="e">
        <f t="shared" si="9"/>
        <v>#DIV/0!</v>
      </c>
      <c r="F71" s="146">
        <v>5404.1</v>
      </c>
      <c r="G71" s="146">
        <v>4906.5</v>
      </c>
      <c r="H71" s="147">
        <f t="shared" si="10"/>
        <v>90.792176310579</v>
      </c>
      <c r="I71" s="148">
        <f t="shared" si="11"/>
        <v>5404.1</v>
      </c>
      <c r="J71" s="149">
        <f t="shared" si="11"/>
        <v>4906.5</v>
      </c>
      <c r="K71" s="167">
        <f t="shared" si="0"/>
        <v>90.792176310579</v>
      </c>
    </row>
    <row r="72" spans="1:11" ht="29.25" customHeight="1">
      <c r="A72" s="153" t="s">
        <v>176</v>
      </c>
      <c r="B72" s="163" t="s">
        <v>188</v>
      </c>
      <c r="C72" s="144"/>
      <c r="D72" s="144"/>
      <c r="E72" s="145" t="e">
        <f t="shared" si="9"/>
        <v>#DIV/0!</v>
      </c>
      <c r="F72" s="146">
        <v>29599.5</v>
      </c>
      <c r="G72" s="146">
        <v>1016.9</v>
      </c>
      <c r="H72" s="147">
        <f t="shared" si="10"/>
        <v>3.4355310055913106</v>
      </c>
      <c r="I72" s="148">
        <f t="shared" si="11"/>
        <v>29599.5</v>
      </c>
      <c r="J72" s="149">
        <f t="shared" si="11"/>
        <v>1016.9</v>
      </c>
      <c r="K72" s="150">
        <f t="shared" si="0"/>
        <v>3.4355310055913106</v>
      </c>
    </row>
    <row r="73" spans="1:11" ht="47.25" customHeight="1">
      <c r="A73" s="153" t="s">
        <v>176</v>
      </c>
      <c r="B73" s="163" t="s">
        <v>189</v>
      </c>
      <c r="C73" s="144">
        <v>12049.5</v>
      </c>
      <c r="D73" s="144"/>
      <c r="E73" s="145">
        <f t="shared" si="9"/>
        <v>0</v>
      </c>
      <c r="F73" s="146"/>
      <c r="G73" s="146"/>
      <c r="H73" s="147"/>
      <c r="I73" s="148">
        <f t="shared" si="11"/>
        <v>12049.5</v>
      </c>
      <c r="J73" s="149">
        <f t="shared" si="11"/>
        <v>0</v>
      </c>
      <c r="K73" s="150">
        <f t="shared" si="0"/>
        <v>0</v>
      </c>
    </row>
    <row r="74" spans="1:11" ht="99.75" customHeight="1">
      <c r="A74" s="153" t="s">
        <v>176</v>
      </c>
      <c r="B74" s="163" t="s">
        <v>190</v>
      </c>
      <c r="C74" s="144"/>
      <c r="D74" s="144"/>
      <c r="E74" s="145" t="e">
        <f t="shared" si="9"/>
        <v>#DIV/0!</v>
      </c>
      <c r="F74" s="146">
        <v>16598</v>
      </c>
      <c r="G74" s="146">
        <v>3720.2</v>
      </c>
      <c r="H74" s="147">
        <f t="shared" si="10"/>
        <v>22.413543800457887</v>
      </c>
      <c r="I74" s="151">
        <f>C74+F74-8011-8587</f>
        <v>0</v>
      </c>
      <c r="J74" s="168">
        <f>D74+G74-3720.2</f>
        <v>0</v>
      </c>
      <c r="K74" s="150" t="e">
        <f>J74/I74*100</f>
        <v>#DIV/0!</v>
      </c>
    </row>
    <row r="75" spans="1:11" ht="87.75" customHeight="1">
      <c r="A75" s="153" t="s">
        <v>191</v>
      </c>
      <c r="B75" s="143" t="s">
        <v>192</v>
      </c>
      <c r="C75" s="144"/>
      <c r="D75" s="144"/>
      <c r="E75" s="145" t="e">
        <f t="shared" si="9"/>
        <v>#DIV/0!</v>
      </c>
      <c r="F75" s="144">
        <v>233</v>
      </c>
      <c r="G75" s="146"/>
      <c r="H75" s="147">
        <f t="shared" si="10"/>
        <v>0</v>
      </c>
      <c r="I75" s="149">
        <f>C75+F75</f>
        <v>233</v>
      </c>
      <c r="J75" s="151">
        <f>D75+G75</f>
        <v>0</v>
      </c>
      <c r="K75" s="150">
        <f>J75/I75*100</f>
        <v>0</v>
      </c>
    </row>
    <row r="76" spans="1:11" ht="92.25" customHeight="1">
      <c r="A76" s="153" t="s">
        <v>191</v>
      </c>
      <c r="B76" s="143" t="s">
        <v>193</v>
      </c>
      <c r="C76" s="144">
        <v>3500</v>
      </c>
      <c r="D76" s="144"/>
      <c r="E76" s="145">
        <f t="shared" si="4"/>
        <v>0</v>
      </c>
      <c r="F76" s="144">
        <v>3500</v>
      </c>
      <c r="G76" s="146"/>
      <c r="H76" s="147">
        <f t="shared" si="10"/>
        <v>0</v>
      </c>
      <c r="I76" s="151">
        <f>C76+F76-3500</f>
        <v>3500</v>
      </c>
      <c r="J76" s="151">
        <f>D76+G76</f>
        <v>0</v>
      </c>
      <c r="K76" s="150">
        <f t="shared" si="0"/>
        <v>0</v>
      </c>
    </row>
    <row r="77" spans="1:11" ht="65.25" customHeight="1">
      <c r="A77" s="153" t="s">
        <v>191</v>
      </c>
      <c r="B77" s="143" t="s">
        <v>194</v>
      </c>
      <c r="C77" s="144"/>
      <c r="D77" s="144"/>
      <c r="E77" s="145" t="e">
        <f t="shared" si="4"/>
        <v>#DIV/0!</v>
      </c>
      <c r="F77" s="144"/>
      <c r="G77" s="146"/>
      <c r="H77" s="147" t="e">
        <f t="shared" si="10"/>
        <v>#DIV/0!</v>
      </c>
      <c r="I77" s="151">
        <f aca="true" t="shared" si="12" ref="I77:J88">C77+F77</f>
        <v>0</v>
      </c>
      <c r="J77" s="151">
        <f>D77+G77</f>
        <v>0</v>
      </c>
      <c r="K77" s="150" t="e">
        <f t="shared" si="0"/>
        <v>#DIV/0!</v>
      </c>
    </row>
    <row r="78" spans="1:11" ht="81.75" customHeight="1">
      <c r="A78" s="153" t="s">
        <v>191</v>
      </c>
      <c r="B78" s="143" t="s">
        <v>195</v>
      </c>
      <c r="C78" s="144"/>
      <c r="D78" s="144"/>
      <c r="E78" s="145" t="e">
        <f t="shared" si="4"/>
        <v>#DIV/0!</v>
      </c>
      <c r="F78" s="144"/>
      <c r="G78" s="146"/>
      <c r="H78" s="147" t="e">
        <f t="shared" si="10"/>
        <v>#DIV/0!</v>
      </c>
      <c r="I78" s="149">
        <f t="shared" si="12"/>
        <v>0</v>
      </c>
      <c r="J78" s="149">
        <f>D78+G78</f>
        <v>0</v>
      </c>
      <c r="K78" s="150" t="e">
        <f t="shared" si="0"/>
        <v>#DIV/0!</v>
      </c>
    </row>
    <row r="79" spans="1:11" ht="82.5" customHeight="1">
      <c r="A79" s="153" t="s">
        <v>191</v>
      </c>
      <c r="B79" s="143" t="s">
        <v>196</v>
      </c>
      <c r="C79" s="144">
        <v>77722</v>
      </c>
      <c r="D79" s="144">
        <v>2225.4</v>
      </c>
      <c r="E79" s="145">
        <f t="shared" si="4"/>
        <v>2.863281953629603</v>
      </c>
      <c r="F79" s="144">
        <v>77722</v>
      </c>
      <c r="G79" s="146">
        <v>2225.4</v>
      </c>
      <c r="H79" s="147">
        <f t="shared" si="10"/>
        <v>2.863281953629603</v>
      </c>
      <c r="I79" s="151">
        <f>C79+F79-77722</f>
        <v>77722</v>
      </c>
      <c r="J79" s="151">
        <f>D79+G79-2225.4</f>
        <v>2225.4</v>
      </c>
      <c r="K79" s="150">
        <f t="shared" si="0"/>
        <v>2.863281953629603</v>
      </c>
    </row>
    <row r="80" spans="1:11" ht="81.75" customHeight="1">
      <c r="A80" s="153" t="s">
        <v>191</v>
      </c>
      <c r="B80" s="143" t="s">
        <v>197</v>
      </c>
      <c r="C80" s="144"/>
      <c r="D80" s="144"/>
      <c r="E80" s="145" t="e">
        <f t="shared" si="4"/>
        <v>#DIV/0!</v>
      </c>
      <c r="F80" s="144"/>
      <c r="G80" s="146"/>
      <c r="H80" s="147" t="e">
        <f t="shared" si="10"/>
        <v>#DIV/0!</v>
      </c>
      <c r="I80" s="151">
        <f t="shared" si="12"/>
        <v>0</v>
      </c>
      <c r="J80" s="151">
        <f>D80+G80</f>
        <v>0</v>
      </c>
      <c r="K80" s="150" t="e">
        <f t="shared" si="0"/>
        <v>#DIV/0!</v>
      </c>
    </row>
    <row r="81" spans="1:11" ht="67.5" customHeight="1">
      <c r="A81" s="153" t="s">
        <v>191</v>
      </c>
      <c r="B81" s="143" t="s">
        <v>198</v>
      </c>
      <c r="C81" s="144">
        <v>500</v>
      </c>
      <c r="D81" s="144">
        <v>76.3</v>
      </c>
      <c r="E81" s="145">
        <f t="shared" si="4"/>
        <v>15.259999999999998</v>
      </c>
      <c r="F81" s="144">
        <v>500</v>
      </c>
      <c r="G81" s="146">
        <v>219</v>
      </c>
      <c r="H81" s="147"/>
      <c r="I81" s="151">
        <f>C81+F81-500</f>
        <v>500</v>
      </c>
      <c r="J81" s="151">
        <f>D81+G81-76.3</f>
        <v>219</v>
      </c>
      <c r="K81" s="150">
        <f t="shared" si="0"/>
        <v>43.8</v>
      </c>
    </row>
    <row r="82" spans="1:11" ht="114" customHeight="1">
      <c r="A82" s="153" t="s">
        <v>191</v>
      </c>
      <c r="B82" s="143" t="s">
        <v>199</v>
      </c>
      <c r="C82" s="144"/>
      <c r="D82" s="144"/>
      <c r="E82" s="145" t="e">
        <f t="shared" si="4"/>
        <v>#DIV/0!</v>
      </c>
      <c r="F82" s="144">
        <v>903</v>
      </c>
      <c r="G82" s="146"/>
      <c r="H82" s="147">
        <f t="shared" si="10"/>
        <v>0</v>
      </c>
      <c r="I82" s="148">
        <f t="shared" si="12"/>
        <v>903</v>
      </c>
      <c r="J82" s="149">
        <f t="shared" si="12"/>
        <v>0</v>
      </c>
      <c r="K82" s="150">
        <f t="shared" si="0"/>
        <v>0</v>
      </c>
    </row>
    <row r="83" spans="1:11" ht="36.75" customHeight="1">
      <c r="A83" s="153" t="s">
        <v>191</v>
      </c>
      <c r="B83" s="143" t="s">
        <v>200</v>
      </c>
      <c r="C83" s="144">
        <v>13353</v>
      </c>
      <c r="D83" s="144"/>
      <c r="E83" s="145">
        <f t="shared" si="4"/>
        <v>0</v>
      </c>
      <c r="F83" s="144">
        <v>13353</v>
      </c>
      <c r="G83" s="146"/>
      <c r="H83" s="147">
        <f t="shared" si="10"/>
        <v>0</v>
      </c>
      <c r="I83" s="151">
        <f>C83+F83-13353</f>
        <v>13353</v>
      </c>
      <c r="J83" s="169">
        <f t="shared" si="12"/>
        <v>0</v>
      </c>
      <c r="K83" s="150">
        <f t="shared" si="0"/>
        <v>0</v>
      </c>
    </row>
    <row r="84" spans="1:11" ht="63" customHeight="1">
      <c r="A84" s="153" t="s">
        <v>191</v>
      </c>
      <c r="B84" s="143" t="s">
        <v>201</v>
      </c>
      <c r="C84" s="144"/>
      <c r="D84" s="144"/>
      <c r="E84" s="145" t="e">
        <f t="shared" si="4"/>
        <v>#DIV/0!</v>
      </c>
      <c r="F84" s="144"/>
      <c r="G84" s="146"/>
      <c r="H84" s="147" t="e">
        <f t="shared" si="10"/>
        <v>#DIV/0!</v>
      </c>
      <c r="I84" s="151">
        <f t="shared" si="12"/>
        <v>0</v>
      </c>
      <c r="J84" s="169">
        <f t="shared" si="12"/>
        <v>0</v>
      </c>
      <c r="K84" s="150" t="e">
        <f t="shared" si="0"/>
        <v>#DIV/0!</v>
      </c>
    </row>
    <row r="85" spans="1:11" ht="45" customHeight="1">
      <c r="A85" s="153" t="s">
        <v>191</v>
      </c>
      <c r="B85" s="143" t="s">
        <v>202</v>
      </c>
      <c r="C85" s="144"/>
      <c r="D85" s="144"/>
      <c r="E85" s="145" t="e">
        <f t="shared" si="4"/>
        <v>#DIV/0!</v>
      </c>
      <c r="F85" s="144"/>
      <c r="G85" s="146"/>
      <c r="H85" s="147" t="e">
        <f t="shared" si="10"/>
        <v>#DIV/0!</v>
      </c>
      <c r="I85" s="151">
        <f t="shared" si="12"/>
        <v>0</v>
      </c>
      <c r="J85" s="169">
        <f t="shared" si="12"/>
        <v>0</v>
      </c>
      <c r="K85" s="150" t="e">
        <f t="shared" si="0"/>
        <v>#DIV/0!</v>
      </c>
    </row>
    <row r="86" spans="1:11" ht="52.5" customHeight="1">
      <c r="A86" s="153" t="s">
        <v>191</v>
      </c>
      <c r="B86" s="170" t="s">
        <v>203</v>
      </c>
      <c r="C86" s="144"/>
      <c r="D86" s="144"/>
      <c r="E86" s="145" t="e">
        <f t="shared" si="4"/>
        <v>#DIV/0!</v>
      </c>
      <c r="F86" s="144"/>
      <c r="G86" s="146"/>
      <c r="H86" s="147" t="e">
        <f t="shared" si="10"/>
        <v>#DIV/0!</v>
      </c>
      <c r="I86" s="151">
        <f t="shared" si="12"/>
        <v>0</v>
      </c>
      <c r="J86" s="169">
        <f t="shared" si="12"/>
        <v>0</v>
      </c>
      <c r="K86" s="150" t="e">
        <f t="shared" si="0"/>
        <v>#DIV/0!</v>
      </c>
    </row>
    <row r="87" spans="1:11" ht="37.5" customHeight="1">
      <c r="A87" s="142" t="s">
        <v>191</v>
      </c>
      <c r="B87" s="143" t="s">
        <v>204</v>
      </c>
      <c r="C87" s="144"/>
      <c r="D87" s="144"/>
      <c r="E87" s="145"/>
      <c r="F87" s="144">
        <f>47496+2500</f>
        <v>49996</v>
      </c>
      <c r="G87" s="146">
        <v>15875.5</v>
      </c>
      <c r="H87" s="147">
        <f t="shared" si="10"/>
        <v>31.75354028322266</v>
      </c>
      <c r="I87" s="148">
        <f t="shared" si="12"/>
        <v>49996</v>
      </c>
      <c r="J87" s="149">
        <f t="shared" si="12"/>
        <v>15875.5</v>
      </c>
      <c r="K87" s="150">
        <f t="shared" si="0"/>
        <v>31.75354028322266</v>
      </c>
    </row>
    <row r="88" spans="1:11" ht="26.25" customHeight="1">
      <c r="A88" s="153" t="s">
        <v>205</v>
      </c>
      <c r="B88" s="143" t="s">
        <v>206</v>
      </c>
      <c r="C88" s="144">
        <v>46.6</v>
      </c>
      <c r="D88" s="144"/>
      <c r="E88" s="145">
        <f>D88/C88*100</f>
        <v>0</v>
      </c>
      <c r="F88" s="144">
        <v>0</v>
      </c>
      <c r="G88" s="146"/>
      <c r="H88" s="147">
        <v>0</v>
      </c>
      <c r="I88" s="148">
        <f t="shared" si="12"/>
        <v>46.6</v>
      </c>
      <c r="J88" s="149">
        <f t="shared" si="12"/>
        <v>0</v>
      </c>
      <c r="K88" s="171">
        <f t="shared" si="0"/>
        <v>0</v>
      </c>
    </row>
    <row r="89" spans="1:11" ht="27" customHeight="1">
      <c r="A89" s="172" t="s">
        <v>207</v>
      </c>
      <c r="B89" s="173" t="s">
        <v>208</v>
      </c>
      <c r="C89" s="164">
        <f aca="true" t="shared" si="13" ref="C89:H89">C90</f>
        <v>227882.6</v>
      </c>
      <c r="D89" s="164">
        <f t="shared" si="13"/>
        <v>196691.5</v>
      </c>
      <c r="E89" s="155">
        <f t="shared" si="4"/>
        <v>86.31264519537692</v>
      </c>
      <c r="F89" s="164">
        <f t="shared" si="13"/>
        <v>24.1</v>
      </c>
      <c r="G89" s="164">
        <f t="shared" si="13"/>
        <v>0</v>
      </c>
      <c r="H89" s="140">
        <f t="shared" si="13"/>
        <v>0</v>
      </c>
      <c r="I89" s="164">
        <f>I90</f>
        <v>227882.6</v>
      </c>
      <c r="J89" s="164">
        <f>J90</f>
        <v>196691.5</v>
      </c>
      <c r="K89" s="174">
        <f t="shared" si="0"/>
        <v>86.31264519537692</v>
      </c>
    </row>
    <row r="90" spans="1:11" ht="39" customHeight="1">
      <c r="A90" s="153" t="s">
        <v>209</v>
      </c>
      <c r="B90" s="175" t="s">
        <v>210</v>
      </c>
      <c r="C90" s="146">
        <v>227882.6</v>
      </c>
      <c r="D90" s="146">
        <v>196691.5</v>
      </c>
      <c r="E90" s="145">
        <f t="shared" si="4"/>
        <v>86.31264519537692</v>
      </c>
      <c r="F90" s="146">
        <v>24.1</v>
      </c>
      <c r="G90" s="146"/>
      <c r="H90" s="147">
        <f>G90/F90*100</f>
        <v>0</v>
      </c>
      <c r="I90" s="151">
        <f>C90+F90-24.1</f>
        <v>227882.6</v>
      </c>
      <c r="J90" s="149">
        <f>D90+G90</f>
        <v>196691.5</v>
      </c>
      <c r="K90" s="150">
        <f t="shared" si="0"/>
        <v>86.31264519537692</v>
      </c>
    </row>
    <row r="91" spans="1:11" ht="28.5">
      <c r="A91" s="137" t="s">
        <v>211</v>
      </c>
      <c r="B91" s="138" t="s">
        <v>212</v>
      </c>
      <c r="C91" s="139">
        <f>SUM(C92:C101)</f>
        <v>2362615.8999999994</v>
      </c>
      <c r="D91" s="139">
        <f>SUM(D92:D101)</f>
        <v>655448.7</v>
      </c>
      <c r="E91" s="139">
        <f>D91/C91*100</f>
        <v>27.742499320350806</v>
      </c>
      <c r="F91" s="164">
        <f>F92+F94+F95+F100+F101</f>
        <v>0</v>
      </c>
      <c r="G91" s="164">
        <f>SUM(G92:G101)</f>
        <v>0</v>
      </c>
      <c r="H91" s="140">
        <v>0</v>
      </c>
      <c r="I91" s="139">
        <f>SUM(I92:I101)</f>
        <v>2362615.8999999994</v>
      </c>
      <c r="J91" s="139">
        <f>SUM(J92:J101)</f>
        <v>655448.7</v>
      </c>
      <c r="K91" s="141">
        <f t="shared" si="0"/>
        <v>27.742499320350806</v>
      </c>
    </row>
    <row r="92" spans="1:11" ht="31.5" customHeight="1">
      <c r="A92" s="142" t="s">
        <v>213</v>
      </c>
      <c r="B92" s="143" t="s">
        <v>214</v>
      </c>
      <c r="C92" s="144">
        <v>451063.7</v>
      </c>
      <c r="D92" s="144">
        <v>168466.2</v>
      </c>
      <c r="E92" s="145">
        <f t="shared" si="4"/>
        <v>37.34864942579064</v>
      </c>
      <c r="F92" s="146">
        <v>0</v>
      </c>
      <c r="G92" s="146">
        <v>0</v>
      </c>
      <c r="H92" s="147">
        <v>0</v>
      </c>
      <c r="I92" s="148">
        <f aca="true" t="shared" si="14" ref="I92:J101">C92+F92</f>
        <v>451063.7</v>
      </c>
      <c r="J92" s="149">
        <f t="shared" si="14"/>
        <v>168466.2</v>
      </c>
      <c r="K92" s="150">
        <f t="shared" si="0"/>
        <v>37.34864942579064</v>
      </c>
    </row>
    <row r="93" spans="1:11" ht="137.25" customHeight="1">
      <c r="A93" s="142" t="s">
        <v>213</v>
      </c>
      <c r="B93" s="143" t="s">
        <v>215</v>
      </c>
      <c r="C93" s="144">
        <f>170744.6+17695.9</f>
        <v>188440.5</v>
      </c>
      <c r="D93" s="144">
        <v>30288.6</v>
      </c>
      <c r="E93" s="145">
        <f t="shared" si="4"/>
        <v>16.073296345530817</v>
      </c>
      <c r="F93" s="146"/>
      <c r="G93" s="146"/>
      <c r="H93" s="147"/>
      <c r="I93" s="148">
        <f t="shared" si="14"/>
        <v>188440.5</v>
      </c>
      <c r="J93" s="149">
        <f t="shared" si="14"/>
        <v>30288.6</v>
      </c>
      <c r="K93" s="150">
        <f t="shared" si="0"/>
        <v>16.073296345530817</v>
      </c>
    </row>
    <row r="94" spans="1:11" ht="19.5" customHeight="1">
      <c r="A94" s="142" t="s">
        <v>216</v>
      </c>
      <c r="B94" s="143" t="s">
        <v>217</v>
      </c>
      <c r="C94" s="176">
        <v>1410314.9</v>
      </c>
      <c r="D94" s="176">
        <v>361151.6</v>
      </c>
      <c r="E94" s="145">
        <f t="shared" si="4"/>
        <v>25.607869561613512</v>
      </c>
      <c r="F94" s="146">
        <v>0</v>
      </c>
      <c r="G94" s="146">
        <v>0</v>
      </c>
      <c r="H94" s="147">
        <v>0</v>
      </c>
      <c r="I94" s="148">
        <f t="shared" si="14"/>
        <v>1410314.9</v>
      </c>
      <c r="J94" s="149">
        <f t="shared" si="14"/>
        <v>361151.6</v>
      </c>
      <c r="K94" s="150">
        <f t="shared" si="0"/>
        <v>25.607869561613512</v>
      </c>
    </row>
    <row r="95" spans="1:11" ht="31.5" customHeight="1">
      <c r="A95" s="142" t="s">
        <v>216</v>
      </c>
      <c r="B95" s="143" t="s">
        <v>218</v>
      </c>
      <c r="C95" s="144">
        <v>36274</v>
      </c>
      <c r="D95" s="144">
        <v>11809.7</v>
      </c>
      <c r="E95" s="145">
        <f t="shared" si="4"/>
        <v>32.55692782709379</v>
      </c>
      <c r="F95" s="146">
        <v>0</v>
      </c>
      <c r="G95" s="146">
        <v>0</v>
      </c>
      <c r="H95" s="147">
        <v>0</v>
      </c>
      <c r="I95" s="148">
        <f t="shared" si="14"/>
        <v>36274</v>
      </c>
      <c r="J95" s="149">
        <f t="shared" si="14"/>
        <v>11809.7</v>
      </c>
      <c r="K95" s="150">
        <f t="shared" si="0"/>
        <v>32.55692782709379</v>
      </c>
    </row>
    <row r="96" spans="1:11" ht="122.25" customHeight="1">
      <c r="A96" s="142" t="s">
        <v>216</v>
      </c>
      <c r="B96" s="143" t="s">
        <v>219</v>
      </c>
      <c r="C96" s="144">
        <v>33847</v>
      </c>
      <c r="D96" s="144"/>
      <c r="E96" s="145">
        <f t="shared" si="4"/>
        <v>0</v>
      </c>
      <c r="F96" s="146"/>
      <c r="G96" s="146"/>
      <c r="H96" s="147"/>
      <c r="I96" s="148">
        <f t="shared" si="14"/>
        <v>33847</v>
      </c>
      <c r="J96" s="149">
        <f t="shared" si="14"/>
        <v>0</v>
      </c>
      <c r="K96" s="150">
        <f t="shared" si="0"/>
        <v>0</v>
      </c>
    </row>
    <row r="97" spans="1:11" ht="108" customHeight="1">
      <c r="A97" s="142" t="s">
        <v>216</v>
      </c>
      <c r="B97" s="143" t="s">
        <v>220</v>
      </c>
      <c r="C97" s="144">
        <v>3222.5</v>
      </c>
      <c r="D97" s="144"/>
      <c r="E97" s="145">
        <f t="shared" si="4"/>
        <v>0</v>
      </c>
      <c r="F97" s="146"/>
      <c r="G97" s="146"/>
      <c r="H97" s="147"/>
      <c r="I97" s="148">
        <f t="shared" si="14"/>
        <v>3222.5</v>
      </c>
      <c r="J97" s="149">
        <f t="shared" si="14"/>
        <v>0</v>
      </c>
      <c r="K97" s="150">
        <f t="shared" si="0"/>
        <v>0</v>
      </c>
    </row>
    <row r="98" spans="1:11" ht="141.75" customHeight="1">
      <c r="A98" s="142" t="s">
        <v>216</v>
      </c>
      <c r="B98" s="143" t="s">
        <v>221</v>
      </c>
      <c r="C98" s="144"/>
      <c r="D98" s="144"/>
      <c r="E98" s="145" t="e">
        <f t="shared" si="4"/>
        <v>#DIV/0!</v>
      </c>
      <c r="F98" s="146">
        <v>0</v>
      </c>
      <c r="G98" s="146">
        <v>0</v>
      </c>
      <c r="H98" s="147">
        <v>0</v>
      </c>
      <c r="I98" s="148">
        <f t="shared" si="14"/>
        <v>0</v>
      </c>
      <c r="J98" s="149">
        <f t="shared" si="14"/>
        <v>0</v>
      </c>
      <c r="K98" s="150" t="e">
        <f t="shared" si="0"/>
        <v>#DIV/0!</v>
      </c>
    </row>
    <row r="99" spans="1:11" ht="27.75" customHeight="1">
      <c r="A99" s="142" t="s">
        <v>222</v>
      </c>
      <c r="B99" s="143" t="s">
        <v>223</v>
      </c>
      <c r="C99" s="144">
        <v>147660.6</v>
      </c>
      <c r="D99" s="144">
        <v>59475.9</v>
      </c>
      <c r="E99" s="145">
        <f t="shared" si="4"/>
        <v>40.278787977293874</v>
      </c>
      <c r="F99" s="146"/>
      <c r="G99" s="146"/>
      <c r="H99" s="147"/>
      <c r="I99" s="148">
        <f t="shared" si="14"/>
        <v>147660.6</v>
      </c>
      <c r="J99" s="149">
        <f t="shared" si="14"/>
        <v>59475.9</v>
      </c>
      <c r="K99" s="150">
        <f t="shared" si="0"/>
        <v>40.278787977293874</v>
      </c>
    </row>
    <row r="100" spans="1:11" ht="33" customHeight="1">
      <c r="A100" s="142" t="s">
        <v>224</v>
      </c>
      <c r="B100" s="143" t="s">
        <v>225</v>
      </c>
      <c r="C100" s="144">
        <v>33318.8</v>
      </c>
      <c r="D100" s="144">
        <v>5563.6</v>
      </c>
      <c r="E100" s="145">
        <f t="shared" si="4"/>
        <v>16.698080363038283</v>
      </c>
      <c r="F100" s="146"/>
      <c r="G100" s="146"/>
      <c r="H100" s="147"/>
      <c r="I100" s="148">
        <f t="shared" si="14"/>
        <v>33318.8</v>
      </c>
      <c r="J100" s="149">
        <f t="shared" si="14"/>
        <v>5563.6</v>
      </c>
      <c r="K100" s="150">
        <f t="shared" si="0"/>
        <v>16.698080363038283</v>
      </c>
    </row>
    <row r="101" spans="1:11" ht="38.25" customHeight="1">
      <c r="A101" s="142" t="s">
        <v>226</v>
      </c>
      <c r="B101" s="143" t="s">
        <v>227</v>
      </c>
      <c r="C101" s="144">
        <v>58473.9</v>
      </c>
      <c r="D101" s="144">
        <v>18693.1</v>
      </c>
      <c r="E101" s="145">
        <f t="shared" si="4"/>
        <v>31.9682798650338</v>
      </c>
      <c r="F101" s="146">
        <v>0</v>
      </c>
      <c r="G101" s="146"/>
      <c r="H101" s="147">
        <v>0</v>
      </c>
      <c r="I101" s="148">
        <f t="shared" si="14"/>
        <v>58473.9</v>
      </c>
      <c r="J101" s="149">
        <f t="shared" si="14"/>
        <v>18693.1</v>
      </c>
      <c r="K101" s="150">
        <f t="shared" si="0"/>
        <v>31.9682798650338</v>
      </c>
    </row>
    <row r="102" spans="1:11" ht="37.5" customHeight="1">
      <c r="A102" s="137" t="s">
        <v>228</v>
      </c>
      <c r="B102" s="138" t="s">
        <v>229</v>
      </c>
      <c r="C102" s="139">
        <f>SUM(C103:C106)</f>
        <v>85332.8</v>
      </c>
      <c r="D102" s="139">
        <f>SUM(D103:D106)</f>
        <v>25973.2</v>
      </c>
      <c r="E102" s="139">
        <f>D102/C102*100</f>
        <v>30.437533984587407</v>
      </c>
      <c r="F102" s="164">
        <f>SUM(F103:F106)</f>
        <v>120163.79999999999</v>
      </c>
      <c r="G102" s="164">
        <f>SUM(G103:G106)</f>
        <v>37843.5</v>
      </c>
      <c r="H102" s="140">
        <f>G102/F102*100</f>
        <v>31.493261697782533</v>
      </c>
      <c r="I102" s="164">
        <f>SUM(I103:I106)</f>
        <v>192802.1</v>
      </c>
      <c r="J102" s="164">
        <f>SUM(J103:J106)</f>
        <v>62271.899999999994</v>
      </c>
      <c r="K102" s="160">
        <f t="shared" si="0"/>
        <v>32.29835152210478</v>
      </c>
    </row>
    <row r="103" spans="1:11" ht="21.75" customHeight="1">
      <c r="A103" s="142" t="s">
        <v>230</v>
      </c>
      <c r="B103" s="143" t="s">
        <v>231</v>
      </c>
      <c r="C103" s="144">
        <v>78904.8</v>
      </c>
      <c r="D103" s="144">
        <v>23082.7</v>
      </c>
      <c r="E103" s="145">
        <f t="shared" si="4"/>
        <v>29.2538603481664</v>
      </c>
      <c r="F103" s="177">
        <v>119046.4</v>
      </c>
      <c r="G103" s="146">
        <v>37753.2</v>
      </c>
      <c r="H103" s="147">
        <f>G103/F103*100</f>
        <v>31.713012741250466</v>
      </c>
      <c r="I103" s="151">
        <f>C103+F103-11977.1</f>
        <v>185974.1</v>
      </c>
      <c r="J103" s="151">
        <f>D103+G103-1487.8</f>
        <v>59348.09999999999</v>
      </c>
      <c r="K103" s="150">
        <f t="shared" si="0"/>
        <v>31.912024308761268</v>
      </c>
    </row>
    <row r="104" spans="1:11" ht="51.75" customHeight="1">
      <c r="A104" s="178" t="s">
        <v>230</v>
      </c>
      <c r="B104" s="179" t="s">
        <v>232</v>
      </c>
      <c r="C104" s="144">
        <f>1095.8+193.4</f>
        <v>1289.2</v>
      </c>
      <c r="D104" s="144">
        <v>156.6</v>
      </c>
      <c r="E104" s="145">
        <f t="shared" si="4"/>
        <v>12.14706794911573</v>
      </c>
      <c r="F104" s="146">
        <v>124.5</v>
      </c>
      <c r="G104" s="146"/>
      <c r="H104" s="147">
        <f>G104/F104*100</f>
        <v>0</v>
      </c>
      <c r="I104" s="151">
        <f>C104+F104-124.5</f>
        <v>1289.2</v>
      </c>
      <c r="J104" s="151">
        <f>D104+G104</f>
        <v>156.6</v>
      </c>
      <c r="K104" s="150">
        <f>J104/I104*100</f>
        <v>12.14706794911573</v>
      </c>
    </row>
    <row r="105" spans="1:11" ht="23.25" customHeight="1">
      <c r="A105" s="142" t="s">
        <v>233</v>
      </c>
      <c r="B105" s="143" t="s">
        <v>234</v>
      </c>
      <c r="C105" s="144">
        <v>150</v>
      </c>
      <c r="D105" s="144">
        <v>64</v>
      </c>
      <c r="E105" s="145">
        <f t="shared" si="4"/>
        <v>42.66666666666667</v>
      </c>
      <c r="F105" s="146">
        <v>400</v>
      </c>
      <c r="G105" s="146">
        <v>33.3</v>
      </c>
      <c r="H105" s="147">
        <f>G105/F105*100</f>
        <v>8.325</v>
      </c>
      <c r="I105" s="148">
        <f>C105+F105</f>
        <v>550</v>
      </c>
      <c r="J105" s="149">
        <f>D105+G105</f>
        <v>97.3</v>
      </c>
      <c r="K105" s="150">
        <f aca="true" t="shared" si="15" ref="K105:K131">J105/I105*100</f>
        <v>17.69090909090909</v>
      </c>
    </row>
    <row r="106" spans="1:11" ht="41.25" customHeight="1">
      <c r="A106" s="142" t="s">
        <v>235</v>
      </c>
      <c r="B106" s="143" t="s">
        <v>236</v>
      </c>
      <c r="C106" s="144">
        <v>4988.8</v>
      </c>
      <c r="D106" s="144">
        <v>2669.9</v>
      </c>
      <c r="E106" s="145">
        <f t="shared" si="4"/>
        <v>53.51788005131495</v>
      </c>
      <c r="F106" s="146">
        <v>592.9</v>
      </c>
      <c r="G106" s="146">
        <v>57</v>
      </c>
      <c r="H106" s="147">
        <f>G106/F106*100</f>
        <v>9.613762860516108</v>
      </c>
      <c r="I106" s="151">
        <f>C106+F106-592.9</f>
        <v>4988.8</v>
      </c>
      <c r="J106" s="151">
        <f>D106+G106-57</f>
        <v>2669.9</v>
      </c>
      <c r="K106" s="150">
        <f t="shared" si="15"/>
        <v>53.51788005131495</v>
      </c>
    </row>
    <row r="107" spans="1:11" ht="23.25" customHeight="1">
      <c r="A107" s="137" t="s">
        <v>237</v>
      </c>
      <c r="B107" s="138" t="s">
        <v>238</v>
      </c>
      <c r="C107" s="139">
        <f>SUM(C108:C109)</f>
        <v>26140.5</v>
      </c>
      <c r="D107" s="139">
        <f>SUM(D108:D109)</f>
        <v>1458.6</v>
      </c>
      <c r="E107" s="139">
        <f>SUM(E109:E109)</f>
        <v>0</v>
      </c>
      <c r="F107" s="164">
        <v>0</v>
      </c>
      <c r="G107" s="164">
        <v>0</v>
      </c>
      <c r="H107" s="140"/>
      <c r="I107" s="164">
        <f>C107+F107</f>
        <v>26140.5</v>
      </c>
      <c r="J107" s="164">
        <f aca="true" t="shared" si="16" ref="I107:J118">D107+G107</f>
        <v>1458.6</v>
      </c>
      <c r="K107" s="141">
        <f t="shared" si="15"/>
        <v>5.579847363286854</v>
      </c>
    </row>
    <row r="108" spans="1:11" ht="79.5" customHeight="1">
      <c r="A108" s="153" t="s">
        <v>239</v>
      </c>
      <c r="B108" s="179" t="s">
        <v>240</v>
      </c>
      <c r="C108" s="144">
        <v>23832.8</v>
      </c>
      <c r="D108" s="144">
        <v>1458.6</v>
      </c>
      <c r="E108" s="145">
        <f t="shared" si="4"/>
        <v>6.120136954113659</v>
      </c>
      <c r="F108" s="149"/>
      <c r="G108" s="149"/>
      <c r="H108" s="146"/>
      <c r="I108" s="148">
        <f t="shared" si="16"/>
        <v>23832.8</v>
      </c>
      <c r="J108" s="149">
        <f t="shared" si="16"/>
        <v>1458.6</v>
      </c>
      <c r="K108" s="150">
        <f t="shared" si="15"/>
        <v>6.120136954113659</v>
      </c>
    </row>
    <row r="109" spans="1:11" ht="62.25" customHeight="1">
      <c r="A109" s="153" t="s">
        <v>239</v>
      </c>
      <c r="B109" s="179" t="s">
        <v>241</v>
      </c>
      <c r="C109" s="144">
        <v>2307.7</v>
      </c>
      <c r="D109" s="146"/>
      <c r="E109" s="145">
        <f t="shared" si="4"/>
        <v>0</v>
      </c>
      <c r="F109" s="146"/>
      <c r="G109" s="146"/>
      <c r="H109" s="147"/>
      <c r="I109" s="148">
        <f t="shared" si="16"/>
        <v>2307.7</v>
      </c>
      <c r="J109" s="149">
        <f t="shared" si="16"/>
        <v>0</v>
      </c>
      <c r="K109" s="150">
        <f t="shared" si="15"/>
        <v>0</v>
      </c>
    </row>
    <row r="110" spans="1:11" ht="20.25" customHeight="1">
      <c r="A110" s="137">
        <v>10</v>
      </c>
      <c r="B110" s="138" t="s">
        <v>242</v>
      </c>
      <c r="C110" s="139">
        <f>SUM(C111:C118)</f>
        <v>155934</v>
      </c>
      <c r="D110" s="139">
        <f>SUM(D111:D118)</f>
        <v>27868.7</v>
      </c>
      <c r="E110" s="139">
        <f>D110/C110*100</f>
        <v>17.87211256044224</v>
      </c>
      <c r="F110" s="139">
        <f>SUM(F111:F118)</f>
        <v>860.4</v>
      </c>
      <c r="G110" s="139">
        <f>SUM(G111:G118)</f>
        <v>265.4</v>
      </c>
      <c r="H110" s="140">
        <f>G110/F110*100</f>
        <v>30.846118084611806</v>
      </c>
      <c r="I110" s="139">
        <f>SUM(I111:I118)</f>
        <v>156794.4</v>
      </c>
      <c r="J110" s="139">
        <f>SUM(J111:J118)</f>
        <v>28134.1</v>
      </c>
      <c r="K110" s="141">
        <f t="shared" si="15"/>
        <v>17.94330664870684</v>
      </c>
    </row>
    <row r="111" spans="1:11" ht="25.5" customHeight="1">
      <c r="A111" s="153">
        <v>1001</v>
      </c>
      <c r="B111" s="143" t="s">
        <v>243</v>
      </c>
      <c r="C111" s="144">
        <v>4627.3</v>
      </c>
      <c r="D111" s="144">
        <v>1527.2</v>
      </c>
      <c r="E111" s="145">
        <f t="shared" si="4"/>
        <v>33.00412767704709</v>
      </c>
      <c r="F111" s="146">
        <v>860.4</v>
      </c>
      <c r="G111" s="146">
        <v>265.4</v>
      </c>
      <c r="H111" s="147">
        <f>G111/F111*100</f>
        <v>30.846118084611806</v>
      </c>
      <c r="I111" s="148">
        <f>C111+F111</f>
        <v>5487.7</v>
      </c>
      <c r="J111" s="149">
        <f t="shared" si="16"/>
        <v>1792.6</v>
      </c>
      <c r="K111" s="150">
        <f t="shared" si="15"/>
        <v>32.66577983490351</v>
      </c>
    </row>
    <row r="112" spans="1:11" ht="97.5" customHeight="1">
      <c r="A112" s="153">
        <v>1003</v>
      </c>
      <c r="B112" s="179" t="s">
        <v>244</v>
      </c>
      <c r="C112" s="144">
        <v>2890</v>
      </c>
      <c r="D112" s="144"/>
      <c r="E112" s="145">
        <f t="shared" si="4"/>
        <v>0</v>
      </c>
      <c r="F112" s="146">
        <v>0</v>
      </c>
      <c r="G112" s="146">
        <v>0</v>
      </c>
      <c r="H112" s="147">
        <v>0</v>
      </c>
      <c r="I112" s="148">
        <f t="shared" si="16"/>
        <v>2890</v>
      </c>
      <c r="J112" s="149">
        <f t="shared" si="16"/>
        <v>0</v>
      </c>
      <c r="K112" s="150">
        <f t="shared" si="15"/>
        <v>0</v>
      </c>
    </row>
    <row r="113" spans="1:11" ht="63.75" customHeight="1">
      <c r="A113" s="153" t="s">
        <v>245</v>
      </c>
      <c r="B113" s="143" t="s">
        <v>246</v>
      </c>
      <c r="C113" s="144"/>
      <c r="D113" s="144"/>
      <c r="E113" s="145" t="e">
        <f t="shared" si="4"/>
        <v>#DIV/0!</v>
      </c>
      <c r="F113" s="146"/>
      <c r="G113" s="146"/>
      <c r="H113" s="147"/>
      <c r="I113" s="148">
        <f t="shared" si="16"/>
        <v>0</v>
      </c>
      <c r="J113" s="149">
        <f t="shared" si="16"/>
        <v>0</v>
      </c>
      <c r="K113" s="150" t="e">
        <f t="shared" si="15"/>
        <v>#DIV/0!</v>
      </c>
    </row>
    <row r="114" spans="1:11" ht="117.75" customHeight="1">
      <c r="A114" s="153">
        <v>1004</v>
      </c>
      <c r="B114" s="143" t="s">
        <v>247</v>
      </c>
      <c r="C114" s="144">
        <v>22262</v>
      </c>
      <c r="D114" s="144">
        <v>5554.7</v>
      </c>
      <c r="E114" s="145">
        <f t="shared" si="4"/>
        <v>24.951486838558978</v>
      </c>
      <c r="F114" s="146">
        <v>0</v>
      </c>
      <c r="G114" s="146">
        <v>0</v>
      </c>
      <c r="H114" s="147">
        <v>0</v>
      </c>
      <c r="I114" s="148">
        <f t="shared" si="16"/>
        <v>22262</v>
      </c>
      <c r="J114" s="149">
        <f t="shared" si="16"/>
        <v>5554.7</v>
      </c>
      <c r="K114" s="150">
        <f t="shared" si="15"/>
        <v>24.951486838558978</v>
      </c>
    </row>
    <row r="115" spans="1:11" ht="206.25" customHeight="1">
      <c r="A115" s="153">
        <v>1004</v>
      </c>
      <c r="B115" s="143" t="s">
        <v>248</v>
      </c>
      <c r="C115" s="144">
        <v>77685.7</v>
      </c>
      <c r="D115" s="144">
        <v>16434.5</v>
      </c>
      <c r="E115" s="145">
        <f aca="true" t="shared" si="17" ref="E115:E130">D115/C115*100</f>
        <v>21.15511606383157</v>
      </c>
      <c r="F115" s="146">
        <v>0</v>
      </c>
      <c r="G115" s="146">
        <v>0</v>
      </c>
      <c r="H115" s="147">
        <v>0</v>
      </c>
      <c r="I115" s="148">
        <f t="shared" si="16"/>
        <v>77685.7</v>
      </c>
      <c r="J115" s="149">
        <f t="shared" si="16"/>
        <v>16434.5</v>
      </c>
      <c r="K115" s="150">
        <f t="shared" si="15"/>
        <v>21.15511606383157</v>
      </c>
    </row>
    <row r="116" spans="1:11" ht="208.5" customHeight="1">
      <c r="A116" s="153" t="s">
        <v>249</v>
      </c>
      <c r="B116" s="143" t="s">
        <v>250</v>
      </c>
      <c r="C116" s="144">
        <v>26516.5</v>
      </c>
      <c r="D116" s="144"/>
      <c r="E116" s="145">
        <f>D116/C116*100</f>
        <v>0</v>
      </c>
      <c r="F116" s="146">
        <v>0</v>
      </c>
      <c r="G116" s="146">
        <v>0</v>
      </c>
      <c r="H116" s="147">
        <v>0</v>
      </c>
      <c r="I116" s="148">
        <f t="shared" si="16"/>
        <v>26516.5</v>
      </c>
      <c r="J116" s="149">
        <f t="shared" si="16"/>
        <v>0</v>
      </c>
      <c r="K116" s="150">
        <f>J116/I116*100</f>
        <v>0</v>
      </c>
    </row>
    <row r="117" spans="1:11" ht="45" customHeight="1">
      <c r="A117" s="153" t="s">
        <v>249</v>
      </c>
      <c r="B117" s="143" t="s">
        <v>251</v>
      </c>
      <c r="C117" s="144">
        <v>1700.5</v>
      </c>
      <c r="D117" s="144"/>
      <c r="E117" s="145">
        <f>D117/C117*100</f>
        <v>0</v>
      </c>
      <c r="F117" s="146"/>
      <c r="G117" s="146"/>
      <c r="H117" s="147"/>
      <c r="I117" s="148">
        <f t="shared" si="16"/>
        <v>1700.5</v>
      </c>
      <c r="J117" s="149">
        <f t="shared" si="16"/>
        <v>0</v>
      </c>
      <c r="K117" s="150">
        <f>J117/I117*100</f>
        <v>0</v>
      </c>
    </row>
    <row r="118" spans="1:11" ht="45" customHeight="1">
      <c r="A118" s="153">
        <v>1006</v>
      </c>
      <c r="B118" s="143" t="s">
        <v>252</v>
      </c>
      <c r="C118" s="144">
        <v>20252</v>
      </c>
      <c r="D118" s="144">
        <v>4352.3</v>
      </c>
      <c r="E118" s="145">
        <f t="shared" si="17"/>
        <v>21.49071696622556</v>
      </c>
      <c r="F118" s="146"/>
      <c r="G118" s="146"/>
      <c r="H118" s="147" t="e">
        <f>G118/F118*100</f>
        <v>#DIV/0!</v>
      </c>
      <c r="I118" s="148">
        <f t="shared" si="16"/>
        <v>20252</v>
      </c>
      <c r="J118" s="149">
        <f t="shared" si="16"/>
        <v>4352.3</v>
      </c>
      <c r="K118" s="150">
        <f t="shared" si="15"/>
        <v>21.49071696622556</v>
      </c>
    </row>
    <row r="119" spans="1:11" ht="23.25" customHeight="1">
      <c r="A119" s="172">
        <v>1100</v>
      </c>
      <c r="B119" s="138" t="s">
        <v>253</v>
      </c>
      <c r="C119" s="139">
        <f>SUM(C120:C122)</f>
        <v>102191.4</v>
      </c>
      <c r="D119" s="139">
        <f>SUM(D120:D121)</f>
        <v>38950.7</v>
      </c>
      <c r="E119" s="139">
        <f>D119/C119*100</f>
        <v>38.11543828541345</v>
      </c>
      <c r="F119" s="164">
        <f>F120+F121</f>
        <v>30673.5</v>
      </c>
      <c r="G119" s="164">
        <f>G120+G121</f>
        <v>9384.2</v>
      </c>
      <c r="H119" s="140">
        <f>G119/F119*100</f>
        <v>30.59383506935955</v>
      </c>
      <c r="I119" s="164">
        <f>I120+I121+I122</f>
        <v>132660.5</v>
      </c>
      <c r="J119" s="164">
        <f>SUM(J120:J121)</f>
        <v>48319.299999999996</v>
      </c>
      <c r="K119" s="141">
        <f t="shared" si="15"/>
        <v>36.42327595629445</v>
      </c>
    </row>
    <row r="120" spans="1:11" ht="28.5" customHeight="1">
      <c r="A120" s="153">
        <v>1101</v>
      </c>
      <c r="B120" s="143" t="s">
        <v>254</v>
      </c>
      <c r="C120" s="144">
        <v>101519.9</v>
      </c>
      <c r="D120" s="144">
        <v>38950.7</v>
      </c>
      <c r="E120" s="145">
        <f t="shared" si="17"/>
        <v>38.367551583482644</v>
      </c>
      <c r="F120" s="146">
        <v>30673.5</v>
      </c>
      <c r="G120" s="146">
        <v>9384.2</v>
      </c>
      <c r="H120" s="147">
        <f>G120/F120*100</f>
        <v>30.59383506935955</v>
      </c>
      <c r="I120" s="151">
        <f>C120+F120-204.4</f>
        <v>131989</v>
      </c>
      <c r="J120" s="151">
        <f>D120+G120-15.6</f>
        <v>48319.299999999996</v>
      </c>
      <c r="K120" s="150">
        <f t="shared" si="15"/>
        <v>36.608581018115146</v>
      </c>
    </row>
    <row r="121" spans="1:11" ht="19.5" customHeight="1">
      <c r="A121" s="153">
        <v>1102</v>
      </c>
      <c r="B121" s="143" t="s">
        <v>255</v>
      </c>
      <c r="C121" s="144">
        <v>165</v>
      </c>
      <c r="D121" s="144"/>
      <c r="E121" s="145">
        <f t="shared" si="17"/>
        <v>0</v>
      </c>
      <c r="F121" s="146"/>
      <c r="G121" s="146">
        <v>0</v>
      </c>
      <c r="H121" s="147"/>
      <c r="I121" s="148">
        <f>C121+F121</f>
        <v>165</v>
      </c>
      <c r="J121" s="149">
        <f>D121+G121</f>
        <v>0</v>
      </c>
      <c r="K121" s="150">
        <f t="shared" si="15"/>
        <v>0</v>
      </c>
    </row>
    <row r="122" spans="1:11" ht="30" customHeight="1">
      <c r="A122" s="153" t="s">
        <v>256</v>
      </c>
      <c r="B122" s="143" t="s">
        <v>257</v>
      </c>
      <c r="C122" s="144">
        <v>506.5</v>
      </c>
      <c r="D122" s="144"/>
      <c r="E122" s="145">
        <f t="shared" si="17"/>
        <v>0</v>
      </c>
      <c r="F122" s="146"/>
      <c r="G122" s="146"/>
      <c r="H122" s="147"/>
      <c r="I122" s="148">
        <f>C122+F122</f>
        <v>506.5</v>
      </c>
      <c r="J122" s="149">
        <f>D122+G122</f>
        <v>0</v>
      </c>
      <c r="K122" s="150">
        <f t="shared" si="15"/>
        <v>0</v>
      </c>
    </row>
    <row r="123" spans="1:11" ht="33.75" customHeight="1">
      <c r="A123" s="172">
        <v>1200</v>
      </c>
      <c r="B123" s="138" t="s">
        <v>258</v>
      </c>
      <c r="C123" s="139">
        <f>SUM(C124:C124)</f>
        <v>6855</v>
      </c>
      <c r="D123" s="139">
        <f>SUM(D124:D124)</f>
        <v>2088.1</v>
      </c>
      <c r="E123" s="155">
        <f>D123/C123*100</f>
        <v>30.460977388767326</v>
      </c>
      <c r="F123" s="139"/>
      <c r="G123" s="139"/>
      <c r="H123" s="140"/>
      <c r="I123" s="139">
        <f aca="true" t="shared" si="18" ref="I123:J126">C123+F123</f>
        <v>6855</v>
      </c>
      <c r="J123" s="139">
        <f t="shared" si="18"/>
        <v>2088.1</v>
      </c>
      <c r="K123" s="156">
        <f t="shared" si="15"/>
        <v>30.460977388767326</v>
      </c>
    </row>
    <row r="124" spans="1:11" ht="24.75" customHeight="1">
      <c r="A124" s="153" t="s">
        <v>259</v>
      </c>
      <c r="B124" s="143" t="s">
        <v>260</v>
      </c>
      <c r="C124" s="144">
        <v>6855</v>
      </c>
      <c r="D124" s="144">
        <v>2088.1</v>
      </c>
      <c r="E124" s="145">
        <f>D124/C124*100</f>
        <v>30.460977388767326</v>
      </c>
      <c r="F124" s="146"/>
      <c r="G124" s="146"/>
      <c r="H124" s="147"/>
      <c r="I124" s="148">
        <f t="shared" si="18"/>
        <v>6855</v>
      </c>
      <c r="J124" s="149">
        <f t="shared" si="18"/>
        <v>2088.1</v>
      </c>
      <c r="K124" s="150">
        <f>J124/I124*100</f>
        <v>30.460977388767326</v>
      </c>
    </row>
    <row r="125" spans="1:11" ht="48" customHeight="1">
      <c r="A125" s="172">
        <v>1300</v>
      </c>
      <c r="B125" s="138" t="s">
        <v>261</v>
      </c>
      <c r="C125" s="139">
        <f aca="true" t="shared" si="19" ref="C125:H125">C126</f>
        <v>30</v>
      </c>
      <c r="D125" s="139">
        <f t="shared" si="19"/>
        <v>5.3</v>
      </c>
      <c r="E125" s="139">
        <f t="shared" si="19"/>
        <v>17.666666666666668</v>
      </c>
      <c r="F125" s="139">
        <f t="shared" si="19"/>
        <v>0</v>
      </c>
      <c r="G125" s="139">
        <f t="shared" si="19"/>
        <v>0</v>
      </c>
      <c r="H125" s="155">
        <f t="shared" si="19"/>
        <v>0</v>
      </c>
      <c r="I125" s="139">
        <f t="shared" si="18"/>
        <v>30</v>
      </c>
      <c r="J125" s="139">
        <f t="shared" si="18"/>
        <v>5.3</v>
      </c>
      <c r="K125" s="156">
        <f t="shared" si="15"/>
        <v>17.666666666666668</v>
      </c>
    </row>
    <row r="126" spans="1:11" ht="33.75" customHeight="1">
      <c r="A126" s="153">
        <v>1301</v>
      </c>
      <c r="B126" s="143" t="s">
        <v>262</v>
      </c>
      <c r="C126" s="144">
        <v>30</v>
      </c>
      <c r="D126" s="144">
        <v>5.3</v>
      </c>
      <c r="E126" s="145">
        <f t="shared" si="17"/>
        <v>17.666666666666668</v>
      </c>
      <c r="F126" s="146"/>
      <c r="G126" s="146">
        <v>0</v>
      </c>
      <c r="H126" s="147">
        <v>0</v>
      </c>
      <c r="I126" s="139">
        <f t="shared" si="18"/>
        <v>30</v>
      </c>
      <c r="J126" s="149">
        <f t="shared" si="18"/>
        <v>5.3</v>
      </c>
      <c r="K126" s="150">
        <f t="shared" si="15"/>
        <v>17.666666666666668</v>
      </c>
    </row>
    <row r="127" spans="1:11" ht="27.75" customHeight="1">
      <c r="A127" s="172">
        <v>1400</v>
      </c>
      <c r="B127" s="138" t="s">
        <v>263</v>
      </c>
      <c r="C127" s="139">
        <f>SUM(C128:C130)</f>
        <v>293253.3</v>
      </c>
      <c r="D127" s="139">
        <f>SUM(D128:D130)</f>
        <v>104148.9</v>
      </c>
      <c r="E127" s="139">
        <f>D127/C127*100</f>
        <v>35.51499676218477</v>
      </c>
      <c r="F127" s="164">
        <f>F128+F129+F130</f>
        <v>0</v>
      </c>
      <c r="G127" s="164">
        <f>SUM(G128:G130)</f>
        <v>0</v>
      </c>
      <c r="H127" s="164"/>
      <c r="I127" s="139"/>
      <c r="J127" s="164">
        <v>0</v>
      </c>
      <c r="K127" s="141">
        <v>0</v>
      </c>
    </row>
    <row r="128" spans="1:11" ht="51.75" customHeight="1">
      <c r="A128" s="153">
        <v>1401</v>
      </c>
      <c r="B128" s="143" t="s">
        <v>264</v>
      </c>
      <c r="C128" s="144">
        <v>133766.4</v>
      </c>
      <c r="D128" s="144">
        <v>40129.9</v>
      </c>
      <c r="E128" s="145">
        <f t="shared" si="17"/>
        <v>29.999985048562273</v>
      </c>
      <c r="F128" s="146">
        <v>0</v>
      </c>
      <c r="G128" s="146">
        <v>0</v>
      </c>
      <c r="H128" s="147">
        <v>0</v>
      </c>
      <c r="I128" s="139">
        <f>C128+F128-133766.4</f>
        <v>0</v>
      </c>
      <c r="J128" s="151">
        <f>D128+G128-40129.9</f>
        <v>0</v>
      </c>
      <c r="K128" s="150">
        <v>0</v>
      </c>
    </row>
    <row r="129" spans="1:11" ht="30">
      <c r="A129" s="153">
        <v>1402</v>
      </c>
      <c r="B129" s="143" t="s">
        <v>265</v>
      </c>
      <c r="C129" s="144">
        <v>158586.9</v>
      </c>
      <c r="D129" s="144">
        <v>64019</v>
      </c>
      <c r="E129" s="145">
        <f t="shared" si="17"/>
        <v>40.3684036953872</v>
      </c>
      <c r="F129" s="146">
        <v>0</v>
      </c>
      <c r="G129" s="146">
        <v>0</v>
      </c>
      <c r="H129" s="147">
        <v>0</v>
      </c>
      <c r="I129" s="139">
        <f>C129+F129-158586.9</f>
        <v>0</v>
      </c>
      <c r="J129" s="151">
        <f>D129+G129-64019</f>
        <v>0</v>
      </c>
      <c r="K129" s="150">
        <v>0</v>
      </c>
    </row>
    <row r="130" spans="1:11" ht="75">
      <c r="A130" s="153">
        <v>1403</v>
      </c>
      <c r="B130" s="143" t="s">
        <v>266</v>
      </c>
      <c r="C130" s="144">
        <v>900</v>
      </c>
      <c r="D130" s="144"/>
      <c r="E130" s="145">
        <f t="shared" si="17"/>
        <v>0</v>
      </c>
      <c r="F130" s="146">
        <v>0</v>
      </c>
      <c r="G130" s="146">
        <v>0</v>
      </c>
      <c r="H130" s="147">
        <v>0</v>
      </c>
      <c r="I130" s="139">
        <f>C130+F130-900</f>
        <v>0</v>
      </c>
      <c r="J130" s="151">
        <f>D130+G130</f>
        <v>0</v>
      </c>
      <c r="K130" s="150">
        <v>0</v>
      </c>
    </row>
    <row r="131" spans="1:11" ht="15" thickBot="1">
      <c r="A131" s="180" t="s">
        <v>267</v>
      </c>
      <c r="B131" s="181"/>
      <c r="C131" s="182">
        <f>C9+C18+C20+C25+C50+C89+C91+C102+C107+C110+C119+C123+C125+C127</f>
        <v>4709679.3</v>
      </c>
      <c r="D131" s="182">
        <f>D127+D125+D123+D119+D110+D107+D102+D91+D89+D50+D25+D20+D18+D9</f>
        <v>1295539.1</v>
      </c>
      <c r="E131" s="182">
        <f>D131/C131*100</f>
        <v>27.508011001938076</v>
      </c>
      <c r="F131" s="182">
        <f>F9+F18+F20+F25+F50+F89+F91+F102+F107+F110+F119+F123+F125+F127</f>
        <v>760806.9999999999</v>
      </c>
      <c r="G131" s="182">
        <f>G127+G125+G123+G110+G107+G102+G91+G50+G25+G21+G18+G9+G20+G119+G89</f>
        <v>182973.1</v>
      </c>
      <c r="H131" s="183">
        <f>G131/F131*100</f>
        <v>24.049870729370266</v>
      </c>
      <c r="I131" s="182">
        <f>I127+I125+I123+I119+I110+I107+I102+I91+I89+I50+I25+I20+I18+I9</f>
        <v>4923209.499999999</v>
      </c>
      <c r="J131" s="182">
        <f>J127+J125+J123+J119+J110+J107+J102+J91+J89+J50+J25+J20+J18+J9</f>
        <v>1353191.9000000001</v>
      </c>
      <c r="K131" s="184">
        <f t="shared" si="15"/>
        <v>27.485970280159727</v>
      </c>
    </row>
    <row r="132" spans="1:11" ht="12.75">
      <c r="A132" s="185"/>
      <c r="B132" s="186"/>
      <c r="C132" s="187"/>
      <c r="D132" s="109"/>
      <c r="E132" s="188"/>
      <c r="F132" s="111"/>
      <c r="G132" s="111"/>
      <c r="H132" s="112"/>
      <c r="I132" s="114"/>
      <c r="J132" s="114"/>
      <c r="K132" s="115"/>
    </row>
    <row r="133" spans="1:11" ht="12.75">
      <c r="A133" s="189"/>
      <c r="B133" s="190"/>
      <c r="C133" s="191"/>
      <c r="D133" s="191"/>
      <c r="E133" s="192"/>
      <c r="F133" s="191"/>
      <c r="G133" s="191"/>
      <c r="H133" s="192"/>
      <c r="I133" s="192"/>
      <c r="J133" s="192"/>
      <c r="K133" s="192"/>
    </row>
    <row r="134" spans="1:11" ht="12.75">
      <c r="A134" s="189"/>
      <c r="B134" s="190"/>
      <c r="C134" s="193"/>
      <c r="D134" s="193"/>
      <c r="E134" s="188"/>
      <c r="F134" s="111"/>
      <c r="G134" s="111"/>
      <c r="H134" s="112"/>
      <c r="I134" s="113"/>
      <c r="J134" s="114"/>
      <c r="K134" s="115"/>
    </row>
    <row r="135" spans="1:11" ht="12.75">
      <c r="A135" s="194" t="s">
        <v>268</v>
      </c>
      <c r="B135" s="194"/>
      <c r="C135" s="194"/>
      <c r="D135" s="195"/>
      <c r="E135" s="196"/>
      <c r="F135" s="195"/>
      <c r="G135" s="111"/>
      <c r="H135" s="112"/>
      <c r="I135" s="115"/>
      <c r="J135" s="114"/>
      <c r="K135" s="115"/>
    </row>
    <row r="136" spans="1:11" ht="12.75">
      <c r="A136" s="194" t="s">
        <v>269</v>
      </c>
      <c r="B136" s="194"/>
      <c r="C136" s="194"/>
      <c r="D136" s="197"/>
      <c r="E136" s="198" t="s">
        <v>270</v>
      </c>
      <c r="F136" s="198"/>
      <c r="G136" s="111"/>
      <c r="H136" s="112"/>
      <c r="I136" s="113"/>
      <c r="J136" s="114"/>
      <c r="K136" s="115"/>
    </row>
    <row r="137" spans="1:11" ht="12.75">
      <c r="A137" s="199"/>
      <c r="B137" s="200"/>
      <c r="C137" s="201"/>
      <c r="D137" s="202"/>
      <c r="E137" s="203"/>
      <c r="F137" s="204"/>
      <c r="G137" s="111"/>
      <c r="H137" s="112"/>
      <c r="I137" s="113"/>
      <c r="J137" s="114"/>
      <c r="K137" s="115"/>
    </row>
    <row r="138" spans="1:11" ht="12.75">
      <c r="A138" s="194" t="s">
        <v>271</v>
      </c>
      <c r="B138" s="194"/>
      <c r="C138" s="194"/>
      <c r="D138" s="205"/>
      <c r="E138" s="198" t="s">
        <v>272</v>
      </c>
      <c r="F138" s="198"/>
      <c r="G138" s="111"/>
      <c r="H138" s="112"/>
      <c r="I138" s="113"/>
      <c r="J138" s="114"/>
      <c r="K138" s="115"/>
    </row>
    <row r="139" spans="1:11" ht="12.75">
      <c r="A139" s="199"/>
      <c r="B139" s="206"/>
      <c r="C139" s="207"/>
      <c r="D139" s="208"/>
      <c r="E139" s="203"/>
      <c r="F139" s="204"/>
      <c r="G139" s="111"/>
      <c r="H139" s="112"/>
      <c r="I139" s="113"/>
      <c r="J139" s="114"/>
      <c r="K139" s="115"/>
    </row>
    <row r="140" spans="1:11" ht="12.75">
      <c r="A140" s="194" t="s">
        <v>273</v>
      </c>
      <c r="B140" s="194"/>
      <c r="C140" s="194"/>
      <c r="D140" s="205"/>
      <c r="E140" s="198" t="s">
        <v>274</v>
      </c>
      <c r="F140" s="198"/>
      <c r="G140" s="111"/>
      <c r="H140" s="112"/>
      <c r="I140" s="113"/>
      <c r="J140" s="114"/>
      <c r="K140" s="115"/>
    </row>
    <row r="141" spans="1:11" ht="12.75">
      <c r="A141" s="209"/>
      <c r="B141" s="210"/>
      <c r="C141" s="211"/>
      <c r="D141" s="195"/>
      <c r="E141" s="212"/>
      <c r="F141" s="195"/>
      <c r="G141" s="111"/>
      <c r="H141" s="112"/>
      <c r="I141" s="115"/>
      <c r="J141" s="114"/>
      <c r="K141" s="115"/>
    </row>
    <row r="142" spans="1:10" ht="12.75">
      <c r="A142" s="213"/>
      <c r="B142" s="213"/>
      <c r="C142" s="214" t="s">
        <v>275</v>
      </c>
      <c r="D142" s="215"/>
      <c r="E142" s="216" t="s">
        <v>276</v>
      </c>
      <c r="F142" s="217"/>
      <c r="G142" s="218"/>
      <c r="I142" t="s">
        <v>277</v>
      </c>
      <c r="J142" s="218"/>
    </row>
  </sheetData>
  <sheetProtection/>
  <mergeCells count="35">
    <mergeCell ref="A135:C135"/>
    <mergeCell ref="A136:C136"/>
    <mergeCell ref="E136:F136"/>
    <mergeCell ref="A138:C138"/>
    <mergeCell ref="E138:F138"/>
    <mergeCell ref="A140:C140"/>
    <mergeCell ref="E140:F140"/>
    <mergeCell ref="G20:G21"/>
    <mergeCell ref="H20:H21"/>
    <mergeCell ref="I20:I21"/>
    <mergeCell ref="J20:J21"/>
    <mergeCell ref="K20:K21"/>
    <mergeCell ref="A131:B131"/>
    <mergeCell ref="A20:A21"/>
    <mergeCell ref="B20:B21"/>
    <mergeCell ref="C20:C21"/>
    <mergeCell ref="D20:D21"/>
    <mergeCell ref="E20:E21"/>
    <mergeCell ref="F20:F21"/>
    <mergeCell ref="G4:G5"/>
    <mergeCell ref="H4:H5"/>
    <mergeCell ref="I4:I5"/>
    <mergeCell ref="J4:J5"/>
    <mergeCell ref="K4:K5"/>
    <mergeCell ref="B6:K8"/>
    <mergeCell ref="A1:K1"/>
    <mergeCell ref="A3:A8"/>
    <mergeCell ref="B3:B5"/>
    <mergeCell ref="C3:E3"/>
    <mergeCell ref="F3:H3"/>
    <mergeCell ref="I3:K3"/>
    <mergeCell ref="C4:C5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Бучельникова</cp:lastModifiedBy>
  <cp:lastPrinted>2020-04-07T07:52:12Z</cp:lastPrinted>
  <dcterms:created xsi:type="dcterms:W3CDTF">2006-05-12T06:58:42Z</dcterms:created>
  <dcterms:modified xsi:type="dcterms:W3CDTF">2020-05-28T05:27:20Z</dcterms:modified>
  <cp:category/>
  <cp:version/>
  <cp:contentType/>
  <cp:contentStatus/>
</cp:coreProperties>
</file>