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доходы" sheetId="1" r:id="rId1"/>
    <sheet name="расходы" sheetId="2" r:id="rId2"/>
  </sheets>
  <definedNames>
    <definedName name="_xlnm.Print_Titles" localSheetId="0">'доходы'!$5:$7</definedName>
    <definedName name="_xlnm.Print_Area" localSheetId="0">'доходы'!$A$1:$L$204</definedName>
  </definedNames>
  <calcPr fullCalcOnLoad="1"/>
</workbook>
</file>

<file path=xl/comments2.xml><?xml version="1.0" encoding="utf-8"?>
<comments xmlns="http://schemas.openxmlformats.org/spreadsheetml/2006/main">
  <authors>
    <author>Наташа</author>
  </authors>
  <commentList>
    <comment ref="B5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4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5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<sst xmlns="http://schemas.openxmlformats.org/spreadsheetml/2006/main" count="628" uniqueCount="259">
  <si>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</si>
  <si>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</si>
  <si>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</si>
  <si>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</si>
  <si>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</si>
  <si>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</si>
  <si>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</si>
  <si>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</si>
  <si>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</si>
  <si>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</si>
  <si>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</si>
  <si>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</si>
  <si>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</si>
  <si>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</si>
  <si>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</si>
  <si>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</si>
  <si>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</si>
  <si>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</si>
  <si>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</si>
  <si>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</si>
  <si>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</si>
  <si>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00020200000000000151</t>
  </si>
  <si>
    <t>Государственная пошлина</t>
  </si>
  <si>
    <t>3 кв.</t>
  </si>
  <si>
    <t>4 кв.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</si>
  <si>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</si>
  <si>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</si>
  <si>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</si>
  <si>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</si>
  <si>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</si>
  <si>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</si>
  <si>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</si>
  <si>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</si>
  <si>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</si>
  <si>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</si>
  <si>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</si>
  <si>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</si>
  <si>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</si>
  <si>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</si>
  <si>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</si>
  <si>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План</t>
  </si>
  <si>
    <t>% исп-ия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</si>
  <si>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</si>
  <si>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</si>
  <si>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</si>
  <si>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</si>
  <si>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</si>
  <si>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</si>
  <si>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</si>
  <si>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</si>
  <si>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</si>
  <si>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</si>
  <si>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Исп-ие на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</si>
  <si>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</si>
  <si>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</si>
  <si>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</si>
  <si>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</si>
  <si>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</si>
  <si>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</si>
  <si>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</si>
  <si>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</si>
  <si>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</si>
  <si>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</si>
  <si>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</si>
  <si>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</si>
  <si>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1 кв.</t>
  </si>
  <si>
    <t>2кв.</t>
  </si>
  <si>
    <t>00011800000000000000</t>
  </si>
  <si>
    <t>Возврат остатков субсидий и субвенций прошлых лет из бюджетов поселений</t>
  </si>
  <si>
    <t>00011500000000000000</t>
  </si>
  <si>
    <t>Административные платежи и сборы</t>
  </si>
  <si>
    <t>2012</t>
  </si>
  <si>
    <t>00021900000000000180</t>
  </si>
  <si>
    <t>Возврат остатков субсидий, субвенций и иных межбюджетных трансфертов, имеющих целевое назначение, прошлых лет</t>
  </si>
  <si>
    <t>(тыс.руб.)</t>
  </si>
  <si>
    <t>НАЛОГОВЫЕ И НЕНАЛОГОВЫЕ ДОХОДЫ</t>
  </si>
  <si>
    <t>ККР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</si>
  <si>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</si>
  <si>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</si>
  <si>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</si>
  <si>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</si>
  <si>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</si>
  <si>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</si>
  <si>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</si>
  <si>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</si>
  <si>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</si>
  <si>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</si>
  <si>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</si>
  <si>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</si>
  <si>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</si>
  <si>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</si>
  <si>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</si>
  <si>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</si>
  <si>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</si>
  <si>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</si>
  <si>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</si>
  <si>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</si>
  <si>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</si>
  <si>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</si>
  <si>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</si>
  <si>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</si>
  <si>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</si>
  <si>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</si>
  <si>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</si>
  <si>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</si>
  <si>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правохранительная деятельность</t>
  </si>
  <si>
    <t>0304</t>
  </si>
  <si>
    <t>ЗАГС (0013801, ,0013802)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</si>
  <si>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</si>
  <si>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</si>
  <si>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</si>
  <si>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</si>
  <si>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</si>
  <si>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</si>
  <si>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</si>
  <si>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Программа "Содействие занятости населения 2011-2013 годы"</t>
  </si>
  <si>
    <t>0405</t>
  </si>
  <si>
    <t>Сельское хозяйство и рыболовство</t>
  </si>
  <si>
    <t>0408</t>
  </si>
  <si>
    <t>Воздушный транспорт (3000240)</t>
  </si>
  <si>
    <t>Автомобильный транспорт (3170110)</t>
  </si>
  <si>
    <t>Водный транспорт (3010320)</t>
  </si>
  <si>
    <t>0409</t>
  </si>
  <si>
    <t>Дорожное хозяйство (5226105)</t>
  </si>
  <si>
    <t>0410</t>
  </si>
  <si>
    <t>Связь и информатика</t>
  </si>
  <si>
    <t>0412</t>
  </si>
  <si>
    <t>Земельные  ресурсы (3400300)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</si>
  <si>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</si>
  <si>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Программа "Развитие малого и среднего предпринимательства в ХМАО-Югре" (5220400)</t>
  </si>
  <si>
    <t>Осуществление полномочий по государственному управлению охраной труда тс. 01.30.39</t>
  </si>
  <si>
    <t>05</t>
  </si>
  <si>
    <t>Жилищно-коммунальное хозяйство</t>
  </si>
  <si>
    <t>0501</t>
  </si>
  <si>
    <t>Подпрограмма "Капремонт  жилого  фонда" (3500200)</t>
  </si>
  <si>
    <t>0502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</si>
  <si>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</si>
  <si>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</si>
  <si>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Мероприятия по подготовке  к  зиме (3510500)</t>
  </si>
  <si>
    <t>0503</t>
  </si>
  <si>
    <t>Прочие мероприятия по благоустройству городских округов и поселений (6000500, 6000400, 6000300, 6000100)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</si>
  <si>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</si>
  <si>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</si>
  <si>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</si>
  <si>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</si>
  <si>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</si>
  <si>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</si>
  <si>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</si>
  <si>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</si>
  <si>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</si>
  <si>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</si>
  <si>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Бесплатное питание (4219904)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</si>
  <si>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</si>
  <si>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</si>
  <si>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</si>
  <si>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</si>
  <si>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</si>
  <si>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</si>
  <si>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</si>
  <si>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</si>
  <si>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</si>
  <si>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</si>
  <si>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</si>
  <si>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</si>
  <si>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</si>
  <si>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</si>
  <si>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</si>
  <si>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</si>
  <si>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</si>
  <si>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</si>
  <si>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</si>
  <si>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</si>
  <si>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</si>
  <si>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</si>
  <si>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Социальная политика</t>
  </si>
  <si>
    <t>Пенсионное обеспечение</t>
  </si>
  <si>
    <t>Мероприятия в области социальной политики (5140100)</t>
  </si>
  <si>
    <t>Субвен.на обеспеч.жильем отдельных категорий граждан (ветераны, инвалиды 5053401,5053402)</t>
  </si>
  <si>
    <t>Субвенция на  бесплатное изготовление и ремонт зубных протезов (5058005)</t>
  </si>
  <si>
    <t>Субвенция на обеспечение бесплатными молочными продуктами питания детей до 3-х лет (5055409)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</si>
  <si>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</si>
  <si>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Материальное обеспечение патронатной семьи (5201300, 5201301)</t>
  </si>
  <si>
    <t>1004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</si>
  <si>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</si>
  <si>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</si>
  <si>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</si>
  <si>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</si>
  <si>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</si>
  <si>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</si>
  <si>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</si>
  <si>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</si>
  <si>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</si>
  <si>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</si>
  <si>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</si>
  <si>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</si>
  <si>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</si>
  <si>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</si>
  <si>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</si>
  <si>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Заворотынская Н.А.</t>
  </si>
  <si>
    <t>Дорожное хозяйство (3150100)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</si>
  <si>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</si>
  <si>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</si>
  <si>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</si>
  <si>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</si>
  <si>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</si>
  <si>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</si>
  <si>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</si>
  <si>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Программа "Утилизация отходов на территории муниципального образования Октябрьский район" на 2011-2021 годы тс 01.03.35</t>
  </si>
  <si>
    <t>Содержание и строительство автомобильных дорог (6000200, 5226105)</t>
  </si>
  <si>
    <t>Субсидии на реализацию мероприятий подпрограммы "Обеспечение комплексной безопасности и комфортных условий образовательного процесса" на 2010-2013 годы тс 01.40.24</t>
  </si>
  <si>
    <t xml:space="preserve">Бюджетные инвестиции в объекты капитального строительства государственной собственности субъектов РФ </t>
  </si>
  <si>
    <t>Выплата единовременного пособия при всех формах устройства детей, лишенных родительского попечения, в семью (5050502)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</si>
  <si>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</si>
  <si>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</si>
  <si>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</si>
  <si>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01.40.50, 01.00.00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</si>
  <si>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</si>
  <si>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0505</t>
  </si>
  <si>
    <t>Другие вопросы в области жилищно-коммунального хозяйства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</si>
  <si>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01.60.00</t>
  </si>
  <si>
    <t>Подпрограмма "Библиотечное дело" 5222806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</si>
  <si>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</si>
  <si>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</si>
  <si>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"Развитие  малого и среднего предпринимательства  в Октябрьском  районе"  на 2011-2013 годы (7950400) тс 01.03.20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</si>
  <si>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</si>
  <si>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</si>
  <si>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</si>
  <si>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</si>
  <si>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</si>
  <si>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</si>
  <si>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</si>
  <si>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</si>
  <si>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</si>
  <si>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 "Новая школа Югры"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7955600 мб, 310</t>
  </si>
  <si>
    <t>Программа "Наша новая школа" на 2011-2013гг. 7955600 тс 01.03.36</t>
  </si>
  <si>
    <t>Программа "Культура Октябрьского района на 2010-2012 гг." 7952800 тс 01.03.14</t>
  </si>
  <si>
    <t>Программа "Культура Октябрьского района на 2010-2012 гг" 7952800</t>
  </si>
  <si>
    <t>Заведующий  отделом учета  исполнения  бюджета</t>
  </si>
  <si>
    <t>на 9 месяцев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</si>
  <si>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</si>
  <si>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 xml:space="preserve"> "Наш дом" субсидии на благоустройство дворовых территорий многоквартирных домов (5227000)</t>
  </si>
  <si>
    <t>Программа "Наш дом" на 2011-2015 годы на капитальный ремонт многоквартирных домов (5227000)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</si>
  <si>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</si>
  <si>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</si>
  <si>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</si>
  <si>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</si>
  <si>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</si>
  <si>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>Отчет об исполнении консолидированного бюджета Октябрьского района по состоянию на 01.11.2012</t>
  </si>
  <si>
    <t>Первонач.</t>
  </si>
  <si>
    <t>Уточненный</t>
  </si>
  <si>
    <t>план</t>
  </si>
  <si>
    <t xml:space="preserve">план </t>
  </si>
  <si>
    <t>от первонач.</t>
  </si>
  <si>
    <t>от уточн.плана</t>
  </si>
  <si>
    <t>плана 2012</t>
  </si>
  <si>
    <t>исполнение на 01.11.2012</t>
  </si>
  <si>
    <t>исполнения на 01.11.2012</t>
  </si>
  <si>
    <t>Программа "Энергосбережения и повышения энергоэффективности в ХМАО-Югре" на 2010-2013гг на период до 2015г. (5226300, 0923400, 7956300)</t>
  </si>
  <si>
    <t>____ ноября 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</si>
</sst>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56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b/>
      <sz val="11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color indexed="3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68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horizontal="right" vertical="top"/>
    </xf>
    <xf numFmtId="168" fontId="5" fillId="0" borderId="10" xfId="0" applyNumberFormat="1" applyFont="1" applyFill="1" applyBorder="1" applyAlignment="1">
      <alignment vertical="top"/>
    </xf>
    <xf numFmtId="168" fontId="5" fillId="0" borderId="16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68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49" fontId="1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vertical="top"/>
    </xf>
    <xf numFmtId="168" fontId="2" fillId="0" borderId="10" xfId="0" applyNumberFormat="1" applyFont="1" applyFill="1" applyBorder="1" applyAlignment="1">
      <alignment horizontal="right" vertical="top" wrapText="1"/>
    </xf>
    <xf numFmtId="168" fontId="4" fillId="0" borderId="13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168" fontId="1" fillId="0" borderId="14" xfId="0" applyNumberFormat="1" applyFont="1" applyFill="1" applyBorder="1" applyAlignment="1">
      <alignment horizontal="right" vertical="top" wrapText="1"/>
    </xf>
    <xf numFmtId="49" fontId="5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171" fontId="11" fillId="0" borderId="0" xfId="53" applyNumberFormat="1" applyFont="1" applyFill="1" applyBorder="1" applyAlignment="1">
      <alignment horizontal="center" vertical="center" wrapText="1"/>
      <protection/>
    </xf>
    <xf numFmtId="171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Fill="1" applyAlignment="1">
      <alignment horizontal="center" vertical="center" wrapText="1"/>
    </xf>
    <xf numFmtId="171" fontId="12" fillId="0" borderId="0" xfId="0" applyNumberFormat="1" applyFont="1" applyAlignment="1">
      <alignment horizontal="center" vertical="center" wrapText="1"/>
    </xf>
    <xf numFmtId="171" fontId="11" fillId="33" borderId="10" xfId="53" applyNumberFormat="1" applyFont="1" applyFill="1" applyBorder="1" applyAlignment="1">
      <alignment horizontal="center" vertical="center" wrapText="1"/>
      <protection/>
    </xf>
    <xf numFmtId="171" fontId="11" fillId="33" borderId="10" xfId="0" applyNumberFormat="1" applyFont="1" applyFill="1" applyBorder="1" applyAlignment="1">
      <alignment horizontal="center" vertical="center" wrapText="1"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Border="1" applyAlignment="1">
      <alignment horizontal="left" vertical="center" wrapText="1"/>
      <protection/>
    </xf>
    <xf numFmtId="171" fontId="54" fillId="0" borderId="0" xfId="53" applyNumberFormat="1" applyFont="1" applyFill="1" applyBorder="1" applyAlignment="1">
      <alignment horizontal="center" vertical="center" wrapText="1"/>
      <protection/>
    </xf>
    <xf numFmtId="171" fontId="12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171" fontId="54" fillId="0" borderId="0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Border="1" applyAlignment="1">
      <alignment horizontal="center" vertical="center" wrapText="1"/>
    </xf>
    <xf numFmtId="171" fontId="11" fillId="0" borderId="15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0" applyNumberFormat="1" applyFont="1" applyFill="1" applyAlignment="1">
      <alignment horizontal="left" vertical="center" wrapText="1"/>
    </xf>
    <xf numFmtId="171" fontId="11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1" fontId="54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171" fontId="55" fillId="33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71" fontId="12" fillId="33" borderId="17" xfId="0" applyNumberFormat="1" applyFont="1" applyFill="1" applyBorder="1" applyAlignment="1">
      <alignment horizontal="center" vertical="center" wrapText="1"/>
    </xf>
    <xf numFmtId="49" fontId="10" fillId="33" borderId="18" xfId="53" applyNumberFormat="1" applyFont="1" applyFill="1" applyBorder="1" applyAlignment="1" quotePrefix="1">
      <alignment horizontal="center" vertical="center" wrapText="1"/>
      <protection/>
    </xf>
    <xf numFmtId="0" fontId="10" fillId="33" borderId="10" xfId="53" applyNumberFormat="1" applyFont="1" applyFill="1" applyBorder="1" applyAlignment="1">
      <alignment horizontal="left" vertical="center" wrapText="1"/>
      <protection/>
    </xf>
    <xf numFmtId="171" fontId="12" fillId="33" borderId="10" xfId="0" applyNumberFormat="1" applyFont="1" applyFill="1" applyBorder="1" applyAlignment="1">
      <alignment horizontal="center" vertical="center" wrapText="1"/>
    </xf>
    <xf numFmtId="49" fontId="10" fillId="33" borderId="18" xfId="53" applyNumberFormat="1" applyFont="1" applyFill="1" applyBorder="1" applyAlignment="1">
      <alignment horizontal="center" vertical="center" wrapText="1"/>
      <protection/>
    </xf>
    <xf numFmtId="171" fontId="12" fillId="33" borderId="17" xfId="53" applyNumberFormat="1" applyFont="1" applyFill="1" applyBorder="1" applyAlignment="1">
      <alignment horizontal="center" vertical="center" wrapText="1"/>
      <protection/>
    </xf>
    <xf numFmtId="49" fontId="13" fillId="33" borderId="18" xfId="53" applyNumberFormat="1" applyFont="1" applyFill="1" applyBorder="1" applyAlignment="1" quotePrefix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left" vertical="center" wrapText="1"/>
      <protection/>
    </xf>
    <xf numFmtId="171" fontId="12" fillId="33" borderId="10" xfId="53" applyNumberFormat="1" applyFont="1" applyFill="1" applyBorder="1" applyAlignment="1">
      <alignment horizontal="center" vertical="center" wrapText="1"/>
      <protection/>
    </xf>
    <xf numFmtId="0" fontId="11" fillId="33" borderId="10" xfId="52" applyNumberFormat="1" applyFont="1" applyFill="1" applyBorder="1" applyAlignment="1" applyProtection="1">
      <alignment horizontal="left" vertical="center" wrapText="1"/>
      <protection hidden="1"/>
    </xf>
    <xf numFmtId="43" fontId="12" fillId="33" borderId="10" xfId="0" applyNumberFormat="1" applyFont="1" applyFill="1" applyBorder="1" applyAlignment="1">
      <alignment horizontal="center" vertical="center" wrapText="1"/>
    </xf>
    <xf numFmtId="49" fontId="13" fillId="33" borderId="18" xfId="53" applyNumberFormat="1" applyFont="1" applyFill="1" applyBorder="1" applyAlignment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49" fontId="11" fillId="33" borderId="18" xfId="53" applyNumberFormat="1" applyFont="1" applyFill="1" applyBorder="1" applyAlignment="1">
      <alignment horizontal="center" vertical="center" wrapText="1"/>
      <protection/>
    </xf>
    <xf numFmtId="0" fontId="11" fillId="33" borderId="10" xfId="53" applyNumberFormat="1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vertical="top" wrapText="1"/>
    </xf>
    <xf numFmtId="168" fontId="2" fillId="0" borderId="15" xfId="0" applyNumberFormat="1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vertical="top"/>
    </xf>
    <xf numFmtId="168" fontId="2" fillId="0" borderId="15" xfId="0" applyNumberFormat="1" applyFont="1" applyFill="1" applyBorder="1" applyAlignment="1">
      <alignment vertical="top" wrapText="1" shrinkToFit="1"/>
    </xf>
    <xf numFmtId="168" fontId="2" fillId="0" borderId="16" xfId="0" applyNumberFormat="1" applyFont="1" applyFill="1" applyBorder="1" applyAlignment="1">
      <alignment vertical="top" wrapText="1"/>
    </xf>
    <xf numFmtId="168" fontId="1" fillId="0" borderId="10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right" vertical="top" wrapText="1"/>
    </xf>
    <xf numFmtId="168" fontId="2" fillId="0" borderId="15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horizontal="right" vertical="top"/>
    </xf>
    <xf numFmtId="168" fontId="2" fillId="0" borderId="10" xfId="0" applyNumberFormat="1" applyFont="1" applyFill="1" applyBorder="1" applyAlignment="1">
      <alignment horizontal="right" vertical="top"/>
    </xf>
    <xf numFmtId="168" fontId="4" fillId="0" borderId="16" xfId="0" applyNumberFormat="1" applyFont="1" applyFill="1" applyBorder="1" applyAlignment="1">
      <alignment vertical="top"/>
    </xf>
    <xf numFmtId="49" fontId="10" fillId="33" borderId="0" xfId="53" applyNumberFormat="1" applyFont="1" applyFill="1" applyAlignment="1">
      <alignment horizontal="center" vertical="center" wrapText="1"/>
      <protection/>
    </xf>
    <xf numFmtId="0" fontId="10" fillId="33" borderId="0" xfId="53" applyNumberFormat="1" applyFont="1" applyFill="1" applyAlignment="1">
      <alignment horizontal="left" vertical="center" wrapText="1"/>
      <protection/>
    </xf>
    <xf numFmtId="171" fontId="54" fillId="33" borderId="0" xfId="53" applyNumberFormat="1" applyFont="1" applyFill="1" applyAlignment="1">
      <alignment horizontal="center" vertical="center" wrapText="1"/>
      <protection/>
    </xf>
    <xf numFmtId="171" fontId="11" fillId="33" borderId="0" xfId="53" applyNumberFormat="1" applyFont="1" applyFill="1" applyBorder="1" applyAlignment="1">
      <alignment horizontal="center" vertical="center" wrapText="1"/>
      <protection/>
    </xf>
    <xf numFmtId="171" fontId="11" fillId="33" borderId="0" xfId="53" applyNumberFormat="1" applyFont="1" applyFill="1" applyAlignment="1">
      <alignment horizontal="center" vertical="center" wrapText="1"/>
      <protection/>
    </xf>
    <xf numFmtId="171" fontId="11" fillId="33" borderId="0" xfId="0" applyNumberFormat="1" applyFont="1" applyFill="1" applyAlignment="1">
      <alignment horizontal="center" vertical="center" wrapText="1"/>
    </xf>
    <xf numFmtId="171" fontId="12" fillId="33" borderId="0" xfId="0" applyNumberFormat="1" applyFont="1" applyFill="1" applyAlignment="1">
      <alignment horizontal="center" vertical="center" wrapText="1"/>
    </xf>
    <xf numFmtId="171" fontId="12" fillId="33" borderId="22" xfId="53" applyNumberFormat="1" applyFont="1" applyFill="1" applyBorder="1" applyAlignment="1">
      <alignment horizontal="center" vertical="center" wrapText="1"/>
      <protection/>
    </xf>
    <xf numFmtId="171" fontId="12" fillId="33" borderId="22" xfId="0" applyNumberFormat="1" applyFont="1" applyFill="1" applyBorder="1" applyAlignment="1">
      <alignment horizontal="center" vertical="center" wrapText="1"/>
    </xf>
    <xf numFmtId="171" fontId="12" fillId="33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4" fontId="2" fillId="0" borderId="24" xfId="42" applyFont="1" applyFill="1" applyBorder="1" applyAlignment="1">
      <alignment horizontal="center" vertical="top" wrapText="1"/>
    </xf>
    <xf numFmtId="44" fontId="2" fillId="0" borderId="25" xfId="42" applyFont="1" applyFill="1" applyBorder="1" applyAlignment="1">
      <alignment horizontal="center" vertical="top" wrapText="1"/>
    </xf>
    <xf numFmtId="44" fontId="2" fillId="0" borderId="26" xfId="42" applyFont="1" applyFill="1" applyBorder="1" applyAlignment="1">
      <alignment horizontal="center" vertical="top" wrapText="1"/>
    </xf>
    <xf numFmtId="168" fontId="4" fillId="0" borderId="25" xfId="0" applyNumberFormat="1" applyFont="1" applyFill="1" applyBorder="1" applyAlignment="1">
      <alignment horizontal="center" vertical="top"/>
    </xf>
    <xf numFmtId="168" fontId="4" fillId="0" borderId="26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71" fontId="12" fillId="33" borderId="10" xfId="53" applyNumberFormat="1" applyFont="1" applyFill="1" applyBorder="1" applyAlignment="1">
      <alignment horizontal="center" vertical="center" wrapText="1"/>
      <protection/>
    </xf>
    <xf numFmtId="49" fontId="13" fillId="33" borderId="18" xfId="53" applyNumberFormat="1" applyFont="1" applyFill="1" applyBorder="1" applyAlignment="1" quotePrefix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left" vertical="center" wrapText="1"/>
      <protection/>
    </xf>
    <xf numFmtId="0" fontId="10" fillId="0" borderId="0" xfId="53" applyNumberFormat="1" applyFont="1" applyFill="1" applyBorder="1" applyAlignment="1">
      <alignment horizontal="right" vertical="center" wrapText="1"/>
      <protection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53" applyNumberFormat="1" applyFont="1" applyFill="1" applyBorder="1" applyAlignment="1">
      <alignment horizontal="left" vertical="center" wrapText="1"/>
      <protection/>
    </xf>
    <xf numFmtId="171" fontId="11" fillId="33" borderId="10" xfId="53" applyNumberFormat="1" applyFont="1" applyFill="1" applyBorder="1" applyAlignment="1">
      <alignment horizontal="center" vertical="center" wrapText="1"/>
      <protection/>
    </xf>
    <xf numFmtId="171" fontId="11" fillId="33" borderId="10" xfId="0" applyNumberFormat="1" applyFont="1" applyFill="1" applyBorder="1" applyAlignment="1">
      <alignment horizontal="center" vertical="center" wrapText="1"/>
    </xf>
    <xf numFmtId="171" fontId="12" fillId="33" borderId="10" xfId="0" applyNumberFormat="1" applyFont="1" applyFill="1" applyBorder="1" applyAlignment="1">
      <alignment horizontal="center" vertical="center" wrapText="1"/>
    </xf>
    <xf numFmtId="171" fontId="8" fillId="33" borderId="10" xfId="0" applyNumberFormat="1" applyFont="1" applyFill="1" applyBorder="1" applyAlignment="1">
      <alignment horizontal="center" vertical="center"/>
    </xf>
    <xf numFmtId="171" fontId="12" fillId="33" borderId="17" xfId="53" applyNumberFormat="1" applyFont="1" applyFill="1" applyBorder="1" applyAlignment="1">
      <alignment horizontal="center" vertical="center" wrapText="1"/>
      <protection/>
    </xf>
    <xf numFmtId="171" fontId="12" fillId="33" borderId="17" xfId="0" applyNumberFormat="1" applyFont="1" applyFill="1" applyBorder="1" applyAlignment="1">
      <alignment horizontal="center" vertical="center" wrapText="1"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7" xfId="53" applyNumberFormat="1" applyFont="1" applyFill="1" applyBorder="1" applyAlignment="1">
      <alignment horizontal="center" vertical="center" wrapText="1"/>
      <protection/>
    </xf>
    <xf numFmtId="0" fontId="9" fillId="33" borderId="0" xfId="53" applyNumberFormat="1" applyFont="1" applyFill="1" applyAlignment="1">
      <alignment horizontal="center" vertical="center" wrapText="1"/>
      <protection/>
    </xf>
    <xf numFmtId="49" fontId="10" fillId="33" borderId="27" xfId="53" applyNumberFormat="1" applyFont="1" applyFill="1" applyBorder="1" applyAlignment="1">
      <alignment horizontal="center" vertical="center" wrapText="1"/>
      <protection/>
    </xf>
    <xf numFmtId="49" fontId="10" fillId="33" borderId="18" xfId="53" applyNumberFormat="1" applyFont="1" applyFill="1" applyBorder="1" applyAlignment="1">
      <alignment horizontal="center" vertical="center" wrapText="1"/>
      <protection/>
    </xf>
    <xf numFmtId="0" fontId="10" fillId="33" borderId="28" xfId="53" applyNumberFormat="1" applyFont="1" applyFill="1" applyBorder="1" applyAlignment="1">
      <alignment horizontal="center" vertical="center" wrapText="1"/>
      <protection/>
    </xf>
    <xf numFmtId="0" fontId="10" fillId="33" borderId="10" xfId="53" applyNumberFormat="1" applyFont="1" applyFill="1" applyBorder="1" applyAlignment="1">
      <alignment horizontal="center" vertical="center" wrapText="1"/>
      <protection/>
    </xf>
    <xf numFmtId="171" fontId="11" fillId="33" borderId="28" xfId="53" applyNumberFormat="1" applyFont="1" applyFill="1" applyBorder="1" applyAlignment="1">
      <alignment horizontal="center" vertical="center" wrapText="1"/>
      <protection/>
    </xf>
    <xf numFmtId="171" fontId="11" fillId="33" borderId="28" xfId="0" applyNumberFormat="1" applyFont="1" applyFill="1" applyBorder="1" applyAlignment="1">
      <alignment horizontal="center" vertical="center" wrapText="1"/>
    </xf>
    <xf numFmtId="171" fontId="12" fillId="33" borderId="28" xfId="0" applyNumberFormat="1" applyFont="1" applyFill="1" applyBorder="1" applyAlignment="1">
      <alignment horizontal="center" vertical="center" wrapText="1"/>
    </xf>
    <xf numFmtId="171" fontId="12" fillId="33" borderId="29" xfId="0" applyNumberFormat="1" applyFont="1" applyFill="1" applyBorder="1" applyAlignment="1">
      <alignment horizontal="center" vertical="center" wrapText="1"/>
    </xf>
    <xf numFmtId="0" fontId="15" fillId="33" borderId="30" xfId="53" applyNumberFormat="1" applyFont="1" applyFill="1" applyBorder="1" applyAlignment="1">
      <alignment horizontal="center" vertical="center" wrapText="1"/>
      <protection/>
    </xf>
    <xf numFmtId="0" fontId="15" fillId="33" borderId="22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M213"/>
    </sheetView>
  </sheetViews>
  <sheetFormatPr defaultColWidth="9.00390625" defaultRowHeight="12.75" outlineLevelCol="1"/>
  <cols>
    <col min="1" max="1" width="21.25390625" style="2" customWidth="1"/>
    <col min="2" max="2" width="6.75390625" style="2" hidden="1" customWidth="1"/>
    <col min="3" max="3" width="68.75390625" style="2" customWidth="1"/>
    <col min="4" max="4" width="12.75390625" style="2" customWidth="1"/>
    <col min="5" max="5" width="11.375" style="2" hidden="1" customWidth="1" outlineLevel="1"/>
    <col min="6" max="6" width="11.00390625" style="2" hidden="1" customWidth="1" outlineLevel="1"/>
    <col min="7" max="7" width="9.00390625" style="2" hidden="1" customWidth="1" outlineLevel="1"/>
    <col min="8" max="8" width="10.25390625" style="2" hidden="1" customWidth="1" outlineLevel="1"/>
    <col min="9" max="9" width="12.625" style="2" customWidth="1" collapsed="1"/>
    <col min="10" max="10" width="12.125" style="2" customWidth="1"/>
    <col min="11" max="11" width="13.375" style="2" customWidth="1"/>
    <col min="12" max="12" width="10.00390625" style="2" customWidth="1"/>
    <col min="13" max="16384" width="9.125" style="2" customWidth="1"/>
  </cols>
  <sheetData>
    <row r="1" spans="1:13" ht="12.75">
      <c r="A1" s="157"/>
      <c r="B1" s="157"/>
      <c r="C1" s="157"/>
      <c r="D1" s="2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157" t="s">
        <v>247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2" ht="12.75">
      <c r="A4" s="14"/>
      <c r="B4" s="14"/>
      <c r="C4" s="15"/>
      <c r="D4" s="15"/>
      <c r="E4" s="4"/>
      <c r="F4" s="4"/>
      <c r="G4" s="4"/>
      <c r="H4" s="4"/>
      <c r="I4" s="4"/>
      <c r="J4" s="4"/>
      <c r="K4" s="4" t="s">
        <v>74</v>
      </c>
      <c r="L4" s="4"/>
    </row>
    <row r="5" spans="1:13" ht="12.75">
      <c r="A5" s="10" t="s">
        <v>46</v>
      </c>
      <c r="B5" s="10"/>
      <c r="C5" s="11"/>
      <c r="D5" s="11" t="s">
        <v>248</v>
      </c>
      <c r="E5" s="111" t="s">
        <v>249</v>
      </c>
      <c r="F5" s="112" t="s">
        <v>40</v>
      </c>
      <c r="G5" s="112" t="s">
        <v>40</v>
      </c>
      <c r="H5" s="112" t="s">
        <v>40</v>
      </c>
      <c r="I5" s="112" t="s">
        <v>40</v>
      </c>
      <c r="J5" s="113" t="s">
        <v>40</v>
      </c>
      <c r="K5" s="111" t="s">
        <v>52</v>
      </c>
      <c r="L5" s="114" t="s">
        <v>41</v>
      </c>
      <c r="M5" s="111" t="s">
        <v>41</v>
      </c>
    </row>
    <row r="6" spans="1:13" ht="12" customHeight="1">
      <c r="A6" s="12" t="s">
        <v>51</v>
      </c>
      <c r="B6" s="12"/>
      <c r="C6" s="13" t="s">
        <v>16</v>
      </c>
      <c r="D6" s="13" t="s">
        <v>250</v>
      </c>
      <c r="E6" s="115" t="s">
        <v>251</v>
      </c>
      <c r="F6" s="116" t="s">
        <v>65</v>
      </c>
      <c r="G6" s="116" t="s">
        <v>66</v>
      </c>
      <c r="H6" s="117" t="s">
        <v>23</v>
      </c>
      <c r="I6" s="118" t="s">
        <v>24</v>
      </c>
      <c r="J6" s="119" t="s">
        <v>238</v>
      </c>
      <c r="K6" s="120">
        <v>41214</v>
      </c>
      <c r="L6" s="121" t="s">
        <v>252</v>
      </c>
      <c r="M6" s="115" t="s">
        <v>253</v>
      </c>
    </row>
    <row r="7" spans="1:13" ht="12.75">
      <c r="A7" s="12"/>
      <c r="B7" s="12"/>
      <c r="C7" s="13"/>
      <c r="D7" s="13">
        <v>2012</v>
      </c>
      <c r="E7" s="115">
        <v>2012</v>
      </c>
      <c r="F7" s="115">
        <v>2012</v>
      </c>
      <c r="G7" s="115">
        <v>2012</v>
      </c>
      <c r="H7" s="115">
        <v>2012</v>
      </c>
      <c r="I7" s="115">
        <v>2012</v>
      </c>
      <c r="J7" s="119" t="s">
        <v>71</v>
      </c>
      <c r="K7" s="122"/>
      <c r="L7" s="123" t="s">
        <v>254</v>
      </c>
      <c r="M7" s="124">
        <v>2012</v>
      </c>
    </row>
    <row r="8" spans="1:13" ht="12.75">
      <c r="A8" s="158" t="s">
        <v>27</v>
      </c>
      <c r="B8" s="159"/>
      <c r="C8" s="159"/>
      <c r="D8" s="159"/>
      <c r="E8" s="159"/>
      <c r="F8" s="159"/>
      <c r="G8" s="159"/>
      <c r="H8" s="159"/>
      <c r="I8" s="159"/>
      <c r="J8" s="159"/>
      <c r="K8" s="160"/>
      <c r="L8" s="159"/>
      <c r="M8" s="161"/>
    </row>
    <row r="9" spans="1:13" ht="12.75">
      <c r="A9" s="25" t="s">
        <v>3</v>
      </c>
      <c r="B9" s="25"/>
      <c r="C9" s="26" t="s">
        <v>75</v>
      </c>
      <c r="D9" s="27">
        <f aca="true" t="shared" si="0" ref="D9:J9">D10+D11+D12+D13+D15+D16+D18+D20+D14+D21+D17+D23+D19</f>
        <v>652961</v>
      </c>
      <c r="E9" s="27">
        <f t="shared" si="0"/>
        <v>675450</v>
      </c>
      <c r="F9" s="27">
        <f t="shared" si="0"/>
        <v>155488.69999999998</v>
      </c>
      <c r="G9" s="27">
        <f t="shared" si="0"/>
        <v>173164.80000000002</v>
      </c>
      <c r="H9" s="27">
        <f t="shared" si="0"/>
        <v>157114.2</v>
      </c>
      <c r="I9" s="27">
        <f t="shared" si="0"/>
        <v>171360.29999999996</v>
      </c>
      <c r="J9" s="27">
        <f t="shared" si="0"/>
        <v>485767.69999999995</v>
      </c>
      <c r="K9" s="27">
        <f>K10+K11+K12+K13+K15+K16+K18+K20+K14+K21+K17+K23+K19+K22</f>
        <v>580221.8000000002</v>
      </c>
      <c r="L9" s="27">
        <f>K9*100/D9</f>
        <v>88.86010037352922</v>
      </c>
      <c r="M9" s="27">
        <f>K9/E9*100</f>
        <v>85.90151750684731</v>
      </c>
    </row>
    <row r="10" spans="1:13" ht="12.75">
      <c r="A10" s="16" t="s">
        <v>26</v>
      </c>
      <c r="B10" s="16"/>
      <c r="C10" s="28" t="s">
        <v>25</v>
      </c>
      <c r="D10" s="125">
        <v>465736</v>
      </c>
      <c r="E10" s="29">
        <v>485600</v>
      </c>
      <c r="F10" s="30">
        <v>114827.6</v>
      </c>
      <c r="G10" s="30">
        <v>124110.3</v>
      </c>
      <c r="H10" s="30">
        <v>112934.3</v>
      </c>
      <c r="I10" s="30">
        <v>122355.8</v>
      </c>
      <c r="J10" s="31">
        <f>F10+G10+H10</f>
        <v>351872.2</v>
      </c>
      <c r="K10" s="30">
        <v>409861.6</v>
      </c>
      <c r="L10" s="31">
        <f aca="true" t="shared" si="1" ref="L10:L28">K10*100/D10</f>
        <v>88.0029888176993</v>
      </c>
      <c r="M10" s="31">
        <f aca="true" t="shared" si="2" ref="M10:M28">K10/E10*100</f>
        <v>84.40313014827018</v>
      </c>
    </row>
    <row r="11" spans="1:13" ht="12.75">
      <c r="A11" s="32" t="s">
        <v>8</v>
      </c>
      <c r="B11" s="32"/>
      <c r="C11" s="28" t="s">
        <v>5</v>
      </c>
      <c r="D11" s="125">
        <v>28437</v>
      </c>
      <c r="E11" s="29">
        <v>39179.6</v>
      </c>
      <c r="F11" s="30">
        <v>8361.7</v>
      </c>
      <c r="G11" s="30">
        <v>12335.3</v>
      </c>
      <c r="H11" s="30">
        <v>8000.8</v>
      </c>
      <c r="I11" s="30">
        <v>8665.2</v>
      </c>
      <c r="J11" s="31">
        <f aca="true" t="shared" si="3" ref="J11:J21">F11+G11+H11</f>
        <v>28697.8</v>
      </c>
      <c r="K11" s="30">
        <v>36292.4</v>
      </c>
      <c r="L11" s="31">
        <f t="shared" si="1"/>
        <v>127.62387030980764</v>
      </c>
      <c r="M11" s="31">
        <f t="shared" si="2"/>
        <v>92.63085891637486</v>
      </c>
    </row>
    <row r="12" spans="1:13" ht="12.75">
      <c r="A12" s="32" t="s">
        <v>9</v>
      </c>
      <c r="B12" s="32"/>
      <c r="C12" s="28" t="s">
        <v>6</v>
      </c>
      <c r="D12" s="125">
        <v>19309</v>
      </c>
      <c r="E12" s="29">
        <v>22757</v>
      </c>
      <c r="F12" s="30">
        <v>3722.6</v>
      </c>
      <c r="G12" s="30">
        <v>1781.6</v>
      </c>
      <c r="H12" s="30">
        <v>6902.4</v>
      </c>
      <c r="I12" s="30">
        <v>6902.4</v>
      </c>
      <c r="J12" s="31">
        <f t="shared" si="3"/>
        <v>12406.599999999999</v>
      </c>
      <c r="K12" s="30">
        <v>19236.4</v>
      </c>
      <c r="L12" s="31">
        <f t="shared" si="1"/>
        <v>99.62400952923508</v>
      </c>
      <c r="M12" s="31">
        <f t="shared" si="2"/>
        <v>84.52959528936152</v>
      </c>
    </row>
    <row r="13" spans="1:13" ht="12.75">
      <c r="A13" s="32" t="s">
        <v>10</v>
      </c>
      <c r="B13" s="32"/>
      <c r="C13" s="28" t="s">
        <v>22</v>
      </c>
      <c r="D13" s="125">
        <v>9118</v>
      </c>
      <c r="E13" s="29">
        <v>4225</v>
      </c>
      <c r="F13" s="30">
        <v>66.2</v>
      </c>
      <c r="G13" s="30">
        <v>1330</v>
      </c>
      <c r="H13" s="30">
        <v>1407.9</v>
      </c>
      <c r="I13" s="30">
        <v>1410.9</v>
      </c>
      <c r="J13" s="31">
        <f t="shared" si="3"/>
        <v>2804.1000000000004</v>
      </c>
      <c r="K13" s="30">
        <v>3939.7</v>
      </c>
      <c r="L13" s="31">
        <f t="shared" si="1"/>
        <v>43.207940337793374</v>
      </c>
      <c r="M13" s="31">
        <f t="shared" si="2"/>
        <v>93.2473372781065</v>
      </c>
    </row>
    <row r="14" spans="1:13" ht="25.5" customHeight="1">
      <c r="A14" s="32" t="s">
        <v>42</v>
      </c>
      <c r="B14" s="32"/>
      <c r="C14" s="28" t="s">
        <v>43</v>
      </c>
      <c r="D14" s="125">
        <v>0</v>
      </c>
      <c r="E14" s="29">
        <f aca="true" t="shared" si="4" ref="E14:E23">F14+G14+H14+I14</f>
        <v>0</v>
      </c>
      <c r="F14" s="30"/>
      <c r="G14" s="30"/>
      <c r="H14" s="30"/>
      <c r="I14" s="30"/>
      <c r="J14" s="31">
        <f t="shared" si="3"/>
        <v>0</v>
      </c>
      <c r="K14" s="30">
        <v>2.4</v>
      </c>
      <c r="L14" s="31"/>
      <c r="M14" s="31"/>
    </row>
    <row r="15" spans="1:13" ht="24">
      <c r="A15" s="21" t="s">
        <v>11</v>
      </c>
      <c r="B15" s="21"/>
      <c r="C15" s="28" t="s">
        <v>17</v>
      </c>
      <c r="D15" s="125">
        <v>56565</v>
      </c>
      <c r="E15" s="29">
        <v>60618</v>
      </c>
      <c r="F15" s="30">
        <v>16235.3</v>
      </c>
      <c r="G15" s="30">
        <v>13082.8</v>
      </c>
      <c r="H15" s="30">
        <v>13647.1</v>
      </c>
      <c r="I15" s="30">
        <v>17405.8</v>
      </c>
      <c r="J15" s="31">
        <f t="shared" si="3"/>
        <v>42965.2</v>
      </c>
      <c r="K15" s="30">
        <v>57159.5</v>
      </c>
      <c r="L15" s="31">
        <f t="shared" si="1"/>
        <v>101.05100327057367</v>
      </c>
      <c r="M15" s="31">
        <f t="shared" si="2"/>
        <v>94.2945989640041</v>
      </c>
    </row>
    <row r="16" spans="1:13" ht="12.75">
      <c r="A16" s="33" t="s">
        <v>14</v>
      </c>
      <c r="B16" s="33"/>
      <c r="C16" s="28" t="s">
        <v>13</v>
      </c>
      <c r="D16" s="125">
        <v>12581</v>
      </c>
      <c r="E16" s="29">
        <f t="shared" si="4"/>
        <v>12581</v>
      </c>
      <c r="F16" s="30">
        <v>532.8</v>
      </c>
      <c r="G16" s="30">
        <v>6148.2</v>
      </c>
      <c r="H16" s="30">
        <v>2950</v>
      </c>
      <c r="I16" s="30">
        <v>2950</v>
      </c>
      <c r="J16" s="31">
        <f t="shared" si="3"/>
        <v>9631</v>
      </c>
      <c r="K16" s="30">
        <v>13929.8</v>
      </c>
      <c r="L16" s="31">
        <f t="shared" si="1"/>
        <v>110.72092838407121</v>
      </c>
      <c r="M16" s="31">
        <f t="shared" si="2"/>
        <v>110.72092838407121</v>
      </c>
    </row>
    <row r="17" spans="1:13" ht="12.75">
      <c r="A17" s="34" t="s">
        <v>47</v>
      </c>
      <c r="B17" s="34"/>
      <c r="C17" s="28" t="s">
        <v>48</v>
      </c>
      <c r="D17" s="125">
        <v>51434</v>
      </c>
      <c r="E17" s="29">
        <f t="shared" si="4"/>
        <v>28900</v>
      </c>
      <c r="F17" s="30">
        <v>5479.5</v>
      </c>
      <c r="G17" s="30">
        <v>9895.8</v>
      </c>
      <c r="H17" s="30">
        <v>6761.2</v>
      </c>
      <c r="I17" s="30">
        <v>6763.5</v>
      </c>
      <c r="J17" s="31">
        <f t="shared" si="3"/>
        <v>22136.5</v>
      </c>
      <c r="K17" s="30">
        <v>18314.7</v>
      </c>
      <c r="L17" s="31">
        <f t="shared" si="1"/>
        <v>35.608158027763736</v>
      </c>
      <c r="M17" s="31">
        <f t="shared" si="2"/>
        <v>63.372664359861595</v>
      </c>
    </row>
    <row r="18" spans="1:13" ht="12.75">
      <c r="A18" s="34" t="s">
        <v>18</v>
      </c>
      <c r="B18" s="34"/>
      <c r="C18" s="28" t="s">
        <v>15</v>
      </c>
      <c r="D18" s="125">
        <v>5000</v>
      </c>
      <c r="E18" s="29">
        <v>12900</v>
      </c>
      <c r="F18" s="30">
        <v>1161</v>
      </c>
      <c r="G18" s="30">
        <v>3670.2</v>
      </c>
      <c r="H18" s="30">
        <v>3437.9</v>
      </c>
      <c r="I18" s="30">
        <v>3837.9</v>
      </c>
      <c r="J18" s="31">
        <f t="shared" si="3"/>
        <v>8269.1</v>
      </c>
      <c r="K18" s="30">
        <v>10784.3</v>
      </c>
      <c r="L18" s="31">
        <f t="shared" si="1"/>
        <v>215.686</v>
      </c>
      <c r="M18" s="31">
        <f t="shared" si="2"/>
        <v>83.59922480620155</v>
      </c>
    </row>
    <row r="19" spans="1:13" ht="12.75">
      <c r="A19" s="34" t="s">
        <v>69</v>
      </c>
      <c r="B19" s="34"/>
      <c r="C19" s="28" t="s">
        <v>70</v>
      </c>
      <c r="D19" s="125">
        <v>7</v>
      </c>
      <c r="E19" s="29">
        <v>17</v>
      </c>
      <c r="F19" s="30">
        <v>3.3</v>
      </c>
      <c r="G19" s="30">
        <v>0.7</v>
      </c>
      <c r="H19" s="30">
        <v>2</v>
      </c>
      <c r="I19" s="30">
        <v>1</v>
      </c>
      <c r="J19" s="31">
        <f t="shared" si="3"/>
        <v>6</v>
      </c>
      <c r="K19" s="30">
        <v>18.3</v>
      </c>
      <c r="L19" s="31">
        <f t="shared" si="1"/>
        <v>261.42857142857144</v>
      </c>
      <c r="M19" s="31">
        <f t="shared" si="2"/>
        <v>107.6470588235294</v>
      </c>
    </row>
    <row r="20" spans="1:13" ht="12.75">
      <c r="A20" s="16" t="s">
        <v>12</v>
      </c>
      <c r="B20" s="16"/>
      <c r="C20" s="28" t="s">
        <v>7</v>
      </c>
      <c r="D20" s="125">
        <v>4774</v>
      </c>
      <c r="E20" s="29">
        <v>8672.4</v>
      </c>
      <c r="F20" s="30">
        <v>5098.7</v>
      </c>
      <c r="G20" s="30">
        <v>809.9</v>
      </c>
      <c r="H20" s="30">
        <v>1070.6</v>
      </c>
      <c r="I20" s="30">
        <v>1067.8</v>
      </c>
      <c r="J20" s="31">
        <f t="shared" si="3"/>
        <v>6979.199999999999</v>
      </c>
      <c r="K20" s="30">
        <v>9647.6</v>
      </c>
      <c r="L20" s="31">
        <f t="shared" si="1"/>
        <v>202.08630079597822</v>
      </c>
      <c r="M20" s="31">
        <f t="shared" si="2"/>
        <v>111.24486877911536</v>
      </c>
    </row>
    <row r="21" spans="1:13" ht="12.75">
      <c r="A21" s="35" t="s">
        <v>44</v>
      </c>
      <c r="B21" s="36"/>
      <c r="C21" s="37" t="s">
        <v>45</v>
      </c>
      <c r="D21" s="126">
        <v>0</v>
      </c>
      <c r="E21" s="29">
        <f t="shared" si="4"/>
        <v>0</v>
      </c>
      <c r="F21" s="30"/>
      <c r="G21" s="30"/>
      <c r="H21" s="30"/>
      <c r="I21" s="30"/>
      <c r="J21" s="31">
        <f t="shared" si="3"/>
        <v>0</v>
      </c>
      <c r="K21" s="30">
        <v>1035.1</v>
      </c>
      <c r="L21" s="31"/>
      <c r="M21" s="31"/>
    </row>
    <row r="22" spans="1:13" ht="12.75" customHeight="1" hidden="1">
      <c r="A22" s="35" t="s">
        <v>67</v>
      </c>
      <c r="B22" s="36"/>
      <c r="C22" s="37" t="s">
        <v>68</v>
      </c>
      <c r="D22" s="126"/>
      <c r="E22" s="29">
        <f t="shared" si="4"/>
        <v>0</v>
      </c>
      <c r="F22" s="30"/>
      <c r="G22" s="30"/>
      <c r="H22" s="30"/>
      <c r="I22" s="30"/>
      <c r="J22" s="31">
        <f>F22</f>
        <v>0</v>
      </c>
      <c r="K22" s="30"/>
      <c r="L22" s="27" t="e">
        <f t="shared" si="1"/>
        <v>#DIV/0!</v>
      </c>
      <c r="M22" s="31"/>
    </row>
    <row r="23" spans="1:13" ht="12.75" customHeight="1" hidden="1">
      <c r="A23" s="35" t="s">
        <v>49</v>
      </c>
      <c r="B23" s="36"/>
      <c r="C23" s="37" t="s">
        <v>50</v>
      </c>
      <c r="D23" s="126"/>
      <c r="E23" s="29">
        <f t="shared" si="4"/>
        <v>0</v>
      </c>
      <c r="F23" s="30"/>
      <c r="G23" s="30"/>
      <c r="H23" s="30"/>
      <c r="I23" s="30"/>
      <c r="J23" s="31">
        <f>F23</f>
        <v>0</v>
      </c>
      <c r="K23" s="30"/>
      <c r="L23" s="27" t="e">
        <f t="shared" si="1"/>
        <v>#DIV/0!</v>
      </c>
      <c r="M23" s="27"/>
    </row>
    <row r="24" spans="1:13" ht="12.75">
      <c r="A24" s="25" t="s">
        <v>1</v>
      </c>
      <c r="B24" s="25"/>
      <c r="C24" s="38" t="s">
        <v>0</v>
      </c>
      <c r="D24" s="39">
        <f aca="true" t="shared" si="5" ref="D24:K24">D25+D26+D27</f>
        <v>2764378.4</v>
      </c>
      <c r="E24" s="39">
        <f t="shared" si="5"/>
        <v>3092735.5</v>
      </c>
      <c r="F24" s="39">
        <f t="shared" si="5"/>
        <v>780627.7</v>
      </c>
      <c r="G24" s="39">
        <f t="shared" si="5"/>
        <v>1456138</v>
      </c>
      <c r="H24" s="39">
        <f t="shared" si="5"/>
        <v>85291.6</v>
      </c>
      <c r="I24" s="39">
        <f t="shared" si="5"/>
        <v>678102.1</v>
      </c>
      <c r="J24" s="39">
        <f t="shared" si="5"/>
        <v>2322057.3000000003</v>
      </c>
      <c r="K24" s="39">
        <f t="shared" si="5"/>
        <v>2369085.1</v>
      </c>
      <c r="L24" s="27">
        <f t="shared" si="1"/>
        <v>85.7004634387246</v>
      </c>
      <c r="M24" s="27">
        <f t="shared" si="2"/>
        <v>76.6016072179467</v>
      </c>
    </row>
    <row r="25" spans="1:13" ht="24">
      <c r="A25" s="23" t="s">
        <v>21</v>
      </c>
      <c r="B25" s="32"/>
      <c r="C25" s="40" t="s">
        <v>20</v>
      </c>
      <c r="D25" s="48">
        <v>2729378.4</v>
      </c>
      <c r="E25" s="29">
        <v>3019910.7</v>
      </c>
      <c r="F25" s="30">
        <v>774327.7</v>
      </c>
      <c r="G25" s="30">
        <v>1442138</v>
      </c>
      <c r="H25" s="30">
        <v>79691.6</v>
      </c>
      <c r="I25" s="30">
        <v>669002.1</v>
      </c>
      <c r="J25" s="31">
        <f>F25+G25+H25</f>
        <v>2296157.3000000003</v>
      </c>
      <c r="K25" s="30">
        <v>2300141.9</v>
      </c>
      <c r="L25" s="31">
        <f t="shared" si="1"/>
        <v>84.27347047225112</v>
      </c>
      <c r="M25" s="31">
        <f t="shared" si="2"/>
        <v>76.16589126294363</v>
      </c>
    </row>
    <row r="26" spans="1:13" ht="13.5" customHeight="1">
      <c r="A26" s="22" t="s">
        <v>2</v>
      </c>
      <c r="B26" s="22"/>
      <c r="C26" s="41" t="s">
        <v>19</v>
      </c>
      <c r="D26" s="127">
        <v>35000</v>
      </c>
      <c r="E26" s="29">
        <v>72824.8</v>
      </c>
      <c r="F26" s="30">
        <v>6300</v>
      </c>
      <c r="G26" s="30">
        <v>14000</v>
      </c>
      <c r="H26" s="30">
        <v>5600</v>
      </c>
      <c r="I26" s="30">
        <v>9100</v>
      </c>
      <c r="J26" s="31">
        <f>F26+G26+H26</f>
        <v>25900</v>
      </c>
      <c r="K26" s="30">
        <v>69676.1</v>
      </c>
      <c r="L26" s="31">
        <f t="shared" si="1"/>
        <v>199.07457142857146</v>
      </c>
      <c r="M26" s="31">
        <f t="shared" si="2"/>
        <v>95.67633553404885</v>
      </c>
    </row>
    <row r="27" spans="1:13" ht="24">
      <c r="A27" s="22" t="s">
        <v>72</v>
      </c>
      <c r="B27" s="42"/>
      <c r="C27" s="43" t="s">
        <v>73</v>
      </c>
      <c r="D27" s="128"/>
      <c r="E27" s="29"/>
      <c r="F27" s="30"/>
      <c r="G27" s="30"/>
      <c r="H27" s="30"/>
      <c r="I27" s="30"/>
      <c r="J27" s="31">
        <f>F27+G27+H27</f>
        <v>0</v>
      </c>
      <c r="K27" s="30">
        <v>-732.9</v>
      </c>
      <c r="L27" s="31"/>
      <c r="M27" s="27"/>
    </row>
    <row r="28" spans="1:13" ht="12.75">
      <c r="A28" s="16"/>
      <c r="B28" s="17"/>
      <c r="C28" s="18" t="s">
        <v>4</v>
      </c>
      <c r="D28" s="1">
        <f aca="true" t="shared" si="6" ref="D28:J28">D24+D9</f>
        <v>3417339.4</v>
      </c>
      <c r="E28" s="1">
        <f t="shared" si="6"/>
        <v>3768185.5</v>
      </c>
      <c r="F28" s="1">
        <f t="shared" si="6"/>
        <v>936116.3999999999</v>
      </c>
      <c r="G28" s="1">
        <f t="shared" si="6"/>
        <v>1629302.8</v>
      </c>
      <c r="H28" s="1">
        <f t="shared" si="6"/>
        <v>242405.80000000002</v>
      </c>
      <c r="I28" s="1">
        <f t="shared" si="6"/>
        <v>849462.3999999999</v>
      </c>
      <c r="J28" s="1">
        <f t="shared" si="6"/>
        <v>2807825</v>
      </c>
      <c r="K28" s="1">
        <f>K24+K9</f>
        <v>2949306.9000000004</v>
      </c>
      <c r="L28" s="27">
        <f t="shared" si="1"/>
        <v>86.30418447755001</v>
      </c>
      <c r="M28" s="27">
        <f t="shared" si="2"/>
        <v>78.26862292209341</v>
      </c>
    </row>
    <row r="29" spans="1:13" ht="12.7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1"/>
    </row>
    <row r="30" spans="1:13" ht="12.75">
      <c r="A30" s="146" t="s">
        <v>28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8"/>
    </row>
    <row r="31" spans="1:13" ht="12.75">
      <c r="A31" s="44" t="s">
        <v>3</v>
      </c>
      <c r="B31" s="44"/>
      <c r="C31" s="26" t="s">
        <v>75</v>
      </c>
      <c r="D31" s="1">
        <f>D32+D33+D35+D36+D34</f>
        <v>11907</v>
      </c>
      <c r="E31" s="45">
        <f>E32+E33+E35+E36+E34</f>
        <v>12692.6</v>
      </c>
      <c r="F31" s="45">
        <f>F32+F33+F34+F35+F36+F37</f>
        <v>2880.3</v>
      </c>
      <c r="G31" s="45">
        <f>G32+G33+G34+G35+G36+G37</f>
        <v>2896.2000000000003</v>
      </c>
      <c r="H31" s="45">
        <f>H32+H33+H34+H35+H36+H37</f>
        <v>3530.1</v>
      </c>
      <c r="I31" s="45">
        <f>I32+I33+I34+I35+I36+I37</f>
        <v>3386</v>
      </c>
      <c r="J31" s="45">
        <f>J32+J33+J34+J35+J36+J37</f>
        <v>9306.6</v>
      </c>
      <c r="K31" s="45">
        <f>K32+K33+K35+K36+K34+K37</f>
        <v>12160.5</v>
      </c>
      <c r="L31" s="27">
        <f aca="true" t="shared" si="7" ref="L31:L40">K31*100/D31</f>
        <v>102.12899974804736</v>
      </c>
      <c r="M31" s="27">
        <f>K31/E31*100</f>
        <v>95.80779351748262</v>
      </c>
    </row>
    <row r="32" spans="1:13" ht="12.75">
      <c r="A32" s="32" t="s">
        <v>26</v>
      </c>
      <c r="B32" s="32"/>
      <c r="C32" s="46" t="s">
        <v>25</v>
      </c>
      <c r="D32" s="129">
        <v>9661</v>
      </c>
      <c r="E32" s="29">
        <v>9663.1</v>
      </c>
      <c r="F32" s="30">
        <v>2466.3</v>
      </c>
      <c r="G32" s="47">
        <v>2304.8</v>
      </c>
      <c r="H32" s="47">
        <v>2441.5</v>
      </c>
      <c r="I32" s="47">
        <v>2450.5</v>
      </c>
      <c r="J32" s="31">
        <f aca="true" t="shared" si="8" ref="J32:J39">F32+G32+H32</f>
        <v>7212.6</v>
      </c>
      <c r="K32" s="47">
        <v>9327.8</v>
      </c>
      <c r="L32" s="31">
        <f t="shared" si="7"/>
        <v>96.55108166856432</v>
      </c>
      <c r="M32" s="31">
        <f aca="true" t="shared" si="9" ref="M32:M40">K32/E32*100</f>
        <v>96.53009903654106</v>
      </c>
    </row>
    <row r="33" spans="1:13" ht="12.75">
      <c r="A33" s="32" t="s">
        <v>9</v>
      </c>
      <c r="B33" s="32"/>
      <c r="C33" s="28" t="s">
        <v>6</v>
      </c>
      <c r="D33" s="125">
        <v>1527</v>
      </c>
      <c r="E33" s="29">
        <f>F33+G33+H33+I33</f>
        <v>1527</v>
      </c>
      <c r="F33" s="30">
        <v>242</v>
      </c>
      <c r="G33" s="30">
        <v>392</v>
      </c>
      <c r="H33" s="30">
        <v>478</v>
      </c>
      <c r="I33" s="47">
        <v>415</v>
      </c>
      <c r="J33" s="31">
        <f t="shared" si="8"/>
        <v>1112</v>
      </c>
      <c r="K33" s="30">
        <v>439.2</v>
      </c>
      <c r="L33" s="31">
        <f t="shared" si="7"/>
        <v>28.762278978389</v>
      </c>
      <c r="M33" s="31">
        <f t="shared" si="9"/>
        <v>28.762278978389</v>
      </c>
    </row>
    <row r="34" spans="1:13" ht="12.75">
      <c r="A34" s="32" t="s">
        <v>10</v>
      </c>
      <c r="B34" s="32"/>
      <c r="C34" s="28" t="s">
        <v>22</v>
      </c>
      <c r="D34" s="125">
        <v>22</v>
      </c>
      <c r="E34" s="29">
        <f>F34+G34+H34+I34</f>
        <v>22</v>
      </c>
      <c r="F34" s="30">
        <v>4</v>
      </c>
      <c r="G34" s="30">
        <v>8</v>
      </c>
      <c r="H34" s="30">
        <v>5</v>
      </c>
      <c r="I34" s="47">
        <v>5</v>
      </c>
      <c r="J34" s="31">
        <f t="shared" si="8"/>
        <v>17</v>
      </c>
      <c r="K34" s="30">
        <v>19.5</v>
      </c>
      <c r="L34" s="31">
        <f t="shared" si="7"/>
        <v>88.63636363636364</v>
      </c>
      <c r="M34" s="31">
        <f t="shared" si="9"/>
        <v>88.63636363636364</v>
      </c>
    </row>
    <row r="35" spans="1:13" ht="24">
      <c r="A35" s="21" t="s">
        <v>11</v>
      </c>
      <c r="B35" s="21"/>
      <c r="C35" s="28" t="s">
        <v>17</v>
      </c>
      <c r="D35" s="125">
        <v>697</v>
      </c>
      <c r="E35" s="29">
        <f>F35+G35+H35+I35</f>
        <v>1452.5</v>
      </c>
      <c r="F35" s="30">
        <v>146</v>
      </c>
      <c r="G35" s="30">
        <v>185.4</v>
      </c>
      <c r="H35" s="30">
        <v>605.6</v>
      </c>
      <c r="I35" s="47">
        <v>515.5</v>
      </c>
      <c r="J35" s="31">
        <f t="shared" si="8"/>
        <v>937</v>
      </c>
      <c r="K35" s="30">
        <v>1860.3</v>
      </c>
      <c r="L35" s="31">
        <f t="shared" si="7"/>
        <v>266.90100430416067</v>
      </c>
      <c r="M35" s="31">
        <f t="shared" si="9"/>
        <v>128.07573149741825</v>
      </c>
    </row>
    <row r="36" spans="1:13" ht="12.75">
      <c r="A36" s="33" t="s">
        <v>18</v>
      </c>
      <c r="B36" s="33"/>
      <c r="C36" s="28" t="s">
        <v>15</v>
      </c>
      <c r="D36" s="125"/>
      <c r="E36" s="29">
        <f>F36+G36+H36+I36</f>
        <v>28</v>
      </c>
      <c r="F36" s="30">
        <v>22</v>
      </c>
      <c r="G36" s="30">
        <v>6</v>
      </c>
      <c r="H36" s="30"/>
      <c r="I36" s="47"/>
      <c r="J36" s="31">
        <f t="shared" si="8"/>
        <v>28</v>
      </c>
      <c r="K36" s="30">
        <v>31.6</v>
      </c>
      <c r="L36" s="31"/>
      <c r="M36" s="31">
        <f t="shared" si="9"/>
        <v>112.85714285714286</v>
      </c>
    </row>
    <row r="37" spans="1:13" ht="12.75">
      <c r="A37" s="35" t="s">
        <v>44</v>
      </c>
      <c r="B37" s="36"/>
      <c r="C37" s="37" t="s">
        <v>45</v>
      </c>
      <c r="D37" s="126"/>
      <c r="E37" s="29"/>
      <c r="F37" s="30"/>
      <c r="G37" s="30"/>
      <c r="H37" s="30"/>
      <c r="I37" s="30"/>
      <c r="J37" s="31">
        <f t="shared" si="8"/>
        <v>0</v>
      </c>
      <c r="K37" s="30">
        <v>482.1</v>
      </c>
      <c r="L37" s="31"/>
      <c r="M37" s="31"/>
    </row>
    <row r="38" spans="1:13" ht="12.75">
      <c r="A38" s="25" t="s">
        <v>1</v>
      </c>
      <c r="B38" s="25"/>
      <c r="C38" s="38" t="s">
        <v>0</v>
      </c>
      <c r="D38" s="130">
        <f aca="true" t="shared" si="10" ref="D38:K38">D39</f>
        <v>3189</v>
      </c>
      <c r="E38" s="39">
        <f t="shared" si="10"/>
        <v>12524.5</v>
      </c>
      <c r="F38" s="39">
        <f t="shared" si="10"/>
        <v>2139.9</v>
      </c>
      <c r="G38" s="39">
        <f t="shared" si="10"/>
        <v>3484.2</v>
      </c>
      <c r="H38" s="39">
        <f t="shared" si="10"/>
        <v>3327.6</v>
      </c>
      <c r="I38" s="39">
        <f t="shared" si="10"/>
        <v>1595.6</v>
      </c>
      <c r="J38" s="39">
        <f t="shared" si="10"/>
        <v>8951.7</v>
      </c>
      <c r="K38" s="39">
        <f t="shared" si="10"/>
        <v>12116.7</v>
      </c>
      <c r="L38" s="27">
        <f t="shared" si="7"/>
        <v>379.95296331138286</v>
      </c>
      <c r="M38" s="27">
        <f>K38/E38*100</f>
        <v>96.74398179568047</v>
      </c>
    </row>
    <row r="39" spans="1:13" ht="24">
      <c r="A39" s="23" t="s">
        <v>21</v>
      </c>
      <c r="B39" s="32"/>
      <c r="C39" s="40" t="s">
        <v>20</v>
      </c>
      <c r="D39" s="125">
        <v>3189</v>
      </c>
      <c r="E39" s="29">
        <v>12524.5</v>
      </c>
      <c r="F39" s="48">
        <v>2139.9</v>
      </c>
      <c r="G39" s="30">
        <v>3484.2</v>
      </c>
      <c r="H39" s="30">
        <f>1651.1+23+1653.5</f>
        <v>3327.6</v>
      </c>
      <c r="I39" s="30">
        <v>1595.6</v>
      </c>
      <c r="J39" s="31">
        <f t="shared" si="8"/>
        <v>8951.7</v>
      </c>
      <c r="K39" s="30">
        <v>12116.7</v>
      </c>
      <c r="L39" s="31">
        <f t="shared" si="7"/>
        <v>379.95296331138286</v>
      </c>
      <c r="M39" s="31">
        <f>K39/E39*100</f>
        <v>96.74398179568047</v>
      </c>
    </row>
    <row r="40" spans="1:13" ht="12.75">
      <c r="A40" s="16"/>
      <c r="B40" s="17"/>
      <c r="C40" s="18" t="s">
        <v>4</v>
      </c>
      <c r="D40" s="1">
        <f aca="true" t="shared" si="11" ref="D40:K40">D38+D31</f>
        <v>15096</v>
      </c>
      <c r="E40" s="1">
        <f t="shared" si="11"/>
        <v>25217.1</v>
      </c>
      <c r="F40" s="1">
        <f>F38+F31</f>
        <v>5020.200000000001</v>
      </c>
      <c r="G40" s="1">
        <f>G38+G31</f>
        <v>6380.4</v>
      </c>
      <c r="H40" s="1">
        <f t="shared" si="11"/>
        <v>6857.7</v>
      </c>
      <c r="I40" s="1">
        <f>I38+I31</f>
        <v>4981.6</v>
      </c>
      <c r="J40" s="1">
        <f>J38+J31</f>
        <v>18258.300000000003</v>
      </c>
      <c r="K40" s="1">
        <f t="shared" si="11"/>
        <v>24277.2</v>
      </c>
      <c r="L40" s="27">
        <f t="shared" si="7"/>
        <v>160.818759936407</v>
      </c>
      <c r="M40" s="27">
        <f t="shared" si="9"/>
        <v>96.27276728886352</v>
      </c>
    </row>
    <row r="41" spans="1:13" ht="12.75">
      <c r="A41" s="49"/>
      <c r="B41" s="50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6"/>
    </row>
    <row r="42" spans="1:13" ht="12.75">
      <c r="A42" s="146" t="s">
        <v>29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8"/>
    </row>
    <row r="43" spans="1:13" ht="12.75">
      <c r="A43" s="25" t="s">
        <v>3</v>
      </c>
      <c r="B43" s="25"/>
      <c r="C43" s="26" t="s">
        <v>75</v>
      </c>
      <c r="D43" s="27">
        <f>D44+D46+D48+D49+D50+D51+D47+D45</f>
        <v>9532</v>
      </c>
      <c r="E43" s="27">
        <f>E44+E46+E48+E49+E50+E51+E47+E45</f>
        <v>10573</v>
      </c>
      <c r="F43" s="27">
        <f aca="true" t="shared" si="12" ref="F43:K43">F44+F46+F48+F49+F50+F51+F47+F45</f>
        <v>2253</v>
      </c>
      <c r="G43" s="27">
        <f t="shared" si="12"/>
        <v>2482.5</v>
      </c>
      <c r="H43" s="27">
        <f t="shared" si="12"/>
        <v>2377</v>
      </c>
      <c r="I43" s="27">
        <f t="shared" si="12"/>
        <v>2419.5</v>
      </c>
      <c r="J43" s="27">
        <f t="shared" si="12"/>
        <v>7112.5</v>
      </c>
      <c r="K43" s="27">
        <f t="shared" si="12"/>
        <v>10027.5</v>
      </c>
      <c r="L43" s="27">
        <f aca="true" t="shared" si="13" ref="L43:L54">K43*100/D43</f>
        <v>105.1982794796475</v>
      </c>
      <c r="M43" s="27">
        <f>K43/E43*100</f>
        <v>94.84063179797597</v>
      </c>
    </row>
    <row r="44" spans="1:13" ht="12.75">
      <c r="A44" s="16" t="s">
        <v>26</v>
      </c>
      <c r="B44" s="32"/>
      <c r="C44" s="46" t="s">
        <v>25</v>
      </c>
      <c r="D44" s="131">
        <v>6769</v>
      </c>
      <c r="E44" s="29">
        <v>7785.4</v>
      </c>
      <c r="F44" s="30">
        <v>1602</v>
      </c>
      <c r="G44" s="47">
        <v>1798.9</v>
      </c>
      <c r="H44" s="47">
        <v>1683</v>
      </c>
      <c r="I44" s="47">
        <v>1685.5</v>
      </c>
      <c r="J44" s="31">
        <f aca="true" t="shared" si="14" ref="J44:J53">F44+G44+H44</f>
        <v>5083.9</v>
      </c>
      <c r="K44" s="47">
        <v>8139.8</v>
      </c>
      <c r="L44" s="31">
        <f t="shared" si="13"/>
        <v>120.25114492539518</v>
      </c>
      <c r="M44" s="31">
        <f aca="true" t="shared" si="15" ref="M44:M54">K44/E44*100</f>
        <v>104.55211036041823</v>
      </c>
    </row>
    <row r="45" spans="1:13" ht="12.75">
      <c r="A45" s="32" t="s">
        <v>8</v>
      </c>
      <c r="B45" s="32"/>
      <c r="C45" s="28" t="s">
        <v>5</v>
      </c>
      <c r="D45" s="48"/>
      <c r="E45" s="29">
        <f aca="true" t="shared" si="16" ref="E45:E50">F45+G45+H45+I45</f>
        <v>5.6</v>
      </c>
      <c r="F45" s="30"/>
      <c r="G45" s="47">
        <v>5.6</v>
      </c>
      <c r="H45" s="47"/>
      <c r="I45" s="47"/>
      <c r="J45" s="31">
        <f t="shared" si="14"/>
        <v>5.6</v>
      </c>
      <c r="K45" s="47">
        <v>5.5</v>
      </c>
      <c r="L45" s="31"/>
      <c r="M45" s="31">
        <f t="shared" si="15"/>
        <v>98.21428571428572</v>
      </c>
    </row>
    <row r="46" spans="1:13" ht="12.75" customHeight="1" hidden="1">
      <c r="A46" s="32" t="s">
        <v>9</v>
      </c>
      <c r="B46" s="32"/>
      <c r="C46" s="28" t="s">
        <v>6</v>
      </c>
      <c r="D46" s="48">
        <v>2363</v>
      </c>
      <c r="E46" s="29">
        <f t="shared" si="16"/>
        <v>2288</v>
      </c>
      <c r="F46" s="30">
        <v>561</v>
      </c>
      <c r="G46" s="30">
        <v>519</v>
      </c>
      <c r="H46" s="30">
        <v>594</v>
      </c>
      <c r="I46" s="47">
        <v>614</v>
      </c>
      <c r="J46" s="31">
        <f t="shared" si="14"/>
        <v>1674</v>
      </c>
      <c r="K46" s="30">
        <v>1700.1</v>
      </c>
      <c r="L46" s="31">
        <f t="shared" si="13"/>
        <v>71.94667795175624</v>
      </c>
      <c r="M46" s="31">
        <f t="shared" si="15"/>
        <v>74.30506993006992</v>
      </c>
    </row>
    <row r="47" spans="1:13" ht="12.75">
      <c r="A47" s="32" t="s">
        <v>10</v>
      </c>
      <c r="B47" s="32"/>
      <c r="C47" s="28" t="s">
        <v>22</v>
      </c>
      <c r="D47" s="48"/>
      <c r="E47" s="29">
        <f t="shared" si="16"/>
        <v>0</v>
      </c>
      <c r="F47" s="30"/>
      <c r="G47" s="30"/>
      <c r="H47" s="30"/>
      <c r="I47" s="47"/>
      <c r="J47" s="31">
        <f t="shared" si="14"/>
        <v>0</v>
      </c>
      <c r="K47" s="30"/>
      <c r="L47" s="31" t="e">
        <f t="shared" si="13"/>
        <v>#DIV/0!</v>
      </c>
      <c r="M47" s="31"/>
    </row>
    <row r="48" spans="1:13" ht="24">
      <c r="A48" s="21" t="s">
        <v>11</v>
      </c>
      <c r="B48" s="21"/>
      <c r="C48" s="28" t="s">
        <v>17</v>
      </c>
      <c r="D48" s="48">
        <v>400</v>
      </c>
      <c r="E48" s="29">
        <f t="shared" si="16"/>
        <v>377</v>
      </c>
      <c r="F48" s="30">
        <v>90</v>
      </c>
      <c r="G48" s="30">
        <v>67</v>
      </c>
      <c r="H48" s="30">
        <v>100</v>
      </c>
      <c r="I48" s="47">
        <v>120</v>
      </c>
      <c r="J48" s="31">
        <f t="shared" si="14"/>
        <v>257</v>
      </c>
      <c r="K48" s="30">
        <v>44.8</v>
      </c>
      <c r="L48" s="31">
        <f t="shared" si="13"/>
        <v>11.2</v>
      </c>
      <c r="M48" s="31">
        <f t="shared" si="15"/>
        <v>11.883289124668433</v>
      </c>
    </row>
    <row r="49" spans="1:13" ht="12.75" customHeight="1" hidden="1">
      <c r="A49" s="34" t="s">
        <v>18</v>
      </c>
      <c r="B49" s="34"/>
      <c r="C49" s="28" t="s">
        <v>15</v>
      </c>
      <c r="D49" s="48"/>
      <c r="E49" s="29">
        <v>100</v>
      </c>
      <c r="F49" s="30"/>
      <c r="G49" s="30">
        <v>75</v>
      </c>
      <c r="H49" s="30"/>
      <c r="I49" s="47"/>
      <c r="J49" s="31">
        <f t="shared" si="14"/>
        <v>75</v>
      </c>
      <c r="K49" s="30">
        <v>119.7</v>
      </c>
      <c r="L49" s="31"/>
      <c r="M49" s="31">
        <f t="shared" si="15"/>
        <v>119.7</v>
      </c>
    </row>
    <row r="50" spans="1:13" ht="12.75">
      <c r="A50" s="16" t="s">
        <v>12</v>
      </c>
      <c r="B50" s="16"/>
      <c r="C50" s="28" t="s">
        <v>7</v>
      </c>
      <c r="D50" s="48"/>
      <c r="E50" s="29">
        <f t="shared" si="16"/>
        <v>17</v>
      </c>
      <c r="F50" s="30"/>
      <c r="G50" s="30">
        <v>17</v>
      </c>
      <c r="H50" s="30"/>
      <c r="I50" s="47"/>
      <c r="J50" s="31">
        <f t="shared" si="14"/>
        <v>17</v>
      </c>
      <c r="K50" s="30">
        <v>17</v>
      </c>
      <c r="L50" s="31"/>
      <c r="M50" s="31">
        <f t="shared" si="15"/>
        <v>100</v>
      </c>
    </row>
    <row r="51" spans="1:13" ht="12.75">
      <c r="A51" s="51" t="s">
        <v>44</v>
      </c>
      <c r="B51" s="36"/>
      <c r="C51" s="37" t="s">
        <v>45</v>
      </c>
      <c r="D51" s="132"/>
      <c r="E51" s="29"/>
      <c r="F51" s="30"/>
      <c r="G51" s="30"/>
      <c r="H51" s="30"/>
      <c r="I51" s="47"/>
      <c r="J51" s="31">
        <f t="shared" si="14"/>
        <v>0</v>
      </c>
      <c r="K51" s="30">
        <v>0.6</v>
      </c>
      <c r="L51" s="31"/>
      <c r="M51" s="27"/>
    </row>
    <row r="52" spans="1:13" ht="12.75">
      <c r="A52" s="44" t="s">
        <v>1</v>
      </c>
      <c r="B52" s="44"/>
      <c r="C52" s="38" t="s">
        <v>0</v>
      </c>
      <c r="D52" s="39">
        <f aca="true" t="shared" si="17" ref="D52:K52">D53</f>
        <v>19187.4</v>
      </c>
      <c r="E52" s="39">
        <f t="shared" si="17"/>
        <v>56919.8</v>
      </c>
      <c r="F52" s="39">
        <f t="shared" si="17"/>
        <v>27988.2</v>
      </c>
      <c r="G52" s="39">
        <f t="shared" si="17"/>
        <v>15577.4</v>
      </c>
      <c r="H52" s="39">
        <f t="shared" si="17"/>
        <v>5489.5</v>
      </c>
      <c r="I52" s="39">
        <f t="shared" si="17"/>
        <v>4796.8</v>
      </c>
      <c r="J52" s="39">
        <f t="shared" si="17"/>
        <v>49055.1</v>
      </c>
      <c r="K52" s="39">
        <f t="shared" si="17"/>
        <v>52508.8</v>
      </c>
      <c r="L52" s="27">
        <f t="shared" si="13"/>
        <v>273.6629246276202</v>
      </c>
      <c r="M52" s="27">
        <f t="shared" si="15"/>
        <v>92.25049982607106</v>
      </c>
    </row>
    <row r="53" spans="1:13" ht="24">
      <c r="A53" s="23" t="s">
        <v>21</v>
      </c>
      <c r="B53" s="32"/>
      <c r="C53" s="40" t="s">
        <v>20</v>
      </c>
      <c r="D53" s="48">
        <v>19187.4</v>
      </c>
      <c r="E53" s="29">
        <v>56919.8</v>
      </c>
      <c r="F53" s="30">
        <v>27988.2</v>
      </c>
      <c r="G53" s="30">
        <v>15577.4</v>
      </c>
      <c r="H53" s="30">
        <v>5489.5</v>
      </c>
      <c r="I53" s="30">
        <v>4796.8</v>
      </c>
      <c r="J53" s="31">
        <f t="shared" si="14"/>
        <v>49055.1</v>
      </c>
      <c r="K53" s="30">
        <v>52508.8</v>
      </c>
      <c r="L53" s="31">
        <f t="shared" si="13"/>
        <v>273.6629246276202</v>
      </c>
      <c r="M53" s="31">
        <f t="shared" si="15"/>
        <v>92.25049982607106</v>
      </c>
    </row>
    <row r="54" spans="1:13" ht="12.75">
      <c r="A54" s="21"/>
      <c r="B54" s="52"/>
      <c r="C54" s="53" t="s">
        <v>4</v>
      </c>
      <c r="D54" s="133">
        <f aca="true" t="shared" si="18" ref="D54:K54">D52+D43</f>
        <v>28719.4</v>
      </c>
      <c r="E54" s="54">
        <f t="shared" si="18"/>
        <v>67492.8</v>
      </c>
      <c r="F54" s="54">
        <f t="shared" si="18"/>
        <v>30241.2</v>
      </c>
      <c r="G54" s="54">
        <f t="shared" si="18"/>
        <v>18059.9</v>
      </c>
      <c r="H54" s="54">
        <f t="shared" si="18"/>
        <v>7866.5</v>
      </c>
      <c r="I54" s="54">
        <f t="shared" si="18"/>
        <v>7216.3</v>
      </c>
      <c r="J54" s="54">
        <f t="shared" si="18"/>
        <v>56167.6</v>
      </c>
      <c r="K54" s="1">
        <f t="shared" si="18"/>
        <v>62536.3</v>
      </c>
      <c r="L54" s="27">
        <f t="shared" si="13"/>
        <v>217.74932623940612</v>
      </c>
      <c r="M54" s="27">
        <f t="shared" si="15"/>
        <v>92.65625370409882</v>
      </c>
    </row>
    <row r="55" spans="1:13" ht="12.75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</row>
    <row r="56" spans="1:13" ht="12.75">
      <c r="A56" s="146" t="s">
        <v>30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8"/>
    </row>
    <row r="57" spans="1:13" ht="12.75">
      <c r="A57" s="25" t="s">
        <v>3</v>
      </c>
      <c r="B57" s="25"/>
      <c r="C57" s="26" t="s">
        <v>75</v>
      </c>
      <c r="D57" s="27">
        <f>D58+D60+D62+D63+D61+D65+D64+D59</f>
        <v>30153</v>
      </c>
      <c r="E57" s="27">
        <f>E58+E60+E62+E63+E61+E65+E64+E59</f>
        <v>32953</v>
      </c>
      <c r="F57" s="27">
        <f aca="true" t="shared" si="19" ref="F57:K57">F58+F60+F62+F63+F61+F65+F64+F59</f>
        <v>5989.7</v>
      </c>
      <c r="G57" s="27">
        <f t="shared" si="19"/>
        <v>8316.5</v>
      </c>
      <c r="H57" s="27">
        <f t="shared" si="19"/>
        <v>11105.5</v>
      </c>
      <c r="I57" s="27">
        <f t="shared" si="19"/>
        <v>7541.3</v>
      </c>
      <c r="J57" s="27">
        <f t="shared" si="19"/>
        <v>25411.7</v>
      </c>
      <c r="K57" s="27">
        <f t="shared" si="19"/>
        <v>26156.999999999996</v>
      </c>
      <c r="L57" s="27">
        <f aca="true" t="shared" si="20" ref="L57:L69">K57*100/D57</f>
        <v>86.74758730474578</v>
      </c>
      <c r="M57" s="27">
        <f>K57/E57*100</f>
        <v>79.37668801019633</v>
      </c>
    </row>
    <row r="58" spans="1:13" ht="12.75">
      <c r="A58" s="16" t="s">
        <v>26</v>
      </c>
      <c r="B58" s="16"/>
      <c r="C58" s="28" t="s">
        <v>25</v>
      </c>
      <c r="D58" s="48">
        <v>17043</v>
      </c>
      <c r="E58" s="29">
        <f>F58+G58+H58+I58</f>
        <v>17043</v>
      </c>
      <c r="F58" s="30">
        <f>3423.7</f>
        <v>3423.7</v>
      </c>
      <c r="G58" s="30">
        <f>4134+22.5</f>
        <v>4156.5</v>
      </c>
      <c r="H58" s="30">
        <f>5237.5+3</f>
        <v>5240.5</v>
      </c>
      <c r="I58" s="30">
        <f>4220.8+1.5</f>
        <v>4222.3</v>
      </c>
      <c r="J58" s="31">
        <f aca="true" t="shared" si="21" ref="J58:J68">F58+G58+H58</f>
        <v>12820.7</v>
      </c>
      <c r="K58" s="30">
        <v>11588.2</v>
      </c>
      <c r="L58" s="31">
        <f t="shared" si="20"/>
        <v>67.99389778794813</v>
      </c>
      <c r="M58" s="31">
        <f aca="true" t="shared" si="22" ref="M58:M69">K58/E58*100</f>
        <v>67.99389778794813</v>
      </c>
    </row>
    <row r="59" spans="1:13" ht="12.75" customHeight="1" hidden="1">
      <c r="A59" s="32" t="s">
        <v>8</v>
      </c>
      <c r="B59" s="32"/>
      <c r="C59" s="28" t="s">
        <v>5</v>
      </c>
      <c r="D59" s="48"/>
      <c r="E59" s="29"/>
      <c r="F59" s="30"/>
      <c r="G59" s="30"/>
      <c r="H59" s="30"/>
      <c r="I59" s="30"/>
      <c r="J59" s="31">
        <f t="shared" si="21"/>
        <v>0</v>
      </c>
      <c r="K59" s="30">
        <v>34.8</v>
      </c>
      <c r="L59" s="31"/>
      <c r="M59" s="31"/>
    </row>
    <row r="60" spans="1:13" ht="12.75">
      <c r="A60" s="32" t="s">
        <v>9</v>
      </c>
      <c r="B60" s="32"/>
      <c r="C60" s="28" t="s">
        <v>6</v>
      </c>
      <c r="D60" s="48">
        <v>4200</v>
      </c>
      <c r="E60" s="29">
        <f>F60+G60+H60+I60</f>
        <v>6100</v>
      </c>
      <c r="F60" s="30">
        <f>400</f>
        <v>400</v>
      </c>
      <c r="G60" s="30">
        <f>100+500+1000</f>
        <v>1600</v>
      </c>
      <c r="H60" s="30">
        <f>300+1355+450+900</f>
        <v>3005</v>
      </c>
      <c r="I60" s="30">
        <f>500+145+450</f>
        <v>1095</v>
      </c>
      <c r="J60" s="31">
        <f t="shared" si="21"/>
        <v>5005</v>
      </c>
      <c r="K60" s="30">
        <v>6391</v>
      </c>
      <c r="L60" s="31">
        <f t="shared" si="20"/>
        <v>152.16666666666666</v>
      </c>
      <c r="M60" s="31">
        <f t="shared" si="22"/>
        <v>104.77049180327869</v>
      </c>
    </row>
    <row r="61" spans="1:13" ht="12.75">
      <c r="A61" s="32" t="s">
        <v>10</v>
      </c>
      <c r="B61" s="32"/>
      <c r="C61" s="28" t="s">
        <v>22</v>
      </c>
      <c r="D61" s="48"/>
      <c r="E61" s="29"/>
      <c r="F61" s="30"/>
      <c r="G61" s="30"/>
      <c r="H61" s="30"/>
      <c r="I61" s="30"/>
      <c r="J61" s="31">
        <f t="shared" si="21"/>
        <v>0</v>
      </c>
      <c r="K61" s="30">
        <v>7</v>
      </c>
      <c r="L61" s="31"/>
      <c r="M61" s="31"/>
    </row>
    <row r="62" spans="1:13" ht="12.75" customHeight="1">
      <c r="A62" s="21" t="s">
        <v>11</v>
      </c>
      <c r="B62" s="21"/>
      <c r="C62" s="28" t="s">
        <v>17</v>
      </c>
      <c r="D62" s="48">
        <v>8903</v>
      </c>
      <c r="E62" s="29">
        <f>F62+G62+H62+I62</f>
        <v>8903</v>
      </c>
      <c r="F62" s="30">
        <f>2150+9</f>
        <v>2159</v>
      </c>
      <c r="G62" s="30">
        <f>2250+10</f>
        <v>2260</v>
      </c>
      <c r="H62" s="30">
        <f>2250+10</f>
        <v>2260</v>
      </c>
      <c r="I62" s="30">
        <f>2215+9</f>
        <v>2224</v>
      </c>
      <c r="J62" s="31">
        <f t="shared" si="21"/>
        <v>6679</v>
      </c>
      <c r="K62" s="30">
        <v>6489.9</v>
      </c>
      <c r="L62" s="31">
        <f t="shared" si="20"/>
        <v>72.89565315062339</v>
      </c>
      <c r="M62" s="31">
        <f t="shared" si="22"/>
        <v>72.89565315062339</v>
      </c>
    </row>
    <row r="63" spans="1:13" ht="12.75">
      <c r="A63" s="33" t="s">
        <v>18</v>
      </c>
      <c r="B63" s="33"/>
      <c r="C63" s="28" t="s">
        <v>15</v>
      </c>
      <c r="D63" s="48">
        <v>7</v>
      </c>
      <c r="E63" s="29">
        <f>F63+G63+H63+I63</f>
        <v>907</v>
      </c>
      <c r="F63" s="30">
        <f>7</f>
        <v>7</v>
      </c>
      <c r="G63" s="30">
        <v>300</v>
      </c>
      <c r="H63" s="30">
        <v>600</v>
      </c>
      <c r="I63" s="30"/>
      <c r="J63" s="31">
        <f t="shared" si="21"/>
        <v>907</v>
      </c>
      <c r="K63" s="30">
        <v>1571.8</v>
      </c>
      <c r="L63" s="31">
        <f t="shared" si="20"/>
        <v>22454.285714285714</v>
      </c>
      <c r="M63" s="31">
        <f t="shared" si="22"/>
        <v>173.29658213891952</v>
      </c>
    </row>
    <row r="64" spans="1:13" ht="12.75">
      <c r="A64" s="16" t="s">
        <v>12</v>
      </c>
      <c r="B64" s="16"/>
      <c r="C64" s="28" t="s">
        <v>7</v>
      </c>
      <c r="D64" s="48"/>
      <c r="E64" s="29"/>
      <c r="F64" s="30"/>
      <c r="G64" s="30"/>
      <c r="H64" s="30"/>
      <c r="I64" s="30"/>
      <c r="J64" s="31">
        <f t="shared" si="21"/>
        <v>0</v>
      </c>
      <c r="K64" s="30">
        <v>60.5</v>
      </c>
      <c r="L64" s="31"/>
      <c r="M64" s="31"/>
    </row>
    <row r="65" spans="1:13" ht="12.75">
      <c r="A65" s="35" t="s">
        <v>44</v>
      </c>
      <c r="B65" s="36"/>
      <c r="C65" s="37" t="s">
        <v>45</v>
      </c>
      <c r="D65" s="132"/>
      <c r="E65" s="29"/>
      <c r="F65" s="30"/>
      <c r="G65" s="30"/>
      <c r="H65" s="30"/>
      <c r="I65" s="30"/>
      <c r="J65" s="31">
        <f t="shared" si="21"/>
        <v>0</v>
      </c>
      <c r="K65" s="30">
        <v>13.8</v>
      </c>
      <c r="L65" s="31"/>
      <c r="M65" s="31"/>
    </row>
    <row r="66" spans="1:13" ht="12.75">
      <c r="A66" s="25" t="s">
        <v>1</v>
      </c>
      <c r="B66" s="25"/>
      <c r="C66" s="38" t="s">
        <v>0</v>
      </c>
      <c r="D66" s="39">
        <f>D67+D68</f>
        <v>28022</v>
      </c>
      <c r="E66" s="39">
        <f>E67+E68</f>
        <v>57560.9</v>
      </c>
      <c r="F66" s="39">
        <f aca="true" t="shared" si="23" ref="F66:K66">F67+F68</f>
        <v>19486.3</v>
      </c>
      <c r="G66" s="39">
        <f t="shared" si="23"/>
        <v>15978.1</v>
      </c>
      <c r="H66" s="39">
        <f t="shared" si="23"/>
        <v>10427.3</v>
      </c>
      <c r="I66" s="39">
        <f t="shared" si="23"/>
        <v>7188.200000000001</v>
      </c>
      <c r="J66" s="39">
        <f t="shared" si="23"/>
        <v>45891.7</v>
      </c>
      <c r="K66" s="39">
        <f t="shared" si="23"/>
        <v>51514.6</v>
      </c>
      <c r="L66" s="27">
        <f t="shared" si="20"/>
        <v>183.83627150096353</v>
      </c>
      <c r="M66" s="27">
        <f t="shared" si="22"/>
        <v>89.4958209479004</v>
      </c>
    </row>
    <row r="67" spans="1:13" ht="24">
      <c r="A67" s="23" t="s">
        <v>21</v>
      </c>
      <c r="B67" s="32"/>
      <c r="C67" s="40" t="s">
        <v>20</v>
      </c>
      <c r="D67" s="48">
        <v>28022</v>
      </c>
      <c r="E67" s="29">
        <v>57510.9</v>
      </c>
      <c r="F67" s="30">
        <v>19486.3</v>
      </c>
      <c r="G67" s="30">
        <v>15928.1</v>
      </c>
      <c r="H67" s="30">
        <v>10427.3</v>
      </c>
      <c r="I67" s="30">
        <f>7008.1+180.1</f>
        <v>7188.200000000001</v>
      </c>
      <c r="J67" s="31">
        <f t="shared" si="21"/>
        <v>45841.7</v>
      </c>
      <c r="K67" s="30">
        <v>51464.6</v>
      </c>
      <c r="L67" s="31">
        <f t="shared" si="20"/>
        <v>183.6578402683606</v>
      </c>
      <c r="M67" s="31">
        <f t="shared" si="22"/>
        <v>89.486688610333</v>
      </c>
    </row>
    <row r="68" spans="1:13" ht="12.75">
      <c r="A68" s="22" t="s">
        <v>2</v>
      </c>
      <c r="B68" s="22"/>
      <c r="C68" s="41" t="s">
        <v>19</v>
      </c>
      <c r="D68" s="134"/>
      <c r="E68" s="29">
        <v>50</v>
      </c>
      <c r="F68" s="30"/>
      <c r="G68" s="30">
        <v>50</v>
      </c>
      <c r="H68" s="30"/>
      <c r="I68" s="30"/>
      <c r="J68" s="31">
        <f t="shared" si="21"/>
        <v>50</v>
      </c>
      <c r="K68" s="30">
        <v>50</v>
      </c>
      <c r="L68" s="31"/>
      <c r="M68" s="31">
        <f>K68/E68*100</f>
        <v>100</v>
      </c>
    </row>
    <row r="69" spans="1:13" ht="12.75">
      <c r="A69" s="16"/>
      <c r="B69" s="17"/>
      <c r="C69" s="18" t="s">
        <v>4</v>
      </c>
      <c r="D69" s="45">
        <f>D66+D57</f>
        <v>58175</v>
      </c>
      <c r="E69" s="1">
        <f>E66+E57</f>
        <v>90513.9</v>
      </c>
      <c r="F69" s="1">
        <f aca="true" t="shared" si="24" ref="F69:K69">F66+F57</f>
        <v>25476</v>
      </c>
      <c r="G69" s="1">
        <f t="shared" si="24"/>
        <v>24294.6</v>
      </c>
      <c r="H69" s="1">
        <f t="shared" si="24"/>
        <v>21532.8</v>
      </c>
      <c r="I69" s="1">
        <f t="shared" si="24"/>
        <v>14729.5</v>
      </c>
      <c r="J69" s="1">
        <f t="shared" si="24"/>
        <v>71303.4</v>
      </c>
      <c r="K69" s="1">
        <f t="shared" si="24"/>
        <v>77671.59999999999</v>
      </c>
      <c r="L69" s="27">
        <f t="shared" si="20"/>
        <v>133.51370863773096</v>
      </c>
      <c r="M69" s="27">
        <f t="shared" si="22"/>
        <v>85.81179244292865</v>
      </c>
    </row>
    <row r="70" spans="1:13" ht="12.75">
      <c r="A70" s="14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1"/>
    </row>
    <row r="71" spans="1:13" ht="12.75" customHeight="1" hidden="1">
      <c r="A71" s="146" t="s">
        <v>31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8"/>
    </row>
    <row r="72" spans="1:13" ht="12.75">
      <c r="A72" s="25" t="s">
        <v>3</v>
      </c>
      <c r="B72" s="25"/>
      <c r="C72" s="26" t="s">
        <v>75</v>
      </c>
      <c r="D72" s="135">
        <f>D73+D74+D75+D76+D77+D78+D79+D80+D81</f>
        <v>19332</v>
      </c>
      <c r="E72" s="27">
        <f>E73+E74+E75+E76+E77+E78+E79+E80+E81</f>
        <v>22733.4</v>
      </c>
      <c r="F72" s="27">
        <f aca="true" t="shared" si="25" ref="F72:K72">F73+F74+F75+F76+F77+F78+F79+F80+F81+F82</f>
        <v>3560.3999999999996</v>
      </c>
      <c r="G72" s="27">
        <f t="shared" si="25"/>
        <v>8382.699999999999</v>
      </c>
      <c r="H72" s="27">
        <f t="shared" si="25"/>
        <v>5133.8</v>
      </c>
      <c r="I72" s="27">
        <f t="shared" si="25"/>
        <v>5656.5</v>
      </c>
      <c r="J72" s="27">
        <f t="shared" si="25"/>
        <v>17076.9</v>
      </c>
      <c r="K72" s="27">
        <f t="shared" si="25"/>
        <v>21425.8</v>
      </c>
      <c r="L72" s="27">
        <f aca="true" t="shared" si="26" ref="L72:L86">K72*100/D72</f>
        <v>110.83074694806538</v>
      </c>
      <c r="M72" s="27">
        <f>K72/E72*100</f>
        <v>94.24811070935274</v>
      </c>
    </row>
    <row r="73" spans="1:13" ht="12.75" customHeight="1" hidden="1">
      <c r="A73" s="16" t="s">
        <v>26</v>
      </c>
      <c r="B73" s="16"/>
      <c r="C73" s="28" t="s">
        <v>25</v>
      </c>
      <c r="D73" s="125">
        <v>13185</v>
      </c>
      <c r="E73" s="29">
        <f>F73+G73+H73+I73</f>
        <v>14085</v>
      </c>
      <c r="F73" s="30">
        <v>2430</v>
      </c>
      <c r="G73" s="30">
        <v>4200</v>
      </c>
      <c r="H73" s="30">
        <v>3600</v>
      </c>
      <c r="I73" s="30">
        <v>3855</v>
      </c>
      <c r="J73" s="31">
        <f aca="true" t="shared" si="27" ref="J73:J81">F73+G73+H73</f>
        <v>10230</v>
      </c>
      <c r="K73" s="30">
        <v>12630.1</v>
      </c>
      <c r="L73" s="31">
        <f t="shared" si="26"/>
        <v>95.79142965491089</v>
      </c>
      <c r="M73" s="31">
        <f>K73/E73*100</f>
        <v>89.67057152999645</v>
      </c>
    </row>
    <row r="74" spans="1:13" ht="12.75">
      <c r="A74" s="32" t="s">
        <v>8</v>
      </c>
      <c r="B74" s="32"/>
      <c r="C74" s="28" t="s">
        <v>5</v>
      </c>
      <c r="D74" s="125"/>
      <c r="E74" s="29">
        <f>F74+G74+H74+I74</f>
        <v>0</v>
      </c>
      <c r="F74" s="30"/>
      <c r="G74" s="30"/>
      <c r="H74" s="30"/>
      <c r="I74" s="30"/>
      <c r="J74" s="31">
        <f t="shared" si="27"/>
        <v>0</v>
      </c>
      <c r="K74" s="30"/>
      <c r="L74" s="31" t="e">
        <f t="shared" si="26"/>
        <v>#DIV/0!</v>
      </c>
      <c r="M74" s="31"/>
    </row>
    <row r="75" spans="1:13" ht="12.75">
      <c r="A75" s="32" t="s">
        <v>9</v>
      </c>
      <c r="B75" s="32"/>
      <c r="C75" s="28" t="s">
        <v>6</v>
      </c>
      <c r="D75" s="125">
        <v>791</v>
      </c>
      <c r="E75" s="29">
        <f aca="true" t="shared" si="28" ref="E75:E82">F75+G75+H75+I75</f>
        <v>791</v>
      </c>
      <c r="F75" s="30">
        <v>51.5</v>
      </c>
      <c r="G75" s="30">
        <v>425</v>
      </c>
      <c r="H75" s="30">
        <v>131</v>
      </c>
      <c r="I75" s="30">
        <v>183.5</v>
      </c>
      <c r="J75" s="31">
        <f t="shared" si="27"/>
        <v>607.5</v>
      </c>
      <c r="K75" s="30">
        <v>1197.1</v>
      </c>
      <c r="L75" s="31">
        <f t="shared" si="26"/>
        <v>151.34007585335016</v>
      </c>
      <c r="M75" s="31">
        <f>K75/E75*100</f>
        <v>151.34007585335019</v>
      </c>
    </row>
    <row r="76" spans="1:13" ht="12.75">
      <c r="A76" s="32" t="s">
        <v>10</v>
      </c>
      <c r="B76" s="32"/>
      <c r="C76" s="28" t="s">
        <v>22</v>
      </c>
      <c r="D76" s="125"/>
      <c r="E76" s="29">
        <f t="shared" si="28"/>
        <v>0</v>
      </c>
      <c r="F76" s="30"/>
      <c r="G76" s="30"/>
      <c r="H76" s="30"/>
      <c r="I76" s="30"/>
      <c r="J76" s="31">
        <f t="shared" si="27"/>
        <v>0</v>
      </c>
      <c r="K76" s="30"/>
      <c r="L76" s="31" t="e">
        <f t="shared" si="26"/>
        <v>#DIV/0!</v>
      </c>
      <c r="M76" s="31"/>
    </row>
    <row r="77" spans="1:13" ht="12.75" customHeight="1" hidden="1">
      <c r="A77" s="21" t="s">
        <v>11</v>
      </c>
      <c r="B77" s="21"/>
      <c r="C77" s="28" t="s">
        <v>17</v>
      </c>
      <c r="D77" s="125">
        <v>4890</v>
      </c>
      <c r="E77" s="29">
        <f t="shared" si="28"/>
        <v>4890</v>
      </c>
      <c r="F77" s="30">
        <v>952.2</v>
      </c>
      <c r="G77" s="30">
        <v>1219.5</v>
      </c>
      <c r="H77" s="30">
        <v>1287</v>
      </c>
      <c r="I77" s="30">
        <v>1431.3</v>
      </c>
      <c r="J77" s="31">
        <f t="shared" si="27"/>
        <v>3458.7</v>
      </c>
      <c r="K77" s="30">
        <v>4286.3</v>
      </c>
      <c r="L77" s="31">
        <f t="shared" si="26"/>
        <v>87.65439672801637</v>
      </c>
      <c r="M77" s="31">
        <f>K77/E77*100</f>
        <v>87.65439672801637</v>
      </c>
    </row>
    <row r="78" spans="1:13" ht="12.75">
      <c r="A78" s="34" t="s">
        <v>47</v>
      </c>
      <c r="B78" s="34"/>
      <c r="C78" s="28" t="s">
        <v>48</v>
      </c>
      <c r="D78" s="125">
        <v>466</v>
      </c>
      <c r="E78" s="29">
        <f t="shared" si="28"/>
        <v>493.4</v>
      </c>
      <c r="F78" s="30">
        <v>126.7</v>
      </c>
      <c r="G78" s="30">
        <v>64.2</v>
      </c>
      <c r="H78" s="30">
        <v>115.8</v>
      </c>
      <c r="I78" s="30">
        <v>186.7</v>
      </c>
      <c r="J78" s="31">
        <f t="shared" si="27"/>
        <v>306.7</v>
      </c>
      <c r="K78" s="30">
        <v>330.8</v>
      </c>
      <c r="L78" s="31">
        <f t="shared" si="26"/>
        <v>70.98712446351931</v>
      </c>
      <c r="M78" s="31">
        <f>K78/E78*100</f>
        <v>67.04499391974058</v>
      </c>
    </row>
    <row r="79" spans="1:13" ht="12.75" customHeight="1" hidden="1">
      <c r="A79" s="33" t="s">
        <v>18</v>
      </c>
      <c r="B79" s="33"/>
      <c r="C79" s="28" t="s">
        <v>15</v>
      </c>
      <c r="D79" s="125"/>
      <c r="E79" s="29">
        <f t="shared" si="28"/>
        <v>2353.7</v>
      </c>
      <c r="F79" s="30"/>
      <c r="G79" s="30">
        <v>2353.7</v>
      </c>
      <c r="H79" s="30"/>
      <c r="I79" s="30"/>
      <c r="J79" s="31">
        <f t="shared" si="27"/>
        <v>2353.7</v>
      </c>
      <c r="K79" s="30">
        <v>2524.5</v>
      </c>
      <c r="L79" s="31"/>
      <c r="M79" s="31">
        <f>K79/E79*100</f>
        <v>107.25665972723797</v>
      </c>
    </row>
    <row r="80" spans="1:13" ht="12.75">
      <c r="A80" s="16" t="s">
        <v>12</v>
      </c>
      <c r="B80" s="16"/>
      <c r="C80" s="28" t="s">
        <v>7</v>
      </c>
      <c r="D80" s="125"/>
      <c r="E80" s="29">
        <f t="shared" si="28"/>
        <v>120.3</v>
      </c>
      <c r="F80" s="30"/>
      <c r="G80" s="30">
        <v>120.3</v>
      </c>
      <c r="H80" s="30"/>
      <c r="I80" s="30"/>
      <c r="J80" s="31">
        <f t="shared" si="27"/>
        <v>120.3</v>
      </c>
      <c r="K80" s="30">
        <v>120.3</v>
      </c>
      <c r="L80" s="31"/>
      <c r="M80" s="31">
        <f>K80/E80*100</f>
        <v>100</v>
      </c>
    </row>
    <row r="81" spans="1:13" ht="12.75">
      <c r="A81" s="35" t="s">
        <v>44</v>
      </c>
      <c r="B81" s="36"/>
      <c r="C81" s="37" t="s">
        <v>45</v>
      </c>
      <c r="D81" s="126"/>
      <c r="E81" s="29"/>
      <c r="F81" s="30"/>
      <c r="G81" s="30"/>
      <c r="H81" s="30"/>
      <c r="I81" s="30"/>
      <c r="J81" s="31">
        <f t="shared" si="27"/>
        <v>0</v>
      </c>
      <c r="K81" s="30">
        <v>336.7</v>
      </c>
      <c r="L81" s="31"/>
      <c r="M81" s="27"/>
    </row>
    <row r="82" spans="1:13" ht="12.75" customHeight="1" hidden="1">
      <c r="A82" s="35" t="s">
        <v>49</v>
      </c>
      <c r="B82" s="36"/>
      <c r="C82" s="37" t="s">
        <v>50</v>
      </c>
      <c r="D82" s="126"/>
      <c r="E82" s="29">
        <f t="shared" si="28"/>
        <v>0</v>
      </c>
      <c r="F82" s="30"/>
      <c r="G82" s="30"/>
      <c r="H82" s="30"/>
      <c r="I82" s="30"/>
      <c r="J82" s="27">
        <f>F82</f>
        <v>0</v>
      </c>
      <c r="K82" s="30"/>
      <c r="L82" s="31" t="e">
        <f t="shared" si="26"/>
        <v>#DIV/0!</v>
      </c>
      <c r="M82" s="27"/>
    </row>
    <row r="83" spans="1:13" ht="12.75">
      <c r="A83" s="25" t="s">
        <v>1</v>
      </c>
      <c r="B83" s="25"/>
      <c r="C83" s="38" t="s">
        <v>0</v>
      </c>
      <c r="D83" s="130">
        <f aca="true" t="shared" si="29" ref="D83:J83">D84+D85</f>
        <v>49900.7</v>
      </c>
      <c r="E83" s="39">
        <f t="shared" si="29"/>
        <v>103212.4</v>
      </c>
      <c r="F83" s="39">
        <f t="shared" si="29"/>
        <v>20603.4</v>
      </c>
      <c r="G83" s="39">
        <f t="shared" si="29"/>
        <v>40129.6</v>
      </c>
      <c r="H83" s="39">
        <f t="shared" si="29"/>
        <v>27038.4</v>
      </c>
      <c r="I83" s="39">
        <f t="shared" si="29"/>
        <v>11436.5</v>
      </c>
      <c r="J83" s="39">
        <f t="shared" si="29"/>
        <v>87771.4</v>
      </c>
      <c r="K83" s="39">
        <f>K84+K85</f>
        <v>91825.7</v>
      </c>
      <c r="L83" s="27">
        <f t="shared" si="26"/>
        <v>184.0168574789532</v>
      </c>
      <c r="M83" s="27">
        <f>K83/E83*100</f>
        <v>88.96770155523949</v>
      </c>
    </row>
    <row r="84" spans="1:13" ht="24">
      <c r="A84" s="23" t="s">
        <v>21</v>
      </c>
      <c r="B84" s="32"/>
      <c r="C84" s="40" t="s">
        <v>20</v>
      </c>
      <c r="D84" s="125">
        <v>49900.7</v>
      </c>
      <c r="E84" s="29">
        <v>96972.9</v>
      </c>
      <c r="F84" s="30">
        <v>20583.4</v>
      </c>
      <c r="G84" s="30">
        <f>44286.1-7268</f>
        <v>37018.1</v>
      </c>
      <c r="H84" s="30">
        <v>23930.4</v>
      </c>
      <c r="I84" s="30">
        <f>11266.4+170.1</f>
        <v>11436.5</v>
      </c>
      <c r="J84" s="31">
        <f>F84+G84+H84</f>
        <v>81531.9</v>
      </c>
      <c r="K84" s="30">
        <v>85202.5</v>
      </c>
      <c r="L84" s="31">
        <f t="shared" si="26"/>
        <v>170.7440977781875</v>
      </c>
      <c r="M84" s="31">
        <f>K84/E84*100</f>
        <v>87.8621759275014</v>
      </c>
    </row>
    <row r="85" spans="1:13" ht="12.75">
      <c r="A85" s="22" t="s">
        <v>2</v>
      </c>
      <c r="B85" s="22"/>
      <c r="C85" s="41" t="s">
        <v>19</v>
      </c>
      <c r="D85" s="127"/>
      <c r="E85" s="29">
        <f>F85+G85+H85+I85</f>
        <v>6239.5</v>
      </c>
      <c r="F85" s="30">
        <v>20</v>
      </c>
      <c r="G85" s="30">
        <v>3111.5</v>
      </c>
      <c r="H85" s="30">
        <v>3108</v>
      </c>
      <c r="I85" s="30"/>
      <c r="J85" s="31">
        <f>F85+G85+H85</f>
        <v>6239.5</v>
      </c>
      <c r="K85" s="30">
        <v>6623.2</v>
      </c>
      <c r="L85" s="31"/>
      <c r="M85" s="31">
        <f>K85/E85*100</f>
        <v>106.14953121243688</v>
      </c>
    </row>
    <row r="86" spans="1:13" ht="12.75">
      <c r="A86" s="16"/>
      <c r="B86" s="17"/>
      <c r="C86" s="18" t="s">
        <v>4</v>
      </c>
      <c r="D86" s="1">
        <f aca="true" t="shared" si="30" ref="D86:J86">D83+D72</f>
        <v>69232.7</v>
      </c>
      <c r="E86" s="1">
        <f t="shared" si="30"/>
        <v>125945.79999999999</v>
      </c>
      <c r="F86" s="1">
        <f t="shared" si="30"/>
        <v>24163.800000000003</v>
      </c>
      <c r="G86" s="1">
        <f t="shared" si="30"/>
        <v>48512.299999999996</v>
      </c>
      <c r="H86" s="1">
        <f t="shared" si="30"/>
        <v>32172.2</v>
      </c>
      <c r="I86" s="1">
        <f t="shared" si="30"/>
        <v>17093</v>
      </c>
      <c r="J86" s="1">
        <f t="shared" si="30"/>
        <v>104848.29999999999</v>
      </c>
      <c r="K86" s="1">
        <f>K83+K72</f>
        <v>113251.5</v>
      </c>
      <c r="L86" s="27">
        <f t="shared" si="26"/>
        <v>163.5809379093983</v>
      </c>
      <c r="M86" s="27">
        <f>K86/E86*100</f>
        <v>89.9208230842156</v>
      </c>
    </row>
    <row r="87" spans="1:13" ht="12.75">
      <c r="A87" s="149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1"/>
    </row>
    <row r="88" spans="1:13" ht="12.75">
      <c r="A88" s="146" t="s">
        <v>32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8"/>
    </row>
    <row r="89" spans="1:13" ht="12.75">
      <c r="A89" s="44" t="s">
        <v>3</v>
      </c>
      <c r="B89" s="44"/>
      <c r="C89" s="26" t="s">
        <v>75</v>
      </c>
      <c r="D89" s="1">
        <f aca="true" t="shared" si="31" ref="D89:J89">D90+D91+D95+D92+D93+D97+D94+D96</f>
        <v>1508</v>
      </c>
      <c r="E89" s="45">
        <f t="shared" si="31"/>
        <v>1894.8</v>
      </c>
      <c r="F89" s="45">
        <f t="shared" si="31"/>
        <v>357.9</v>
      </c>
      <c r="G89" s="45">
        <f t="shared" si="31"/>
        <v>360.1</v>
      </c>
      <c r="H89" s="45">
        <f t="shared" si="31"/>
        <v>781.7</v>
      </c>
      <c r="I89" s="45">
        <f t="shared" si="31"/>
        <v>395.1</v>
      </c>
      <c r="J89" s="45">
        <f t="shared" si="31"/>
        <v>1499.7</v>
      </c>
      <c r="K89" s="45">
        <f>K90+K91+K95+K92+K93+K97+K94+K96</f>
        <v>1709.1</v>
      </c>
      <c r="L89" s="27">
        <f aca="true" t="shared" si="32" ref="L89:L101">K89*100/D89</f>
        <v>113.33554376657825</v>
      </c>
      <c r="M89" s="27">
        <f>K89/E89*100</f>
        <v>90.19949335022166</v>
      </c>
    </row>
    <row r="90" spans="1:13" ht="12.75">
      <c r="A90" s="16" t="s">
        <v>26</v>
      </c>
      <c r="B90" s="16"/>
      <c r="C90" s="28" t="s">
        <v>25</v>
      </c>
      <c r="D90" s="125">
        <v>1227</v>
      </c>
      <c r="E90" s="29">
        <f aca="true" t="shared" si="33" ref="E90:E100">F90+G90+H90+I90</f>
        <v>1227</v>
      </c>
      <c r="F90" s="30">
        <v>306.7</v>
      </c>
      <c r="G90" s="30">
        <v>306.8</v>
      </c>
      <c r="H90" s="30">
        <v>306.7</v>
      </c>
      <c r="I90" s="30">
        <v>306.8</v>
      </c>
      <c r="J90" s="31">
        <f aca="true" t="shared" si="34" ref="J90:J100">F90+G90+H90</f>
        <v>920.2</v>
      </c>
      <c r="K90" s="30">
        <v>1112.2</v>
      </c>
      <c r="L90" s="31">
        <f t="shared" si="32"/>
        <v>90.6438467807661</v>
      </c>
      <c r="M90" s="31">
        <f aca="true" t="shared" si="35" ref="M90:M101">K90/E90*100</f>
        <v>90.6438467807661</v>
      </c>
    </row>
    <row r="91" spans="1:13" ht="12.75">
      <c r="A91" s="32" t="s">
        <v>9</v>
      </c>
      <c r="B91" s="32"/>
      <c r="C91" s="28" t="s">
        <v>6</v>
      </c>
      <c r="D91" s="125">
        <v>76</v>
      </c>
      <c r="E91" s="29">
        <f t="shared" si="33"/>
        <v>76</v>
      </c>
      <c r="F91" s="30">
        <v>1.5</v>
      </c>
      <c r="G91" s="30">
        <v>1.5</v>
      </c>
      <c r="H91" s="30">
        <v>36.5</v>
      </c>
      <c r="I91" s="30">
        <v>36.5</v>
      </c>
      <c r="J91" s="31">
        <f t="shared" si="34"/>
        <v>39.5</v>
      </c>
      <c r="K91" s="30">
        <v>51.1</v>
      </c>
      <c r="L91" s="31">
        <f t="shared" si="32"/>
        <v>67.23684210526316</v>
      </c>
      <c r="M91" s="31">
        <f t="shared" si="35"/>
        <v>67.23684210526316</v>
      </c>
    </row>
    <row r="92" spans="1:13" ht="12.75">
      <c r="A92" s="32" t="s">
        <v>10</v>
      </c>
      <c r="B92" s="32"/>
      <c r="C92" s="28" t="s">
        <v>22</v>
      </c>
      <c r="D92" s="125">
        <v>10</v>
      </c>
      <c r="E92" s="29">
        <f t="shared" si="33"/>
        <v>10</v>
      </c>
      <c r="F92" s="30">
        <v>1</v>
      </c>
      <c r="G92" s="30">
        <v>3</v>
      </c>
      <c r="H92" s="30">
        <v>3</v>
      </c>
      <c r="I92" s="30">
        <v>3</v>
      </c>
      <c r="J92" s="31">
        <f t="shared" si="34"/>
        <v>7</v>
      </c>
      <c r="K92" s="30">
        <v>2.7</v>
      </c>
      <c r="L92" s="31">
        <f t="shared" si="32"/>
        <v>27</v>
      </c>
      <c r="M92" s="31">
        <f t="shared" si="35"/>
        <v>27</v>
      </c>
    </row>
    <row r="93" spans="1:13" ht="24">
      <c r="A93" s="21" t="s">
        <v>11</v>
      </c>
      <c r="B93" s="21"/>
      <c r="C93" s="28" t="s">
        <v>17</v>
      </c>
      <c r="D93" s="125">
        <v>195</v>
      </c>
      <c r="E93" s="29">
        <f t="shared" si="33"/>
        <v>195</v>
      </c>
      <c r="F93" s="30">
        <v>48.7</v>
      </c>
      <c r="G93" s="30">
        <v>48.8</v>
      </c>
      <c r="H93" s="30">
        <v>48.7</v>
      </c>
      <c r="I93" s="30">
        <v>48.8</v>
      </c>
      <c r="J93" s="31">
        <f t="shared" si="34"/>
        <v>146.2</v>
      </c>
      <c r="K93" s="30">
        <v>18.3</v>
      </c>
      <c r="L93" s="31">
        <f t="shared" si="32"/>
        <v>9.384615384615385</v>
      </c>
      <c r="M93" s="31">
        <f t="shared" si="35"/>
        <v>9.384615384615385</v>
      </c>
    </row>
    <row r="94" spans="1:13" ht="12.75">
      <c r="A94" s="34" t="s">
        <v>47</v>
      </c>
      <c r="B94" s="34"/>
      <c r="C94" s="28" t="s">
        <v>48</v>
      </c>
      <c r="D94" s="125"/>
      <c r="E94" s="29"/>
      <c r="F94" s="30"/>
      <c r="G94" s="30"/>
      <c r="H94" s="30"/>
      <c r="I94" s="30"/>
      <c r="J94" s="31">
        <f t="shared" si="34"/>
        <v>0</v>
      </c>
      <c r="K94" s="30">
        <v>28.1</v>
      </c>
      <c r="L94" s="31"/>
      <c r="M94" s="31"/>
    </row>
    <row r="95" spans="1:13" ht="12.75">
      <c r="A95" s="34" t="s">
        <v>18</v>
      </c>
      <c r="B95" s="34"/>
      <c r="C95" s="28" t="s">
        <v>15</v>
      </c>
      <c r="D95" s="125"/>
      <c r="E95" s="29"/>
      <c r="F95" s="30"/>
      <c r="G95" s="30"/>
      <c r="H95" s="30"/>
      <c r="I95" s="30"/>
      <c r="J95" s="31">
        <f t="shared" si="34"/>
        <v>0</v>
      </c>
      <c r="K95" s="30">
        <v>39.9</v>
      </c>
      <c r="L95" s="31"/>
      <c r="M95" s="31"/>
    </row>
    <row r="96" spans="1:13" ht="12.75">
      <c r="A96" s="16" t="s">
        <v>12</v>
      </c>
      <c r="B96" s="16"/>
      <c r="C96" s="28" t="s">
        <v>7</v>
      </c>
      <c r="D96" s="125"/>
      <c r="E96" s="29">
        <f>F96+G96+H96+I96</f>
        <v>386.8</v>
      </c>
      <c r="F96" s="30"/>
      <c r="G96" s="30"/>
      <c r="H96" s="30">
        <v>386.8</v>
      </c>
      <c r="I96" s="30"/>
      <c r="J96" s="31">
        <f t="shared" si="34"/>
        <v>386.8</v>
      </c>
      <c r="K96" s="30">
        <v>456.8</v>
      </c>
      <c r="L96" s="31"/>
      <c r="M96" s="31"/>
    </row>
    <row r="97" spans="1:13" ht="12.75">
      <c r="A97" s="34" t="s">
        <v>44</v>
      </c>
      <c r="B97" s="55"/>
      <c r="C97" s="37" t="s">
        <v>45</v>
      </c>
      <c r="D97" s="126"/>
      <c r="E97" s="29"/>
      <c r="F97" s="30"/>
      <c r="G97" s="30"/>
      <c r="H97" s="30"/>
      <c r="I97" s="30"/>
      <c r="J97" s="31">
        <f t="shared" si="34"/>
        <v>0</v>
      </c>
      <c r="K97" s="30"/>
      <c r="L97" s="31"/>
      <c r="M97" s="27"/>
    </row>
    <row r="98" spans="1:13" ht="12.75">
      <c r="A98" s="44" t="s">
        <v>1</v>
      </c>
      <c r="B98" s="44"/>
      <c r="C98" s="38" t="s">
        <v>0</v>
      </c>
      <c r="D98" s="130">
        <f>D99</f>
        <v>17157.7</v>
      </c>
      <c r="E98" s="39">
        <f>E99</f>
        <v>33918</v>
      </c>
      <c r="F98" s="39">
        <f>F99</f>
        <v>7013.6</v>
      </c>
      <c r="G98" s="39">
        <f>G99+G100</f>
        <v>7547.9000000000015</v>
      </c>
      <c r="H98" s="39">
        <f>H99+H100</f>
        <v>8461.2</v>
      </c>
      <c r="I98" s="39">
        <f>I99+I100</f>
        <v>7157.700000000001</v>
      </c>
      <c r="J98" s="39">
        <f>J99+J100</f>
        <v>23022.700000000004</v>
      </c>
      <c r="K98" s="39">
        <f>K99+K100</f>
        <v>30902</v>
      </c>
      <c r="L98" s="27">
        <f t="shared" si="32"/>
        <v>180.1057251263281</v>
      </c>
      <c r="M98" s="27">
        <f t="shared" si="35"/>
        <v>91.10796627159621</v>
      </c>
    </row>
    <row r="99" spans="1:13" ht="24">
      <c r="A99" s="23" t="s">
        <v>21</v>
      </c>
      <c r="B99" s="32"/>
      <c r="C99" s="40" t="s">
        <v>20</v>
      </c>
      <c r="D99" s="125">
        <v>17157.7</v>
      </c>
      <c r="E99" s="29">
        <v>33918</v>
      </c>
      <c r="F99" s="30">
        <f>6853.6+160</f>
        <v>7013.6</v>
      </c>
      <c r="G99" s="30">
        <f>6864.1+47.6+522.1+114.1</f>
        <v>7547.9000000000015</v>
      </c>
      <c r="H99" s="30">
        <f>6853.6+1315.9+77.6+214.1</f>
        <v>8461.2</v>
      </c>
      <c r="I99" s="30">
        <f>6853.6+304.1</f>
        <v>7157.700000000001</v>
      </c>
      <c r="J99" s="31">
        <f t="shared" si="34"/>
        <v>23022.700000000004</v>
      </c>
      <c r="K99" s="30">
        <v>30617.9</v>
      </c>
      <c r="L99" s="31">
        <f t="shared" si="32"/>
        <v>178.44990878730832</v>
      </c>
      <c r="M99" s="31">
        <f t="shared" si="35"/>
        <v>90.2703579220473</v>
      </c>
    </row>
    <row r="100" spans="1:13" ht="12.75">
      <c r="A100" s="22" t="s">
        <v>2</v>
      </c>
      <c r="B100" s="22"/>
      <c r="C100" s="41" t="s">
        <v>19</v>
      </c>
      <c r="D100" s="127"/>
      <c r="E100" s="29">
        <f t="shared" si="33"/>
        <v>0</v>
      </c>
      <c r="F100" s="30"/>
      <c r="G100" s="30"/>
      <c r="H100" s="30"/>
      <c r="I100" s="30"/>
      <c r="J100" s="31">
        <f t="shared" si="34"/>
        <v>0</v>
      </c>
      <c r="K100" s="30">
        <v>284.1</v>
      </c>
      <c r="L100" s="31"/>
      <c r="M100" s="31"/>
    </row>
    <row r="101" spans="1:13" ht="12.75">
      <c r="A101" s="16"/>
      <c r="B101" s="17"/>
      <c r="C101" s="18" t="s">
        <v>4</v>
      </c>
      <c r="D101" s="1">
        <f>D98+D89</f>
        <v>18665.7</v>
      </c>
      <c r="E101" s="1">
        <f>E98+E89</f>
        <v>35812.8</v>
      </c>
      <c r="F101" s="1">
        <f aca="true" t="shared" si="36" ref="F101:K101">F98+F89</f>
        <v>7371.5</v>
      </c>
      <c r="G101" s="1">
        <f t="shared" si="36"/>
        <v>7908.000000000002</v>
      </c>
      <c r="H101" s="1">
        <f t="shared" si="36"/>
        <v>9242.900000000001</v>
      </c>
      <c r="I101" s="1">
        <f t="shared" si="36"/>
        <v>7552.800000000001</v>
      </c>
      <c r="J101" s="1">
        <f t="shared" si="36"/>
        <v>24522.400000000005</v>
      </c>
      <c r="K101" s="1">
        <f t="shared" si="36"/>
        <v>32611.1</v>
      </c>
      <c r="L101" s="27">
        <f t="shared" si="32"/>
        <v>174.71136898160796</v>
      </c>
      <c r="M101" s="27">
        <f t="shared" si="35"/>
        <v>91.05990037081713</v>
      </c>
    </row>
    <row r="102" spans="1:13" ht="12.75">
      <c r="A102" s="149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1"/>
    </row>
    <row r="103" spans="1:13" ht="12.75">
      <c r="A103" s="146" t="s">
        <v>33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8"/>
    </row>
    <row r="104" spans="1:13" ht="12.75">
      <c r="A104" s="25" t="s">
        <v>3</v>
      </c>
      <c r="B104" s="25"/>
      <c r="C104" s="26" t="s">
        <v>75</v>
      </c>
      <c r="D104" s="27">
        <f aca="true" t="shared" si="37" ref="D104:J104">D105+D106+D110+D107+D108+D111+D112+D109</f>
        <v>1167</v>
      </c>
      <c r="E104" s="27">
        <f t="shared" si="37"/>
        <v>1381.8999999999999</v>
      </c>
      <c r="F104" s="27">
        <f t="shared" si="37"/>
        <v>156.09999999999997</v>
      </c>
      <c r="G104" s="27">
        <f t="shared" si="37"/>
        <v>563.0000000000001</v>
      </c>
      <c r="H104" s="27">
        <f t="shared" si="37"/>
        <v>291</v>
      </c>
      <c r="I104" s="27">
        <f t="shared" si="37"/>
        <v>371.8</v>
      </c>
      <c r="J104" s="27">
        <f t="shared" si="37"/>
        <v>1010.1</v>
      </c>
      <c r="K104" s="27">
        <f>K105+K106+K110+K107+K108+K111+K112+K109</f>
        <v>1260.1</v>
      </c>
      <c r="L104" s="27">
        <f aca="true" t="shared" si="38" ref="L104:L115">K104*100/D104</f>
        <v>107.97772065124249</v>
      </c>
      <c r="M104" s="27">
        <f>K104/E104*100</f>
        <v>91.1860481945148</v>
      </c>
    </row>
    <row r="105" spans="1:13" ht="12.75">
      <c r="A105" s="16" t="s">
        <v>26</v>
      </c>
      <c r="B105" s="16"/>
      <c r="C105" s="28" t="s">
        <v>25</v>
      </c>
      <c r="D105" s="48">
        <v>930</v>
      </c>
      <c r="E105" s="29">
        <v>930</v>
      </c>
      <c r="F105" s="30">
        <v>137.7</v>
      </c>
      <c r="G105" s="30">
        <v>302.5</v>
      </c>
      <c r="H105" s="30">
        <v>196</v>
      </c>
      <c r="I105" s="30">
        <v>293.8</v>
      </c>
      <c r="J105" s="31">
        <f aca="true" t="shared" si="39" ref="J105:J114">F105+G105+H105</f>
        <v>636.2</v>
      </c>
      <c r="K105" s="30">
        <v>720.9</v>
      </c>
      <c r="L105" s="31">
        <f t="shared" si="38"/>
        <v>77.51612903225806</v>
      </c>
      <c r="M105" s="31">
        <f aca="true" t="shared" si="40" ref="M105:M115">K105/E105*100</f>
        <v>77.51612903225806</v>
      </c>
    </row>
    <row r="106" spans="1:13" ht="12.75" customHeight="1" hidden="1">
      <c r="A106" s="32" t="s">
        <v>9</v>
      </c>
      <c r="B106" s="32"/>
      <c r="C106" s="28" t="s">
        <v>6</v>
      </c>
      <c r="D106" s="48">
        <v>90</v>
      </c>
      <c r="E106" s="29">
        <f aca="true" t="shared" si="41" ref="E106:E112">F106+G106+H106+I106</f>
        <v>90</v>
      </c>
      <c r="F106" s="30"/>
      <c r="G106" s="30">
        <v>27</v>
      </c>
      <c r="H106" s="30">
        <v>38</v>
      </c>
      <c r="I106" s="30">
        <v>25</v>
      </c>
      <c r="J106" s="31">
        <f t="shared" si="39"/>
        <v>65</v>
      </c>
      <c r="K106" s="30">
        <v>46</v>
      </c>
      <c r="L106" s="31">
        <f t="shared" si="38"/>
        <v>51.111111111111114</v>
      </c>
      <c r="M106" s="31">
        <f t="shared" si="40"/>
        <v>51.11111111111111</v>
      </c>
    </row>
    <row r="107" spans="1:13" ht="12.75">
      <c r="A107" s="32" t="s">
        <v>10</v>
      </c>
      <c r="B107" s="32"/>
      <c r="C107" s="28" t="s">
        <v>22</v>
      </c>
      <c r="D107" s="48">
        <v>30</v>
      </c>
      <c r="E107" s="29">
        <f t="shared" si="41"/>
        <v>30</v>
      </c>
      <c r="F107" s="30">
        <v>3.2</v>
      </c>
      <c r="G107" s="30">
        <v>6.7</v>
      </c>
      <c r="H107" s="30">
        <v>10.4</v>
      </c>
      <c r="I107" s="30">
        <v>9.7</v>
      </c>
      <c r="J107" s="31">
        <f t="shared" si="39"/>
        <v>20.3</v>
      </c>
      <c r="K107" s="30">
        <v>25.9</v>
      </c>
      <c r="L107" s="31">
        <f t="shared" si="38"/>
        <v>86.33333333333333</v>
      </c>
      <c r="M107" s="31">
        <f t="shared" si="40"/>
        <v>86.33333333333333</v>
      </c>
    </row>
    <row r="108" spans="1:13" ht="24">
      <c r="A108" s="21" t="s">
        <v>11</v>
      </c>
      <c r="B108" s="21"/>
      <c r="C108" s="28" t="s">
        <v>17</v>
      </c>
      <c r="D108" s="48">
        <v>117</v>
      </c>
      <c r="E108" s="29">
        <f t="shared" si="41"/>
        <v>148.3</v>
      </c>
      <c r="F108" s="30">
        <v>15.2</v>
      </c>
      <c r="G108" s="30">
        <v>43.2</v>
      </c>
      <c r="H108" s="30">
        <v>46.6</v>
      </c>
      <c r="I108" s="30">
        <v>43.3</v>
      </c>
      <c r="J108" s="31">
        <f t="shared" si="39"/>
        <v>105</v>
      </c>
      <c r="K108" s="30">
        <v>81.9</v>
      </c>
      <c r="L108" s="31">
        <f t="shared" si="38"/>
        <v>70.00000000000001</v>
      </c>
      <c r="M108" s="31">
        <f t="shared" si="40"/>
        <v>55.225893459204315</v>
      </c>
    </row>
    <row r="109" spans="1:13" ht="12.75">
      <c r="A109" s="34" t="s">
        <v>47</v>
      </c>
      <c r="B109" s="34"/>
      <c r="C109" s="28" t="s">
        <v>48</v>
      </c>
      <c r="D109" s="48"/>
      <c r="E109" s="29"/>
      <c r="F109" s="30"/>
      <c r="G109" s="30"/>
      <c r="H109" s="30"/>
      <c r="I109" s="30"/>
      <c r="J109" s="31"/>
      <c r="K109" s="30">
        <v>50.5</v>
      </c>
      <c r="L109" s="31"/>
      <c r="M109" s="31"/>
    </row>
    <row r="110" spans="1:13" ht="12.75">
      <c r="A110" s="33" t="s">
        <v>18</v>
      </c>
      <c r="B110" s="33"/>
      <c r="C110" s="28" t="s">
        <v>15</v>
      </c>
      <c r="D110" s="48"/>
      <c r="E110" s="29">
        <f t="shared" si="41"/>
        <v>183.6</v>
      </c>
      <c r="F110" s="30"/>
      <c r="G110" s="30">
        <v>183.6</v>
      </c>
      <c r="H110" s="30"/>
      <c r="I110" s="30"/>
      <c r="J110" s="31">
        <f t="shared" si="39"/>
        <v>183.6</v>
      </c>
      <c r="K110" s="30">
        <v>183.6</v>
      </c>
      <c r="L110" s="31"/>
      <c r="M110" s="31">
        <f t="shared" si="40"/>
        <v>100</v>
      </c>
    </row>
    <row r="111" spans="1:13" ht="12.75">
      <c r="A111" s="16" t="s">
        <v>12</v>
      </c>
      <c r="B111" s="16"/>
      <c r="C111" s="28" t="s">
        <v>7</v>
      </c>
      <c r="D111" s="48"/>
      <c r="E111" s="29">
        <f t="shared" si="41"/>
        <v>0</v>
      </c>
      <c r="F111" s="30"/>
      <c r="G111" s="30"/>
      <c r="H111" s="30"/>
      <c r="I111" s="30"/>
      <c r="J111" s="31">
        <f t="shared" si="39"/>
        <v>0</v>
      </c>
      <c r="K111" s="30"/>
      <c r="L111" s="31"/>
      <c r="M111" s="31"/>
    </row>
    <row r="112" spans="1:13" ht="12.75">
      <c r="A112" s="33" t="s">
        <v>44</v>
      </c>
      <c r="B112" s="55"/>
      <c r="C112" s="37" t="s">
        <v>45</v>
      </c>
      <c r="D112" s="132"/>
      <c r="E112" s="29">
        <f t="shared" si="41"/>
        <v>0</v>
      </c>
      <c r="F112" s="30"/>
      <c r="G112" s="30"/>
      <c r="H112" s="30"/>
      <c r="I112" s="30"/>
      <c r="J112" s="31">
        <f t="shared" si="39"/>
        <v>0</v>
      </c>
      <c r="K112" s="30">
        <v>151.3</v>
      </c>
      <c r="L112" s="31"/>
      <c r="M112" s="31"/>
    </row>
    <row r="113" spans="1:13" ht="12.75">
      <c r="A113" s="25" t="s">
        <v>1</v>
      </c>
      <c r="B113" s="25"/>
      <c r="C113" s="38" t="s">
        <v>0</v>
      </c>
      <c r="D113" s="39">
        <f aca="true" t="shared" si="42" ref="D113:K113">D114</f>
        <v>23012.5</v>
      </c>
      <c r="E113" s="39">
        <f t="shared" si="42"/>
        <v>38560.5</v>
      </c>
      <c r="F113" s="39">
        <f t="shared" si="42"/>
        <v>4611.4</v>
      </c>
      <c r="G113" s="39">
        <f t="shared" si="42"/>
        <v>12763.4</v>
      </c>
      <c r="H113" s="39">
        <f t="shared" si="42"/>
        <v>13165.1</v>
      </c>
      <c r="I113" s="39">
        <f t="shared" si="42"/>
        <v>5816.1</v>
      </c>
      <c r="J113" s="39">
        <f t="shared" si="42"/>
        <v>30539.9</v>
      </c>
      <c r="K113" s="56">
        <f t="shared" si="42"/>
        <v>33063.9</v>
      </c>
      <c r="L113" s="27">
        <f t="shared" si="38"/>
        <v>143.6780010863661</v>
      </c>
      <c r="M113" s="27">
        <f t="shared" si="40"/>
        <v>85.7455167853114</v>
      </c>
    </row>
    <row r="114" spans="1:13" ht="24">
      <c r="A114" s="23" t="s">
        <v>21</v>
      </c>
      <c r="B114" s="32"/>
      <c r="C114" s="40" t="s">
        <v>20</v>
      </c>
      <c r="D114" s="48">
        <v>23012.5</v>
      </c>
      <c r="E114" s="29">
        <v>38560.5</v>
      </c>
      <c r="F114" s="30">
        <v>4611.4</v>
      </c>
      <c r="G114" s="30">
        <v>12763.4</v>
      </c>
      <c r="H114" s="30">
        <f>12640.9+129.5+394.7</f>
        <v>13165.1</v>
      </c>
      <c r="I114" s="30">
        <v>5816.1</v>
      </c>
      <c r="J114" s="31">
        <f t="shared" si="39"/>
        <v>30539.9</v>
      </c>
      <c r="K114" s="30">
        <v>33063.9</v>
      </c>
      <c r="L114" s="31">
        <f t="shared" si="38"/>
        <v>143.6780010863661</v>
      </c>
      <c r="M114" s="31">
        <f t="shared" si="40"/>
        <v>85.7455167853114</v>
      </c>
    </row>
    <row r="115" spans="1:13" ht="12.75">
      <c r="A115" s="16"/>
      <c r="B115" s="17"/>
      <c r="C115" s="18" t="s">
        <v>4</v>
      </c>
      <c r="D115" s="45">
        <f>D113+D104</f>
        <v>24179.5</v>
      </c>
      <c r="E115" s="1">
        <f>E113+E104</f>
        <v>39942.4</v>
      </c>
      <c r="F115" s="1">
        <f aca="true" t="shared" si="43" ref="F115:K115">F113+F104</f>
        <v>4767.5</v>
      </c>
      <c r="G115" s="1">
        <f t="shared" si="43"/>
        <v>13326.4</v>
      </c>
      <c r="H115" s="1">
        <f t="shared" si="43"/>
        <v>13456.1</v>
      </c>
      <c r="I115" s="1">
        <f t="shared" si="43"/>
        <v>6187.900000000001</v>
      </c>
      <c r="J115" s="1">
        <f t="shared" si="43"/>
        <v>31550</v>
      </c>
      <c r="K115" s="1">
        <f t="shared" si="43"/>
        <v>34324</v>
      </c>
      <c r="L115" s="27">
        <f t="shared" si="38"/>
        <v>141.9549618478463</v>
      </c>
      <c r="M115" s="27">
        <f t="shared" si="40"/>
        <v>85.93374459221278</v>
      </c>
    </row>
    <row r="116" spans="1:17" ht="12.75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1"/>
      <c r="Q116" s="3"/>
    </row>
    <row r="117" spans="1:13" ht="12.75">
      <c r="A117" s="146" t="s">
        <v>34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8"/>
    </row>
    <row r="118" spans="1:13" ht="12.75">
      <c r="A118" s="25" t="s">
        <v>3</v>
      </c>
      <c r="B118" s="25"/>
      <c r="C118" s="26" t="s">
        <v>75</v>
      </c>
      <c r="D118" s="27">
        <f>D119+D120+D121+D122+D124+D126+D123+D125</f>
        <v>2174</v>
      </c>
      <c r="E118" s="27">
        <f>E119+E120+E121+E122+E124+E126+E123+E125</f>
        <v>2174</v>
      </c>
      <c r="F118" s="27">
        <f aca="true" t="shared" si="44" ref="F118:K118">F119+F120+F121+F122+F124+F126+F123+F125</f>
        <v>434.8</v>
      </c>
      <c r="G118" s="27">
        <f t="shared" si="44"/>
        <v>652.2</v>
      </c>
      <c r="H118" s="27">
        <f t="shared" si="44"/>
        <v>587</v>
      </c>
      <c r="I118" s="27">
        <f t="shared" si="44"/>
        <v>500</v>
      </c>
      <c r="J118" s="27">
        <f t="shared" si="44"/>
        <v>1674</v>
      </c>
      <c r="K118" s="27">
        <f t="shared" si="44"/>
        <v>2011.6999999999996</v>
      </c>
      <c r="L118" s="27">
        <f aca="true" t="shared" si="45" ref="L118:L129">K118*100/D118</f>
        <v>92.53449862005519</v>
      </c>
      <c r="M118" s="27">
        <f>K118/E118*100</f>
        <v>92.53449862005519</v>
      </c>
    </row>
    <row r="119" spans="1:13" ht="13.5" customHeight="1" hidden="1">
      <c r="A119" s="16" t="s">
        <v>26</v>
      </c>
      <c r="B119" s="16"/>
      <c r="C119" s="28" t="s">
        <v>25</v>
      </c>
      <c r="D119" s="48">
        <v>1456</v>
      </c>
      <c r="E119" s="29">
        <f aca="true" t="shared" si="46" ref="E119:E126">F119+G119+H119+I119</f>
        <v>1456</v>
      </c>
      <c r="F119" s="30">
        <v>291.2</v>
      </c>
      <c r="G119" s="30">
        <v>436.8</v>
      </c>
      <c r="H119" s="30">
        <v>393.1</v>
      </c>
      <c r="I119" s="30">
        <v>334.9</v>
      </c>
      <c r="J119" s="31">
        <f aca="true" t="shared" si="47" ref="J119:J128">F119+G119+H119</f>
        <v>1121.1</v>
      </c>
      <c r="K119" s="30">
        <v>1442.6</v>
      </c>
      <c r="L119" s="31">
        <f t="shared" si="45"/>
        <v>99.07967032967034</v>
      </c>
      <c r="M119" s="31">
        <f aca="true" t="shared" si="48" ref="M119:M129">K119/E119*100</f>
        <v>99.07967032967032</v>
      </c>
    </row>
    <row r="120" spans="1:13" ht="12.75">
      <c r="A120" s="32" t="s">
        <v>9</v>
      </c>
      <c r="B120" s="32"/>
      <c r="C120" s="28" t="s">
        <v>6</v>
      </c>
      <c r="D120" s="48">
        <v>233</v>
      </c>
      <c r="E120" s="29">
        <f t="shared" si="46"/>
        <v>233</v>
      </c>
      <c r="F120" s="30">
        <v>46.6</v>
      </c>
      <c r="G120" s="30">
        <v>69.9</v>
      </c>
      <c r="H120" s="30">
        <v>62.9</v>
      </c>
      <c r="I120" s="30">
        <v>53.6</v>
      </c>
      <c r="J120" s="31">
        <f t="shared" si="47"/>
        <v>179.4</v>
      </c>
      <c r="K120" s="30">
        <v>178.5</v>
      </c>
      <c r="L120" s="31">
        <f t="shared" si="45"/>
        <v>76.60944206008584</v>
      </c>
      <c r="M120" s="31">
        <f t="shared" si="48"/>
        <v>76.60944206008584</v>
      </c>
    </row>
    <row r="121" spans="1:13" ht="12.75">
      <c r="A121" s="32" t="s">
        <v>10</v>
      </c>
      <c r="B121" s="32"/>
      <c r="C121" s="28" t="s">
        <v>22</v>
      </c>
      <c r="D121" s="48">
        <v>35</v>
      </c>
      <c r="E121" s="29">
        <f t="shared" si="46"/>
        <v>35</v>
      </c>
      <c r="F121" s="30">
        <v>7</v>
      </c>
      <c r="G121" s="30">
        <v>10.5</v>
      </c>
      <c r="H121" s="30">
        <v>9.5</v>
      </c>
      <c r="I121" s="30">
        <v>8</v>
      </c>
      <c r="J121" s="31">
        <f t="shared" si="47"/>
        <v>27</v>
      </c>
      <c r="K121" s="30">
        <v>45.3</v>
      </c>
      <c r="L121" s="31">
        <f t="shared" si="45"/>
        <v>129.42857142857142</v>
      </c>
      <c r="M121" s="31">
        <f t="shared" si="48"/>
        <v>129.42857142857142</v>
      </c>
    </row>
    <row r="122" spans="1:13" ht="24">
      <c r="A122" s="21" t="s">
        <v>11</v>
      </c>
      <c r="B122" s="21"/>
      <c r="C122" s="28" t="s">
        <v>17</v>
      </c>
      <c r="D122" s="48">
        <v>370</v>
      </c>
      <c r="E122" s="29">
        <f t="shared" si="46"/>
        <v>370</v>
      </c>
      <c r="F122" s="30">
        <v>74</v>
      </c>
      <c r="G122" s="30">
        <v>111</v>
      </c>
      <c r="H122" s="30">
        <v>99.9</v>
      </c>
      <c r="I122" s="30">
        <v>85.1</v>
      </c>
      <c r="J122" s="31">
        <f t="shared" si="47"/>
        <v>284.9</v>
      </c>
      <c r="K122" s="30">
        <v>267.9</v>
      </c>
      <c r="L122" s="31">
        <f t="shared" si="45"/>
        <v>72.40540540540539</v>
      </c>
      <c r="M122" s="31">
        <f t="shared" si="48"/>
        <v>72.4054054054054</v>
      </c>
    </row>
    <row r="123" spans="1:13" ht="12.75">
      <c r="A123" s="34" t="s">
        <v>47</v>
      </c>
      <c r="B123" s="34"/>
      <c r="C123" s="28" t="s">
        <v>48</v>
      </c>
      <c r="D123" s="48">
        <v>80</v>
      </c>
      <c r="E123" s="29">
        <f t="shared" si="46"/>
        <v>80</v>
      </c>
      <c r="F123" s="30">
        <v>16</v>
      </c>
      <c r="G123" s="30">
        <v>24</v>
      </c>
      <c r="H123" s="30">
        <v>21.6</v>
      </c>
      <c r="I123" s="30">
        <v>18.4</v>
      </c>
      <c r="J123" s="31">
        <f t="shared" si="47"/>
        <v>61.6</v>
      </c>
      <c r="K123" s="30">
        <v>45.3</v>
      </c>
      <c r="L123" s="31">
        <f t="shared" si="45"/>
        <v>56.625</v>
      </c>
      <c r="M123" s="31">
        <f t="shared" si="48"/>
        <v>56.62499999999999</v>
      </c>
    </row>
    <row r="124" spans="1:13" ht="12.75">
      <c r="A124" s="34" t="s">
        <v>18</v>
      </c>
      <c r="B124" s="34"/>
      <c r="C124" s="28" t="s">
        <v>15</v>
      </c>
      <c r="D124" s="48"/>
      <c r="E124" s="29">
        <f t="shared" si="46"/>
        <v>0</v>
      </c>
      <c r="F124" s="30"/>
      <c r="G124" s="30"/>
      <c r="H124" s="30"/>
      <c r="I124" s="30"/>
      <c r="J124" s="31">
        <f t="shared" si="47"/>
        <v>0</v>
      </c>
      <c r="K124" s="30">
        <v>2.1</v>
      </c>
      <c r="L124" s="31"/>
      <c r="M124" s="31"/>
    </row>
    <row r="125" spans="1:13" ht="12.75">
      <c r="A125" s="16" t="s">
        <v>12</v>
      </c>
      <c r="B125" s="16"/>
      <c r="C125" s="28" t="s">
        <v>7</v>
      </c>
      <c r="D125" s="48"/>
      <c r="E125" s="29">
        <f t="shared" si="46"/>
        <v>0</v>
      </c>
      <c r="F125" s="30"/>
      <c r="G125" s="30"/>
      <c r="H125" s="30"/>
      <c r="I125" s="30"/>
      <c r="J125" s="31">
        <f t="shared" si="47"/>
        <v>0</v>
      </c>
      <c r="K125" s="30">
        <v>30</v>
      </c>
      <c r="L125" s="31"/>
      <c r="M125" s="31"/>
    </row>
    <row r="126" spans="1:13" ht="12.75">
      <c r="A126" s="34" t="s">
        <v>44</v>
      </c>
      <c r="B126" s="55"/>
      <c r="C126" s="37" t="s">
        <v>45</v>
      </c>
      <c r="D126" s="132"/>
      <c r="E126" s="29">
        <f t="shared" si="46"/>
        <v>0</v>
      </c>
      <c r="F126" s="30"/>
      <c r="G126" s="30"/>
      <c r="H126" s="30"/>
      <c r="I126" s="30"/>
      <c r="J126" s="31">
        <f t="shared" si="47"/>
        <v>0</v>
      </c>
      <c r="K126" s="29">
        <v>0</v>
      </c>
      <c r="L126" s="31"/>
      <c r="M126" s="31"/>
    </row>
    <row r="127" spans="1:13" ht="12.75">
      <c r="A127" s="44" t="s">
        <v>1</v>
      </c>
      <c r="B127" s="44"/>
      <c r="C127" s="38" t="s">
        <v>0</v>
      </c>
      <c r="D127" s="39">
        <f aca="true" t="shared" si="49" ref="D127:I127">D128</f>
        <v>36593.5</v>
      </c>
      <c r="E127" s="39">
        <f t="shared" si="49"/>
        <v>60592</v>
      </c>
      <c r="F127" s="39">
        <f t="shared" si="49"/>
        <v>8272</v>
      </c>
      <c r="G127" s="39">
        <f t="shared" si="49"/>
        <v>18586.899999999998</v>
      </c>
      <c r="H127" s="39">
        <f t="shared" si="49"/>
        <v>17835.999999999996</v>
      </c>
      <c r="I127" s="39">
        <f t="shared" si="49"/>
        <v>10699</v>
      </c>
      <c r="J127" s="27">
        <f>F127</f>
        <v>8272</v>
      </c>
      <c r="K127" s="39">
        <f>K128</f>
        <v>53056.3</v>
      </c>
      <c r="L127" s="27">
        <f t="shared" si="45"/>
        <v>144.98831759738752</v>
      </c>
      <c r="M127" s="27">
        <f t="shared" si="48"/>
        <v>87.5632096646422</v>
      </c>
    </row>
    <row r="128" spans="1:13" ht="24">
      <c r="A128" s="23" t="s">
        <v>21</v>
      </c>
      <c r="B128" s="32"/>
      <c r="C128" s="40" t="s">
        <v>20</v>
      </c>
      <c r="D128" s="48">
        <v>36593.5</v>
      </c>
      <c r="E128" s="29">
        <v>60592</v>
      </c>
      <c r="F128" s="30">
        <v>8272</v>
      </c>
      <c r="G128" s="30">
        <f>17766.5+765.3+55.1</f>
        <v>18586.899999999998</v>
      </c>
      <c r="H128" s="30">
        <f>14997.2+2543.1+160.1+135.6</f>
        <v>17835.999999999996</v>
      </c>
      <c r="I128" s="30">
        <f>9194.1+1504.9</f>
        <v>10699</v>
      </c>
      <c r="J128" s="31">
        <f t="shared" si="47"/>
        <v>44694.899999999994</v>
      </c>
      <c r="K128" s="30">
        <v>53056.3</v>
      </c>
      <c r="L128" s="31">
        <f t="shared" si="45"/>
        <v>144.98831759738752</v>
      </c>
      <c r="M128" s="31">
        <f t="shared" si="48"/>
        <v>87.5632096646422</v>
      </c>
    </row>
    <row r="129" spans="1:13" ht="12.75">
      <c r="A129" s="16"/>
      <c r="B129" s="17"/>
      <c r="C129" s="18" t="s">
        <v>4</v>
      </c>
      <c r="D129" s="45">
        <f>D127+D118</f>
        <v>38767.5</v>
      </c>
      <c r="E129" s="1">
        <f>E127+E118</f>
        <v>62766</v>
      </c>
      <c r="F129" s="1">
        <f aca="true" t="shared" si="50" ref="F129:K129">F127+F118</f>
        <v>8706.8</v>
      </c>
      <c r="G129" s="1">
        <f t="shared" si="50"/>
        <v>19239.1</v>
      </c>
      <c r="H129" s="1">
        <f t="shared" si="50"/>
        <v>18422.999999999996</v>
      </c>
      <c r="I129" s="1">
        <f t="shared" si="50"/>
        <v>11199</v>
      </c>
      <c r="J129" s="1">
        <f t="shared" si="50"/>
        <v>9946</v>
      </c>
      <c r="K129" s="1">
        <f t="shared" si="50"/>
        <v>55068</v>
      </c>
      <c r="L129" s="27">
        <f t="shared" si="45"/>
        <v>142.0468175662604</v>
      </c>
      <c r="M129" s="27">
        <f t="shared" si="48"/>
        <v>87.73539814549278</v>
      </c>
    </row>
    <row r="130" spans="1:13" ht="12.75">
      <c r="A130" s="152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4"/>
    </row>
    <row r="131" spans="1:13" ht="12.75">
      <c r="A131" s="146" t="s">
        <v>35</v>
      </c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8"/>
    </row>
    <row r="132" spans="1:13" ht="21" customHeight="1" hidden="1">
      <c r="A132" s="25" t="s">
        <v>3</v>
      </c>
      <c r="B132" s="25"/>
      <c r="C132" s="26" t="s">
        <v>75</v>
      </c>
      <c r="D132" s="27">
        <f>D133+D135+D137+D139+D136+D140+D138+D134+D141</f>
        <v>13373</v>
      </c>
      <c r="E132" s="27">
        <f>E133+E135+E137+E139+E136+E140+E138+E134+E141</f>
        <v>14648</v>
      </c>
      <c r="F132" s="27">
        <f aca="true" t="shared" si="51" ref="F132:K132">F133+F135+F137+F139+F136+F140+F138+F134+F141</f>
        <v>4399</v>
      </c>
      <c r="G132" s="27">
        <f t="shared" si="51"/>
        <v>4051.5</v>
      </c>
      <c r="H132" s="27">
        <f t="shared" si="51"/>
        <v>3069</v>
      </c>
      <c r="I132" s="27">
        <f t="shared" si="51"/>
        <v>3128.5</v>
      </c>
      <c r="J132" s="27">
        <f t="shared" si="51"/>
        <v>11519.5</v>
      </c>
      <c r="K132" s="27">
        <f t="shared" si="51"/>
        <v>11622.4</v>
      </c>
      <c r="L132" s="27">
        <f aca="true" t="shared" si="52" ref="L132:L145">K132*100/D132</f>
        <v>86.90944440290137</v>
      </c>
      <c r="M132" s="27">
        <f>K132/E132*100</f>
        <v>79.34462042599672</v>
      </c>
    </row>
    <row r="133" spans="1:13" ht="12.75">
      <c r="A133" s="16" t="s">
        <v>26</v>
      </c>
      <c r="B133" s="16"/>
      <c r="C133" s="28" t="s">
        <v>25</v>
      </c>
      <c r="D133" s="48">
        <v>10703</v>
      </c>
      <c r="E133" s="29">
        <v>10702.7</v>
      </c>
      <c r="F133" s="30">
        <v>2600</v>
      </c>
      <c r="G133" s="30">
        <v>3301.5</v>
      </c>
      <c r="H133" s="30">
        <v>2300</v>
      </c>
      <c r="I133" s="30">
        <v>2501.5</v>
      </c>
      <c r="J133" s="31">
        <f aca="true" t="shared" si="53" ref="J133:J144">F133+G133+H133</f>
        <v>8201.5</v>
      </c>
      <c r="K133" s="30">
        <v>9932.5</v>
      </c>
      <c r="L133" s="31">
        <f t="shared" si="52"/>
        <v>92.80108380827805</v>
      </c>
      <c r="M133" s="31">
        <f aca="true" t="shared" si="54" ref="M133:M145">K133/E133*100</f>
        <v>92.80368505143561</v>
      </c>
    </row>
    <row r="134" spans="1:13" ht="14.25" customHeight="1">
      <c r="A134" s="32" t="s">
        <v>8</v>
      </c>
      <c r="B134" s="32"/>
      <c r="C134" s="28" t="s">
        <v>5</v>
      </c>
      <c r="D134" s="48"/>
      <c r="E134" s="29">
        <v>0.3</v>
      </c>
      <c r="F134" s="30"/>
      <c r="G134" s="30"/>
      <c r="H134" s="30"/>
      <c r="I134" s="30"/>
      <c r="J134" s="31">
        <f t="shared" si="53"/>
        <v>0</v>
      </c>
      <c r="K134" s="30">
        <v>0.3</v>
      </c>
      <c r="L134" s="31"/>
      <c r="M134" s="31">
        <f t="shared" si="54"/>
        <v>100</v>
      </c>
    </row>
    <row r="135" spans="1:13" ht="12.75">
      <c r="A135" s="32" t="s">
        <v>9</v>
      </c>
      <c r="B135" s="32"/>
      <c r="C135" s="28" t="s">
        <v>6</v>
      </c>
      <c r="D135" s="48">
        <v>694</v>
      </c>
      <c r="E135" s="29">
        <f aca="true" t="shared" si="55" ref="E135:E142">F135+G135+H135+I135</f>
        <v>694</v>
      </c>
      <c r="F135" s="30">
        <v>155</v>
      </c>
      <c r="G135" s="30">
        <v>180</v>
      </c>
      <c r="H135" s="30">
        <v>199</v>
      </c>
      <c r="I135" s="30">
        <v>160</v>
      </c>
      <c r="J135" s="31">
        <f t="shared" si="53"/>
        <v>534</v>
      </c>
      <c r="K135" s="30">
        <v>358.6</v>
      </c>
      <c r="L135" s="31">
        <f t="shared" si="52"/>
        <v>51.671469740634</v>
      </c>
      <c r="M135" s="31">
        <f t="shared" si="54"/>
        <v>51.67146974063401</v>
      </c>
    </row>
    <row r="136" spans="1:13" ht="12.75" customHeight="1" hidden="1">
      <c r="A136" s="32" t="s">
        <v>10</v>
      </c>
      <c r="B136" s="32"/>
      <c r="C136" s="28" t="s">
        <v>22</v>
      </c>
      <c r="D136" s="48">
        <v>118</v>
      </c>
      <c r="E136" s="29">
        <f t="shared" si="55"/>
        <v>118</v>
      </c>
      <c r="F136" s="30">
        <v>30</v>
      </c>
      <c r="G136" s="30">
        <v>30</v>
      </c>
      <c r="H136" s="30">
        <v>30</v>
      </c>
      <c r="I136" s="30">
        <v>28</v>
      </c>
      <c r="J136" s="31">
        <f t="shared" si="53"/>
        <v>90</v>
      </c>
      <c r="K136" s="30">
        <v>112.6</v>
      </c>
      <c r="L136" s="31">
        <f t="shared" si="52"/>
        <v>95.42372881355932</v>
      </c>
      <c r="M136" s="31">
        <f t="shared" si="54"/>
        <v>95.42372881355932</v>
      </c>
    </row>
    <row r="137" spans="1:13" ht="24">
      <c r="A137" s="21" t="s">
        <v>11</v>
      </c>
      <c r="B137" s="21"/>
      <c r="C137" s="28" t="s">
        <v>17</v>
      </c>
      <c r="D137" s="48">
        <v>1858</v>
      </c>
      <c r="E137" s="29">
        <v>1998.7</v>
      </c>
      <c r="F137" s="30">
        <v>489</v>
      </c>
      <c r="G137" s="30">
        <v>540</v>
      </c>
      <c r="H137" s="30">
        <v>540</v>
      </c>
      <c r="I137" s="30">
        <v>439</v>
      </c>
      <c r="J137" s="31">
        <f t="shared" si="53"/>
        <v>1569</v>
      </c>
      <c r="K137" s="30">
        <v>-243</v>
      </c>
      <c r="L137" s="31">
        <f t="shared" si="52"/>
        <v>-13.078579117330463</v>
      </c>
      <c r="M137" s="31">
        <f t="shared" si="54"/>
        <v>-12.157902636713864</v>
      </c>
    </row>
    <row r="138" spans="1:13" ht="12.75">
      <c r="A138" s="34" t="s">
        <v>47</v>
      </c>
      <c r="B138" s="34"/>
      <c r="C138" s="28" t="s">
        <v>48</v>
      </c>
      <c r="D138" s="48"/>
      <c r="E138" s="29">
        <f t="shared" si="55"/>
        <v>0</v>
      </c>
      <c r="F138" s="30"/>
      <c r="G138" s="30"/>
      <c r="H138" s="30"/>
      <c r="I138" s="30"/>
      <c r="J138" s="31">
        <f t="shared" si="53"/>
        <v>0</v>
      </c>
      <c r="K138" s="30"/>
      <c r="L138" s="31" t="e">
        <f t="shared" si="52"/>
        <v>#DIV/0!</v>
      </c>
      <c r="M138" s="31" t="e">
        <f t="shared" si="54"/>
        <v>#DIV/0!</v>
      </c>
    </row>
    <row r="139" spans="1:13" ht="12.75">
      <c r="A139" s="33" t="s">
        <v>18</v>
      </c>
      <c r="B139" s="33"/>
      <c r="C139" s="28" t="s">
        <v>15</v>
      </c>
      <c r="D139" s="48"/>
      <c r="E139" s="29">
        <v>9.3</v>
      </c>
      <c r="F139" s="30"/>
      <c r="G139" s="30"/>
      <c r="H139" s="30"/>
      <c r="I139" s="30"/>
      <c r="J139" s="31">
        <f t="shared" si="53"/>
        <v>0</v>
      </c>
      <c r="K139" s="30">
        <v>13.1</v>
      </c>
      <c r="L139" s="31"/>
      <c r="M139" s="31">
        <f t="shared" si="54"/>
        <v>140.86021505376343</v>
      </c>
    </row>
    <row r="140" spans="1:13" ht="12.75">
      <c r="A140" s="16" t="s">
        <v>12</v>
      </c>
      <c r="B140" s="16"/>
      <c r="C140" s="28" t="s">
        <v>7</v>
      </c>
      <c r="D140" s="48"/>
      <c r="E140" s="29">
        <v>1125</v>
      </c>
      <c r="F140" s="30">
        <v>1125</v>
      </c>
      <c r="G140" s="30"/>
      <c r="H140" s="30"/>
      <c r="I140" s="30"/>
      <c r="J140" s="31">
        <f t="shared" si="53"/>
        <v>1125</v>
      </c>
      <c r="K140" s="30">
        <v>1125</v>
      </c>
      <c r="L140" s="31"/>
      <c r="M140" s="31">
        <f>K140/E140*100</f>
        <v>100</v>
      </c>
    </row>
    <row r="141" spans="1:13" ht="12.75">
      <c r="A141" s="33" t="s">
        <v>44</v>
      </c>
      <c r="B141" s="57"/>
      <c r="C141" s="37" t="s">
        <v>45</v>
      </c>
      <c r="D141" s="132"/>
      <c r="E141" s="29">
        <f t="shared" si="55"/>
        <v>0</v>
      </c>
      <c r="F141" s="30"/>
      <c r="G141" s="30"/>
      <c r="H141" s="30"/>
      <c r="I141" s="30"/>
      <c r="J141" s="31">
        <f t="shared" si="53"/>
        <v>0</v>
      </c>
      <c r="K141" s="30">
        <v>323.3</v>
      </c>
      <c r="L141" s="31"/>
      <c r="M141" s="31"/>
    </row>
    <row r="142" spans="1:13" ht="12.75">
      <c r="A142" s="33" t="s">
        <v>49</v>
      </c>
      <c r="B142" s="57"/>
      <c r="C142" s="37" t="s">
        <v>50</v>
      </c>
      <c r="D142" s="132"/>
      <c r="E142" s="29">
        <f t="shared" si="55"/>
        <v>0</v>
      </c>
      <c r="F142" s="30"/>
      <c r="G142" s="30"/>
      <c r="H142" s="30"/>
      <c r="I142" s="30"/>
      <c r="J142" s="31">
        <f t="shared" si="53"/>
        <v>0</v>
      </c>
      <c r="K142" s="30"/>
      <c r="L142" s="27" t="e">
        <f t="shared" si="52"/>
        <v>#DIV/0!</v>
      </c>
      <c r="M142" s="27"/>
    </row>
    <row r="143" spans="1:13" ht="12.75">
      <c r="A143" s="25" t="s">
        <v>1</v>
      </c>
      <c r="B143" s="25"/>
      <c r="C143" s="38" t="s">
        <v>0</v>
      </c>
      <c r="D143" s="39">
        <f aca="true" t="shared" si="56" ref="D143:K143">D144</f>
        <v>25706.6</v>
      </c>
      <c r="E143" s="39">
        <f t="shared" si="56"/>
        <v>46935.9</v>
      </c>
      <c r="F143" s="39">
        <f t="shared" si="56"/>
        <v>10865.4</v>
      </c>
      <c r="G143" s="39">
        <f t="shared" si="56"/>
        <v>13649.6</v>
      </c>
      <c r="H143" s="39">
        <f t="shared" si="56"/>
        <v>12792.8</v>
      </c>
      <c r="I143" s="39">
        <f t="shared" si="56"/>
        <v>8316.7</v>
      </c>
      <c r="J143" s="39">
        <f t="shared" si="56"/>
        <v>37307.8</v>
      </c>
      <c r="K143" s="39">
        <f t="shared" si="56"/>
        <v>42339.4</v>
      </c>
      <c r="L143" s="27">
        <f t="shared" si="52"/>
        <v>164.7024499544864</v>
      </c>
      <c r="M143" s="27">
        <f t="shared" si="54"/>
        <v>90.20685658525777</v>
      </c>
    </row>
    <row r="144" spans="1:13" ht="24">
      <c r="A144" s="23" t="s">
        <v>21</v>
      </c>
      <c r="B144" s="32"/>
      <c r="C144" s="40" t="s">
        <v>20</v>
      </c>
      <c r="D144" s="48">
        <v>25706.6</v>
      </c>
      <c r="E144" s="29">
        <v>46935.9</v>
      </c>
      <c r="F144" s="30">
        <v>10865.4</v>
      </c>
      <c r="G144" s="30">
        <f>14716.5-1066.9</f>
        <v>13649.6</v>
      </c>
      <c r="H144" s="30">
        <v>12792.8</v>
      </c>
      <c r="I144" s="30">
        <v>8316.7</v>
      </c>
      <c r="J144" s="31">
        <f t="shared" si="53"/>
        <v>37307.8</v>
      </c>
      <c r="K144" s="30">
        <v>42339.4</v>
      </c>
      <c r="L144" s="31">
        <f t="shared" si="52"/>
        <v>164.7024499544864</v>
      </c>
      <c r="M144" s="31">
        <f t="shared" si="54"/>
        <v>90.20685658525777</v>
      </c>
    </row>
    <row r="145" spans="1:13" ht="12.75">
      <c r="A145" s="16"/>
      <c r="B145" s="17"/>
      <c r="C145" s="18" t="s">
        <v>4</v>
      </c>
      <c r="D145" s="45">
        <f>D143+D132</f>
        <v>39079.6</v>
      </c>
      <c r="E145" s="1">
        <f>E143+E132</f>
        <v>61583.9</v>
      </c>
      <c r="F145" s="1">
        <f aca="true" t="shared" si="57" ref="F145:K145">F143+F132</f>
        <v>15264.4</v>
      </c>
      <c r="G145" s="1">
        <f t="shared" si="57"/>
        <v>17701.1</v>
      </c>
      <c r="H145" s="1">
        <f t="shared" si="57"/>
        <v>15861.8</v>
      </c>
      <c r="I145" s="1">
        <f t="shared" si="57"/>
        <v>11445.2</v>
      </c>
      <c r="J145" s="1">
        <f t="shared" si="57"/>
        <v>48827.3</v>
      </c>
      <c r="K145" s="1">
        <f t="shared" si="57"/>
        <v>53961.8</v>
      </c>
      <c r="L145" s="27">
        <f t="shared" si="52"/>
        <v>138.08176132816098</v>
      </c>
      <c r="M145" s="27">
        <f t="shared" si="54"/>
        <v>87.62322620035432</v>
      </c>
    </row>
    <row r="146" spans="1:13" ht="12.75">
      <c r="A146" s="149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1"/>
    </row>
    <row r="147" spans="1:13" ht="12.75">
      <c r="A147" s="146" t="s">
        <v>36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8"/>
    </row>
    <row r="148" spans="1:13" ht="12.75">
      <c r="A148" s="25" t="s">
        <v>3</v>
      </c>
      <c r="B148" s="25"/>
      <c r="C148" s="26" t="s">
        <v>75</v>
      </c>
      <c r="D148" s="27">
        <f aca="true" t="shared" si="58" ref="D148:K148">D149+D150+D151+D152+D154+D155+D156+D153</f>
        <v>2456</v>
      </c>
      <c r="E148" s="27">
        <f t="shared" si="58"/>
        <v>3697</v>
      </c>
      <c r="F148" s="27">
        <f t="shared" si="58"/>
        <v>573</v>
      </c>
      <c r="G148" s="27">
        <f t="shared" si="58"/>
        <v>768</v>
      </c>
      <c r="H148" s="27">
        <f t="shared" si="58"/>
        <v>1168</v>
      </c>
      <c r="I148" s="27">
        <f t="shared" si="58"/>
        <v>1178</v>
      </c>
      <c r="J148" s="27">
        <f t="shared" si="58"/>
        <v>2509</v>
      </c>
      <c r="K148" s="27">
        <f t="shared" si="58"/>
        <v>3241.9</v>
      </c>
      <c r="L148" s="27">
        <f aca="true" t="shared" si="59" ref="L148:L160">K148*100/D148</f>
        <v>131.99918566775244</v>
      </c>
      <c r="M148" s="27">
        <f>K148/E148*100</f>
        <v>87.69001893427102</v>
      </c>
    </row>
    <row r="149" spans="1:13" ht="12.75" customHeight="1" hidden="1">
      <c r="A149" s="16" t="s">
        <v>26</v>
      </c>
      <c r="B149" s="16"/>
      <c r="C149" s="28" t="s">
        <v>25</v>
      </c>
      <c r="D149" s="48">
        <v>1627</v>
      </c>
      <c r="E149" s="29">
        <f aca="true" t="shared" si="60" ref="E149:E156">F149+G149+H149+I149</f>
        <v>2627</v>
      </c>
      <c r="F149" s="30">
        <v>410</v>
      </c>
      <c r="G149" s="30">
        <v>437</v>
      </c>
      <c r="H149" s="30">
        <v>910</v>
      </c>
      <c r="I149" s="30">
        <v>870</v>
      </c>
      <c r="J149" s="31">
        <f aca="true" t="shared" si="61" ref="J149:J159">F149+G149+H149</f>
        <v>1757</v>
      </c>
      <c r="K149" s="30">
        <v>2314.1</v>
      </c>
      <c r="L149" s="31">
        <f t="shared" si="59"/>
        <v>142.23110018438845</v>
      </c>
      <c r="M149" s="31">
        <f aca="true" t="shared" si="62" ref="M149:M160">K149/E149*100</f>
        <v>88.08907499048344</v>
      </c>
    </row>
    <row r="150" spans="1:13" ht="12.75">
      <c r="A150" s="32" t="s">
        <v>9</v>
      </c>
      <c r="B150" s="32"/>
      <c r="C150" s="28" t="s">
        <v>6</v>
      </c>
      <c r="D150" s="48">
        <v>549</v>
      </c>
      <c r="E150" s="29">
        <f t="shared" si="60"/>
        <v>395.8</v>
      </c>
      <c r="F150" s="30">
        <v>50</v>
      </c>
      <c r="G150" s="30">
        <v>50</v>
      </c>
      <c r="H150" s="30">
        <v>60.8</v>
      </c>
      <c r="I150" s="30">
        <v>235</v>
      </c>
      <c r="J150" s="31">
        <f t="shared" si="61"/>
        <v>160.8</v>
      </c>
      <c r="K150" s="30">
        <v>225.4</v>
      </c>
      <c r="L150" s="31">
        <f t="shared" si="59"/>
        <v>41.056466302367944</v>
      </c>
      <c r="M150" s="31">
        <f t="shared" si="62"/>
        <v>56.94795351187468</v>
      </c>
    </row>
    <row r="151" spans="1:13" ht="12.75">
      <c r="A151" s="32" t="s">
        <v>10</v>
      </c>
      <c r="B151" s="32"/>
      <c r="C151" s="28" t="s">
        <v>22</v>
      </c>
      <c r="D151" s="48">
        <v>20</v>
      </c>
      <c r="E151" s="29">
        <f t="shared" si="60"/>
        <v>40</v>
      </c>
      <c r="F151" s="30">
        <v>6</v>
      </c>
      <c r="G151" s="30">
        <v>12</v>
      </c>
      <c r="H151" s="30">
        <v>8</v>
      </c>
      <c r="I151" s="30">
        <v>14</v>
      </c>
      <c r="J151" s="31">
        <f t="shared" si="61"/>
        <v>26</v>
      </c>
      <c r="K151" s="30">
        <v>43.5</v>
      </c>
      <c r="L151" s="31">
        <f t="shared" si="59"/>
        <v>217.5</v>
      </c>
      <c r="M151" s="31">
        <f t="shared" si="62"/>
        <v>108.74999999999999</v>
      </c>
    </row>
    <row r="152" spans="1:13" ht="24">
      <c r="A152" s="21" t="s">
        <v>11</v>
      </c>
      <c r="B152" s="21"/>
      <c r="C152" s="28" t="s">
        <v>17</v>
      </c>
      <c r="D152" s="48">
        <v>180</v>
      </c>
      <c r="E152" s="29">
        <v>271</v>
      </c>
      <c r="F152" s="30">
        <v>87</v>
      </c>
      <c r="G152" s="30">
        <v>91</v>
      </c>
      <c r="H152" s="30">
        <v>54</v>
      </c>
      <c r="I152" s="30">
        <v>29</v>
      </c>
      <c r="J152" s="31">
        <f t="shared" si="61"/>
        <v>232</v>
      </c>
      <c r="K152" s="30">
        <v>310.8</v>
      </c>
      <c r="L152" s="31">
        <f t="shared" si="59"/>
        <v>172.66666666666666</v>
      </c>
      <c r="M152" s="31">
        <f t="shared" si="62"/>
        <v>114.68634686346863</v>
      </c>
    </row>
    <row r="153" spans="1:13" ht="12.75">
      <c r="A153" s="34" t="s">
        <v>47</v>
      </c>
      <c r="B153" s="34"/>
      <c r="C153" s="28" t="s">
        <v>48</v>
      </c>
      <c r="D153" s="48">
        <v>80</v>
      </c>
      <c r="E153" s="29">
        <f t="shared" si="60"/>
        <v>80</v>
      </c>
      <c r="F153" s="30">
        <v>20</v>
      </c>
      <c r="G153" s="30">
        <v>20</v>
      </c>
      <c r="H153" s="30">
        <v>10</v>
      </c>
      <c r="I153" s="30">
        <v>30</v>
      </c>
      <c r="J153" s="31">
        <f t="shared" si="61"/>
        <v>50</v>
      </c>
      <c r="K153" s="30">
        <v>65</v>
      </c>
      <c r="L153" s="31">
        <f t="shared" si="59"/>
        <v>81.25</v>
      </c>
      <c r="M153" s="31">
        <f t="shared" si="62"/>
        <v>81.25</v>
      </c>
    </row>
    <row r="154" spans="1:13" ht="12.75">
      <c r="A154" s="33" t="s">
        <v>18</v>
      </c>
      <c r="B154" s="33"/>
      <c r="C154" s="28" t="s">
        <v>15</v>
      </c>
      <c r="D154" s="48"/>
      <c r="E154" s="29">
        <f t="shared" si="60"/>
        <v>36</v>
      </c>
      <c r="F154" s="30"/>
      <c r="G154" s="30">
        <v>36</v>
      </c>
      <c r="H154" s="30"/>
      <c r="I154" s="30"/>
      <c r="J154" s="31">
        <f t="shared" si="61"/>
        <v>36</v>
      </c>
      <c r="K154" s="30">
        <v>35.9</v>
      </c>
      <c r="L154" s="31"/>
      <c r="M154" s="31">
        <f t="shared" si="62"/>
        <v>99.72222222222223</v>
      </c>
    </row>
    <row r="155" spans="1:13" ht="12.75">
      <c r="A155" s="16" t="s">
        <v>12</v>
      </c>
      <c r="B155" s="16"/>
      <c r="C155" s="28" t="s">
        <v>7</v>
      </c>
      <c r="D155" s="48"/>
      <c r="E155" s="29">
        <f t="shared" si="60"/>
        <v>0</v>
      </c>
      <c r="F155" s="30"/>
      <c r="G155" s="30"/>
      <c r="H155" s="30"/>
      <c r="I155" s="30"/>
      <c r="J155" s="31">
        <f t="shared" si="61"/>
        <v>0</v>
      </c>
      <c r="K155" s="30"/>
      <c r="L155" s="31"/>
      <c r="M155" s="31" t="e">
        <f>K155/E155*100</f>
        <v>#DIV/0!</v>
      </c>
    </row>
    <row r="156" spans="1:13" ht="12.75">
      <c r="A156" s="51" t="s">
        <v>44</v>
      </c>
      <c r="B156" s="36"/>
      <c r="C156" s="37" t="s">
        <v>45</v>
      </c>
      <c r="D156" s="132"/>
      <c r="E156" s="29">
        <f t="shared" si="60"/>
        <v>247.2</v>
      </c>
      <c r="F156" s="30"/>
      <c r="G156" s="30">
        <v>122</v>
      </c>
      <c r="H156" s="30">
        <v>125.2</v>
      </c>
      <c r="I156" s="30"/>
      <c r="J156" s="31">
        <f t="shared" si="61"/>
        <v>247.2</v>
      </c>
      <c r="K156" s="30">
        <v>247.2</v>
      </c>
      <c r="L156" s="31"/>
      <c r="M156" s="31">
        <f>K156/E156*100</f>
        <v>100</v>
      </c>
    </row>
    <row r="157" spans="1:13" ht="12.75">
      <c r="A157" s="25" t="s">
        <v>1</v>
      </c>
      <c r="B157" s="25"/>
      <c r="C157" s="38" t="s">
        <v>0</v>
      </c>
      <c r="D157" s="39">
        <f>D158+D159</f>
        <v>20500.5</v>
      </c>
      <c r="E157" s="39">
        <f>E158+E159</f>
        <v>41645.5</v>
      </c>
      <c r="F157" s="39">
        <f aca="true" t="shared" si="63" ref="F157:K157">F158+F159</f>
        <v>12329.6</v>
      </c>
      <c r="G157" s="39">
        <f t="shared" si="63"/>
        <v>13038.400000000001</v>
      </c>
      <c r="H157" s="39">
        <f t="shared" si="63"/>
        <v>5659.5</v>
      </c>
      <c r="I157" s="39">
        <f t="shared" si="63"/>
        <v>5193.1</v>
      </c>
      <c r="J157" s="39">
        <f t="shared" si="63"/>
        <v>31027.500000000004</v>
      </c>
      <c r="K157" s="39">
        <f t="shared" si="63"/>
        <v>38438.1</v>
      </c>
      <c r="L157" s="27">
        <f t="shared" si="59"/>
        <v>187.49835369869027</v>
      </c>
      <c r="M157" s="27">
        <f t="shared" si="62"/>
        <v>92.2983275503956</v>
      </c>
    </row>
    <row r="158" spans="1:13" ht="17.25" customHeight="1" hidden="1">
      <c r="A158" s="23" t="s">
        <v>21</v>
      </c>
      <c r="B158" s="32"/>
      <c r="C158" s="40" t="s">
        <v>20</v>
      </c>
      <c r="D158" s="48">
        <v>20500.5</v>
      </c>
      <c r="E158" s="29">
        <v>41380.8</v>
      </c>
      <c r="F158" s="30">
        <v>12329.6</v>
      </c>
      <c r="G158" s="30">
        <v>12788.7</v>
      </c>
      <c r="H158" s="30">
        <v>5644.5</v>
      </c>
      <c r="I158" s="30">
        <f>4627+566.1</f>
        <v>5193.1</v>
      </c>
      <c r="J158" s="31">
        <f t="shared" si="61"/>
        <v>30762.800000000003</v>
      </c>
      <c r="K158" s="30">
        <v>38143.4</v>
      </c>
      <c r="L158" s="31">
        <f t="shared" si="59"/>
        <v>186.06082778468817</v>
      </c>
      <c r="M158" s="31">
        <f t="shared" si="62"/>
        <v>92.17656497699416</v>
      </c>
    </row>
    <row r="159" spans="1:13" ht="12.75">
      <c r="A159" s="22" t="s">
        <v>2</v>
      </c>
      <c r="B159" s="22"/>
      <c r="C159" s="41" t="s">
        <v>19</v>
      </c>
      <c r="D159" s="134"/>
      <c r="E159" s="29">
        <f>F159+G159+H159+I159</f>
        <v>264.7</v>
      </c>
      <c r="F159" s="30"/>
      <c r="G159" s="30">
        <v>249.7</v>
      </c>
      <c r="H159" s="30">
        <v>15</v>
      </c>
      <c r="I159" s="30"/>
      <c r="J159" s="31">
        <f t="shared" si="61"/>
        <v>264.7</v>
      </c>
      <c r="K159" s="30">
        <v>294.7</v>
      </c>
      <c r="L159" s="31"/>
      <c r="M159" s="31">
        <f>K159/E159*100</f>
        <v>111.33358519078203</v>
      </c>
    </row>
    <row r="160" spans="1:13" ht="12.75">
      <c r="A160" s="16"/>
      <c r="B160" s="17"/>
      <c r="C160" s="18" t="s">
        <v>4</v>
      </c>
      <c r="D160" s="45">
        <f>D157+D148</f>
        <v>22956.5</v>
      </c>
      <c r="E160" s="1">
        <f>E157+E148</f>
        <v>45342.5</v>
      </c>
      <c r="F160" s="1">
        <f aca="true" t="shared" si="64" ref="F160:K160">F157+F148</f>
        <v>12902.6</v>
      </c>
      <c r="G160" s="1">
        <f t="shared" si="64"/>
        <v>13806.400000000001</v>
      </c>
      <c r="H160" s="1">
        <f t="shared" si="64"/>
        <v>6827.5</v>
      </c>
      <c r="I160" s="1">
        <f t="shared" si="64"/>
        <v>6371.1</v>
      </c>
      <c r="J160" s="1">
        <f t="shared" si="64"/>
        <v>33536.5</v>
      </c>
      <c r="K160" s="1">
        <f t="shared" si="64"/>
        <v>41680</v>
      </c>
      <c r="L160" s="27">
        <f t="shared" si="59"/>
        <v>181.56077799316097</v>
      </c>
      <c r="M160" s="27">
        <f t="shared" si="62"/>
        <v>91.92258918233446</v>
      </c>
    </row>
    <row r="161" spans="1:13" ht="12.75">
      <c r="A161" s="149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1"/>
    </row>
    <row r="162" spans="1:13" ht="12.75">
      <c r="A162" s="146" t="s">
        <v>37</v>
      </c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8"/>
    </row>
    <row r="163" spans="1:13" ht="12.75">
      <c r="A163" s="25" t="s">
        <v>3</v>
      </c>
      <c r="B163" s="25"/>
      <c r="C163" s="26" t="s">
        <v>75</v>
      </c>
      <c r="D163" s="135">
        <f>D164+D165+D166+D167+D168+D170+D172+D171+D169</f>
        <v>13178</v>
      </c>
      <c r="E163" s="27">
        <f>E164+E165+E166+E167+E168+E170+E172+E171+E169</f>
        <v>16681.1</v>
      </c>
      <c r="F163" s="27">
        <f aca="true" t="shared" si="65" ref="F163:K163">F164+F165+F166+F167+F168+F170+F172+F171+F169</f>
        <v>2999.5</v>
      </c>
      <c r="G163" s="27">
        <f t="shared" si="65"/>
        <v>4486.3</v>
      </c>
      <c r="H163" s="27">
        <f t="shared" si="65"/>
        <v>4470.8</v>
      </c>
      <c r="I163" s="27">
        <f t="shared" si="65"/>
        <v>3665.5</v>
      </c>
      <c r="J163" s="27">
        <f t="shared" si="65"/>
        <v>11956.6</v>
      </c>
      <c r="K163" s="27">
        <f t="shared" si="65"/>
        <v>14864.8</v>
      </c>
      <c r="L163" s="27">
        <f aca="true" t="shared" si="66" ref="L163:L176">K163*100/D163</f>
        <v>112.80012141447868</v>
      </c>
      <c r="M163" s="27">
        <f>K163/E163*100</f>
        <v>89.11162932900109</v>
      </c>
    </row>
    <row r="164" spans="1:13" ht="12.75">
      <c r="A164" s="16" t="s">
        <v>26</v>
      </c>
      <c r="B164" s="16"/>
      <c r="C164" s="28" t="s">
        <v>25</v>
      </c>
      <c r="D164" s="125">
        <v>11221</v>
      </c>
      <c r="E164" s="29">
        <v>11351</v>
      </c>
      <c r="F164" s="30">
        <v>2553</v>
      </c>
      <c r="G164" s="30">
        <v>2854</v>
      </c>
      <c r="H164" s="30">
        <v>2833</v>
      </c>
      <c r="I164" s="30">
        <v>3061</v>
      </c>
      <c r="J164" s="31">
        <f aca="true" t="shared" si="67" ref="J164:J175">F164+G164+H164</f>
        <v>8240</v>
      </c>
      <c r="K164" s="30">
        <v>9983.2</v>
      </c>
      <c r="L164" s="31">
        <f t="shared" si="66"/>
        <v>88.96889760270922</v>
      </c>
      <c r="M164" s="31">
        <f aca="true" t="shared" si="68" ref="M164:M176">K164/E164*100</f>
        <v>87.94996035591578</v>
      </c>
    </row>
    <row r="165" spans="1:13" ht="12.75">
      <c r="A165" s="32" t="s">
        <v>8</v>
      </c>
      <c r="B165" s="32"/>
      <c r="C165" s="28" t="s">
        <v>5</v>
      </c>
      <c r="D165" s="125"/>
      <c r="E165" s="29">
        <f>F165+G165+H165+I165</f>
        <v>0</v>
      </c>
      <c r="F165" s="30"/>
      <c r="G165" s="30"/>
      <c r="H165" s="30"/>
      <c r="I165" s="30"/>
      <c r="J165" s="31">
        <f t="shared" si="67"/>
        <v>0</v>
      </c>
      <c r="K165" s="30"/>
      <c r="L165" s="31" t="e">
        <f t="shared" si="66"/>
        <v>#DIV/0!</v>
      </c>
      <c r="M165" s="31"/>
    </row>
    <row r="166" spans="1:13" ht="12.75">
      <c r="A166" s="32" t="s">
        <v>9</v>
      </c>
      <c r="B166" s="32"/>
      <c r="C166" s="28" t="s">
        <v>6</v>
      </c>
      <c r="D166" s="125">
        <v>704</v>
      </c>
      <c r="E166" s="29">
        <v>3144</v>
      </c>
      <c r="F166" s="30">
        <v>133.5</v>
      </c>
      <c r="G166" s="30">
        <v>833.5</v>
      </c>
      <c r="H166" s="30">
        <v>1101.5</v>
      </c>
      <c r="I166" s="30">
        <v>125.5</v>
      </c>
      <c r="J166" s="31">
        <f t="shared" si="67"/>
        <v>2068.5</v>
      </c>
      <c r="K166" s="30">
        <v>3113</v>
      </c>
      <c r="L166" s="31">
        <f t="shared" si="66"/>
        <v>442.1875</v>
      </c>
      <c r="M166" s="31">
        <f t="shared" si="68"/>
        <v>99.01399491094148</v>
      </c>
    </row>
    <row r="167" spans="1:13" ht="12.75">
      <c r="A167" s="32" t="s">
        <v>10</v>
      </c>
      <c r="B167" s="32"/>
      <c r="C167" s="28" t="s">
        <v>22</v>
      </c>
      <c r="D167" s="125">
        <v>213</v>
      </c>
      <c r="E167" s="29">
        <v>163</v>
      </c>
      <c r="F167" s="30">
        <v>43</v>
      </c>
      <c r="G167" s="30">
        <v>50</v>
      </c>
      <c r="H167" s="30">
        <v>60</v>
      </c>
      <c r="I167" s="30">
        <v>60</v>
      </c>
      <c r="J167" s="31">
        <f t="shared" si="67"/>
        <v>153</v>
      </c>
      <c r="K167" s="30">
        <v>136.1</v>
      </c>
      <c r="L167" s="31">
        <f t="shared" si="66"/>
        <v>63.89671361502347</v>
      </c>
      <c r="M167" s="31">
        <f t="shared" si="68"/>
        <v>83.49693251533742</v>
      </c>
    </row>
    <row r="168" spans="1:13" ht="24">
      <c r="A168" s="21" t="s">
        <v>11</v>
      </c>
      <c r="B168" s="21"/>
      <c r="C168" s="28" t="s">
        <v>17</v>
      </c>
      <c r="D168" s="125">
        <v>933</v>
      </c>
      <c r="E168" s="29">
        <f>F168+G168+H168+I168</f>
        <v>1053</v>
      </c>
      <c r="F168" s="30">
        <v>178</v>
      </c>
      <c r="G168" s="30">
        <v>233</v>
      </c>
      <c r="H168" s="30">
        <v>253</v>
      </c>
      <c r="I168" s="30">
        <v>389</v>
      </c>
      <c r="J168" s="31">
        <f t="shared" si="67"/>
        <v>664</v>
      </c>
      <c r="K168" s="30">
        <v>767.9</v>
      </c>
      <c r="L168" s="31">
        <f t="shared" si="66"/>
        <v>82.30439442658093</v>
      </c>
      <c r="M168" s="31">
        <f t="shared" si="68"/>
        <v>72.9249762583096</v>
      </c>
    </row>
    <row r="169" spans="1:13" ht="12.75">
      <c r="A169" s="34" t="s">
        <v>47</v>
      </c>
      <c r="B169" s="34"/>
      <c r="C169" s="28" t="s">
        <v>48</v>
      </c>
      <c r="D169" s="125"/>
      <c r="E169" s="29">
        <v>280</v>
      </c>
      <c r="F169" s="30">
        <v>75</v>
      </c>
      <c r="G169" s="30">
        <v>60</v>
      </c>
      <c r="H169" s="30">
        <v>75</v>
      </c>
      <c r="I169" s="30"/>
      <c r="J169" s="31">
        <f t="shared" si="67"/>
        <v>210</v>
      </c>
      <c r="K169" s="30">
        <v>251.3</v>
      </c>
      <c r="L169" s="31"/>
      <c r="M169" s="31">
        <f t="shared" si="68"/>
        <v>89.75000000000001</v>
      </c>
    </row>
    <row r="170" spans="1:13" ht="12.75">
      <c r="A170" s="34" t="s">
        <v>18</v>
      </c>
      <c r="B170" s="34"/>
      <c r="C170" s="28" t="s">
        <v>15</v>
      </c>
      <c r="D170" s="125">
        <v>107</v>
      </c>
      <c r="E170" s="29">
        <v>164</v>
      </c>
      <c r="F170" s="30">
        <v>17</v>
      </c>
      <c r="G170" s="30">
        <v>60</v>
      </c>
      <c r="H170" s="30">
        <v>30</v>
      </c>
      <c r="I170" s="30">
        <v>30</v>
      </c>
      <c r="J170" s="31">
        <f t="shared" si="67"/>
        <v>107</v>
      </c>
      <c r="K170" s="30">
        <v>97.4</v>
      </c>
      <c r="L170" s="31">
        <f t="shared" si="66"/>
        <v>91.02803738317758</v>
      </c>
      <c r="M170" s="31">
        <f t="shared" si="68"/>
        <v>59.39024390243903</v>
      </c>
    </row>
    <row r="171" spans="1:13" ht="12.75">
      <c r="A171" s="16" t="s">
        <v>12</v>
      </c>
      <c r="B171" s="16"/>
      <c r="C171" s="28" t="s">
        <v>7</v>
      </c>
      <c r="D171" s="125"/>
      <c r="E171" s="29">
        <v>526.1</v>
      </c>
      <c r="F171" s="30"/>
      <c r="G171" s="30">
        <v>395.8</v>
      </c>
      <c r="H171" s="30">
        <v>118.3</v>
      </c>
      <c r="I171" s="30"/>
      <c r="J171" s="31">
        <f t="shared" si="67"/>
        <v>514.1</v>
      </c>
      <c r="K171" s="30">
        <v>515.9</v>
      </c>
      <c r="L171" s="31"/>
      <c r="M171" s="31">
        <f t="shared" si="68"/>
        <v>98.06120509408856</v>
      </c>
    </row>
    <row r="172" spans="1:13" ht="12.75">
      <c r="A172" s="51" t="s">
        <v>44</v>
      </c>
      <c r="B172" s="36"/>
      <c r="C172" s="37" t="s">
        <v>45</v>
      </c>
      <c r="D172" s="126"/>
      <c r="E172" s="29">
        <f>F172+G172+H172+I172</f>
        <v>0</v>
      </c>
      <c r="F172" s="30"/>
      <c r="G172" s="30"/>
      <c r="H172" s="30"/>
      <c r="I172" s="30"/>
      <c r="J172" s="31">
        <f t="shared" si="67"/>
        <v>0</v>
      </c>
      <c r="K172" s="30"/>
      <c r="L172" s="31"/>
      <c r="M172" s="31"/>
    </row>
    <row r="173" spans="1:13" ht="12.75">
      <c r="A173" s="25" t="s">
        <v>1</v>
      </c>
      <c r="B173" s="25"/>
      <c r="C173" s="38" t="s">
        <v>0</v>
      </c>
      <c r="D173" s="1">
        <f>D174+D175</f>
        <v>34042.1</v>
      </c>
      <c r="E173" s="45">
        <f>E174+E175</f>
        <v>72496</v>
      </c>
      <c r="F173" s="45">
        <f aca="true" t="shared" si="69" ref="F173:K173">F174+F175</f>
        <v>14427.6</v>
      </c>
      <c r="G173" s="45">
        <f t="shared" si="69"/>
        <v>25425.7</v>
      </c>
      <c r="H173" s="45">
        <f t="shared" si="69"/>
        <v>18034.6</v>
      </c>
      <c r="I173" s="45">
        <f t="shared" si="69"/>
        <v>8606</v>
      </c>
      <c r="J173" s="45">
        <f t="shared" si="69"/>
        <v>57887.9</v>
      </c>
      <c r="K173" s="45">
        <f t="shared" si="69"/>
        <v>62779.1</v>
      </c>
      <c r="L173" s="27">
        <f t="shared" si="66"/>
        <v>184.4160612888159</v>
      </c>
      <c r="M173" s="27">
        <f t="shared" si="68"/>
        <v>86.59663981461046</v>
      </c>
    </row>
    <row r="174" spans="1:13" ht="24">
      <c r="A174" s="23" t="s">
        <v>21</v>
      </c>
      <c r="B174" s="32"/>
      <c r="C174" s="40" t="s">
        <v>20</v>
      </c>
      <c r="D174" s="125">
        <v>34042.1</v>
      </c>
      <c r="E174" s="29">
        <v>72396.1</v>
      </c>
      <c r="F174" s="30">
        <v>14427.6</v>
      </c>
      <c r="G174" s="30">
        <v>25325.8</v>
      </c>
      <c r="H174" s="30">
        <v>18034.6</v>
      </c>
      <c r="I174" s="30">
        <v>8606</v>
      </c>
      <c r="J174" s="31">
        <f t="shared" si="67"/>
        <v>57788</v>
      </c>
      <c r="K174" s="30">
        <v>62679.2</v>
      </c>
      <c r="L174" s="31">
        <f t="shared" si="66"/>
        <v>184.12260113212758</v>
      </c>
      <c r="M174" s="31">
        <f t="shared" si="68"/>
        <v>86.57814440280622</v>
      </c>
    </row>
    <row r="175" spans="1:13" ht="12.75">
      <c r="A175" s="22" t="s">
        <v>2</v>
      </c>
      <c r="B175" s="22"/>
      <c r="C175" s="41" t="s">
        <v>19</v>
      </c>
      <c r="D175" s="127"/>
      <c r="E175" s="29">
        <f>F175+G175+H175+I175</f>
        <v>99.9</v>
      </c>
      <c r="F175" s="30"/>
      <c r="G175" s="30">
        <v>99.9</v>
      </c>
      <c r="H175" s="30"/>
      <c r="I175" s="30"/>
      <c r="J175" s="31">
        <f t="shared" si="67"/>
        <v>99.9</v>
      </c>
      <c r="K175" s="30">
        <v>99.9</v>
      </c>
      <c r="L175" s="31"/>
      <c r="M175" s="31">
        <f>K175/E175*100</f>
        <v>100</v>
      </c>
    </row>
    <row r="176" spans="1:13" ht="12.75">
      <c r="A176" s="16"/>
      <c r="B176" s="17"/>
      <c r="C176" s="18" t="s">
        <v>4</v>
      </c>
      <c r="D176" s="1">
        <f>D173+D163</f>
        <v>47220.1</v>
      </c>
      <c r="E176" s="1">
        <f>E173+E163</f>
        <v>89177.1</v>
      </c>
      <c r="F176" s="1">
        <f aca="true" t="shared" si="70" ref="F176:K176">F173+F163</f>
        <v>17427.1</v>
      </c>
      <c r="G176" s="1">
        <f t="shared" si="70"/>
        <v>29912</v>
      </c>
      <c r="H176" s="1">
        <f t="shared" si="70"/>
        <v>22505.399999999998</v>
      </c>
      <c r="I176" s="1">
        <f t="shared" si="70"/>
        <v>12271.5</v>
      </c>
      <c r="J176" s="1">
        <f t="shared" si="70"/>
        <v>69844.5</v>
      </c>
      <c r="K176" s="1">
        <f t="shared" si="70"/>
        <v>77643.9</v>
      </c>
      <c r="L176" s="27">
        <f t="shared" si="66"/>
        <v>164.42976613772524</v>
      </c>
      <c r="M176" s="27">
        <f t="shared" si="68"/>
        <v>87.06708336557254</v>
      </c>
    </row>
    <row r="177" spans="1:13" ht="12.75" customHeight="1" hidden="1">
      <c r="A177" s="149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1"/>
    </row>
    <row r="178" spans="1:13" ht="12.75">
      <c r="A178" s="146" t="s">
        <v>38</v>
      </c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8"/>
    </row>
    <row r="179" spans="1:13" ht="12.75" customHeight="1" hidden="1">
      <c r="A179" s="25" t="s">
        <v>3</v>
      </c>
      <c r="B179" s="25"/>
      <c r="C179" s="26" t="s">
        <v>75</v>
      </c>
      <c r="D179" s="27">
        <f>D180+D181+D183+D185+D182+D186+D187+D188+D184</f>
        <v>1228</v>
      </c>
      <c r="E179" s="27">
        <f aca="true" t="shared" si="71" ref="E179:K179">E180+E181+E183+E185+E182+E186+E187+E188+E184</f>
        <v>1306</v>
      </c>
      <c r="F179" s="27">
        <f t="shared" si="71"/>
        <v>161</v>
      </c>
      <c r="G179" s="27">
        <f t="shared" si="71"/>
        <v>388</v>
      </c>
      <c r="H179" s="27">
        <f t="shared" si="71"/>
        <v>394</v>
      </c>
      <c r="I179" s="27">
        <f t="shared" si="71"/>
        <v>363</v>
      </c>
      <c r="J179" s="27">
        <f t="shared" si="71"/>
        <v>943</v>
      </c>
      <c r="K179" s="27">
        <f t="shared" si="71"/>
        <v>1293.6000000000001</v>
      </c>
      <c r="L179" s="27">
        <f aca="true" t="shared" si="72" ref="L179:L191">K179*100/D179</f>
        <v>105.34201954397395</v>
      </c>
      <c r="M179" s="27">
        <f>K179/E179*100</f>
        <v>99.05053598774887</v>
      </c>
    </row>
    <row r="180" spans="1:13" ht="12.75">
      <c r="A180" s="16" t="s">
        <v>26</v>
      </c>
      <c r="B180" s="16"/>
      <c r="C180" s="28" t="s">
        <v>25</v>
      </c>
      <c r="D180" s="28">
        <v>920</v>
      </c>
      <c r="E180" s="29">
        <f aca="true" t="shared" si="73" ref="E180:E190">F180+G180+H180+I180</f>
        <v>920</v>
      </c>
      <c r="F180" s="30">
        <v>125</v>
      </c>
      <c r="G180" s="30">
        <v>248</v>
      </c>
      <c r="H180" s="30">
        <v>280</v>
      </c>
      <c r="I180" s="30">
        <v>267</v>
      </c>
      <c r="J180" s="31">
        <f aca="true" t="shared" si="74" ref="J180:J187">F180+G180+H180</f>
        <v>653</v>
      </c>
      <c r="K180" s="30">
        <v>810.7</v>
      </c>
      <c r="L180" s="31">
        <f t="shared" si="72"/>
        <v>88.1195652173913</v>
      </c>
      <c r="M180" s="31">
        <f aca="true" t="shared" si="75" ref="M180:M191">K180/E180*100</f>
        <v>88.11956521739131</v>
      </c>
    </row>
    <row r="181" spans="1:13" ht="12.75">
      <c r="A181" s="32" t="s">
        <v>9</v>
      </c>
      <c r="B181" s="32"/>
      <c r="C181" s="28" t="s">
        <v>6</v>
      </c>
      <c r="D181" s="28">
        <v>178</v>
      </c>
      <c r="E181" s="29">
        <f t="shared" si="73"/>
        <v>116.1</v>
      </c>
      <c r="F181" s="30">
        <v>31</v>
      </c>
      <c r="G181" s="30">
        <v>32.6</v>
      </c>
      <c r="H181" s="30">
        <f>53-31.5</f>
        <v>21.5</v>
      </c>
      <c r="I181" s="30">
        <f>61-30</f>
        <v>31</v>
      </c>
      <c r="J181" s="31">
        <f t="shared" si="74"/>
        <v>85.1</v>
      </c>
      <c r="K181" s="30">
        <v>97.9</v>
      </c>
      <c r="L181" s="31">
        <f t="shared" si="72"/>
        <v>55</v>
      </c>
      <c r="M181" s="31">
        <f t="shared" si="75"/>
        <v>84.3238587424634</v>
      </c>
    </row>
    <row r="182" spans="1:13" ht="12.75">
      <c r="A182" s="32" t="s">
        <v>10</v>
      </c>
      <c r="B182" s="32"/>
      <c r="C182" s="28" t="s">
        <v>22</v>
      </c>
      <c r="D182" s="28">
        <v>27</v>
      </c>
      <c r="E182" s="29">
        <f t="shared" si="73"/>
        <v>27</v>
      </c>
      <c r="F182" s="30">
        <v>5</v>
      </c>
      <c r="G182" s="30">
        <v>5</v>
      </c>
      <c r="H182" s="30">
        <v>9</v>
      </c>
      <c r="I182" s="30">
        <v>8</v>
      </c>
      <c r="J182" s="31">
        <f t="shared" si="74"/>
        <v>19</v>
      </c>
      <c r="K182" s="30">
        <v>28.4</v>
      </c>
      <c r="L182" s="31">
        <f t="shared" si="72"/>
        <v>105.18518518518519</v>
      </c>
      <c r="M182" s="31">
        <f t="shared" si="75"/>
        <v>105.18518518518518</v>
      </c>
    </row>
    <row r="183" spans="1:13" ht="24">
      <c r="A183" s="21" t="s">
        <v>11</v>
      </c>
      <c r="B183" s="21"/>
      <c r="C183" s="28" t="s">
        <v>17</v>
      </c>
      <c r="D183" s="28">
        <v>103</v>
      </c>
      <c r="E183" s="29">
        <v>192.5</v>
      </c>
      <c r="F183" s="30"/>
      <c r="G183" s="30">
        <v>52</v>
      </c>
      <c r="H183" s="30">
        <f>24+31.5+28</f>
        <v>83.5</v>
      </c>
      <c r="I183" s="30">
        <f>27+30</f>
        <v>57</v>
      </c>
      <c r="J183" s="31">
        <f t="shared" si="74"/>
        <v>135.5</v>
      </c>
      <c r="K183" s="30">
        <v>278.5</v>
      </c>
      <c r="L183" s="31">
        <f t="shared" si="72"/>
        <v>270.3883495145631</v>
      </c>
      <c r="M183" s="31">
        <f t="shared" si="75"/>
        <v>144.67532467532467</v>
      </c>
    </row>
    <row r="184" spans="1:13" ht="12.75">
      <c r="A184" s="34" t="s">
        <v>47</v>
      </c>
      <c r="B184" s="34"/>
      <c r="C184" s="28" t="s">
        <v>48</v>
      </c>
      <c r="D184" s="28"/>
      <c r="E184" s="29"/>
      <c r="F184" s="30"/>
      <c r="G184" s="30"/>
      <c r="H184" s="30"/>
      <c r="I184" s="30"/>
      <c r="J184" s="31"/>
      <c r="K184" s="30">
        <v>27</v>
      </c>
      <c r="L184" s="31"/>
      <c r="M184" s="31"/>
    </row>
    <row r="185" spans="1:13" ht="12.75">
      <c r="A185" s="33" t="s">
        <v>18</v>
      </c>
      <c r="B185" s="33"/>
      <c r="C185" s="28" t="s">
        <v>15</v>
      </c>
      <c r="D185" s="28"/>
      <c r="E185" s="29">
        <v>0.4</v>
      </c>
      <c r="F185" s="30"/>
      <c r="G185" s="30">
        <v>0.4</v>
      </c>
      <c r="H185" s="30"/>
      <c r="I185" s="30"/>
      <c r="J185" s="31">
        <f t="shared" si="74"/>
        <v>0.4</v>
      </c>
      <c r="K185" s="30">
        <v>0.4</v>
      </c>
      <c r="L185" s="31"/>
      <c r="M185" s="31">
        <f t="shared" si="75"/>
        <v>100</v>
      </c>
    </row>
    <row r="186" spans="1:13" ht="12.75">
      <c r="A186" s="33" t="s">
        <v>12</v>
      </c>
      <c r="B186" s="57"/>
      <c r="C186" s="28" t="s">
        <v>7</v>
      </c>
      <c r="D186" s="28"/>
      <c r="E186" s="29">
        <f t="shared" si="73"/>
        <v>50</v>
      </c>
      <c r="F186" s="30"/>
      <c r="G186" s="30">
        <v>50</v>
      </c>
      <c r="H186" s="30"/>
      <c r="I186" s="30"/>
      <c r="J186" s="31">
        <f t="shared" si="74"/>
        <v>50</v>
      </c>
      <c r="K186" s="30">
        <v>50</v>
      </c>
      <c r="L186" s="31"/>
      <c r="M186" s="31">
        <f>K186/E186*100</f>
        <v>100</v>
      </c>
    </row>
    <row r="187" spans="1:13" ht="12.75">
      <c r="A187" s="51" t="s">
        <v>44</v>
      </c>
      <c r="B187" s="36"/>
      <c r="C187" s="37" t="s">
        <v>45</v>
      </c>
      <c r="D187" s="37"/>
      <c r="E187" s="29">
        <f t="shared" si="73"/>
        <v>0</v>
      </c>
      <c r="F187" s="30"/>
      <c r="G187" s="30"/>
      <c r="H187" s="30"/>
      <c r="I187" s="30"/>
      <c r="J187" s="31">
        <f t="shared" si="74"/>
        <v>0</v>
      </c>
      <c r="K187" s="30">
        <v>0.7</v>
      </c>
      <c r="L187" s="31"/>
      <c r="M187" s="31"/>
    </row>
    <row r="188" spans="1:13" ht="12.75">
      <c r="A188" s="35" t="s">
        <v>49</v>
      </c>
      <c r="B188" s="36"/>
      <c r="C188" s="37" t="s">
        <v>50</v>
      </c>
      <c r="D188" s="37"/>
      <c r="E188" s="29">
        <f t="shared" si="73"/>
        <v>0</v>
      </c>
      <c r="F188" s="29"/>
      <c r="G188" s="29"/>
      <c r="H188" s="29"/>
      <c r="I188" s="29"/>
      <c r="J188" s="27">
        <f>F188</f>
        <v>0</v>
      </c>
      <c r="K188" s="30"/>
      <c r="L188" s="27" t="e">
        <f t="shared" si="72"/>
        <v>#DIV/0!</v>
      </c>
      <c r="M188" s="27"/>
    </row>
    <row r="189" spans="1:13" ht="12.75">
      <c r="A189" s="25" t="s">
        <v>1</v>
      </c>
      <c r="B189" s="25"/>
      <c r="C189" s="38" t="s">
        <v>0</v>
      </c>
      <c r="D189" s="39">
        <f aca="true" t="shared" si="76" ref="D189:J189">D190</f>
        <v>17834.4</v>
      </c>
      <c r="E189" s="39">
        <f t="shared" si="76"/>
        <v>25706.3</v>
      </c>
      <c r="F189" s="39">
        <f t="shared" si="76"/>
        <v>9533</v>
      </c>
      <c r="G189" s="39">
        <f t="shared" si="76"/>
        <v>6840.3</v>
      </c>
      <c r="H189" s="39">
        <f t="shared" si="76"/>
        <v>4969.900000000001</v>
      </c>
      <c r="I189" s="39">
        <f t="shared" si="76"/>
        <v>4363.099999999999</v>
      </c>
      <c r="J189" s="39">
        <f t="shared" si="76"/>
        <v>21343.2</v>
      </c>
      <c r="K189" s="39">
        <f>K190</f>
        <v>20897.6</v>
      </c>
      <c r="L189" s="27">
        <f t="shared" si="72"/>
        <v>117.17579509262995</v>
      </c>
      <c r="M189" s="27">
        <f t="shared" si="75"/>
        <v>81.29369065170793</v>
      </c>
    </row>
    <row r="190" spans="1:13" ht="24">
      <c r="A190" s="23" t="s">
        <v>21</v>
      </c>
      <c r="B190" s="32"/>
      <c r="C190" s="40" t="s">
        <v>20</v>
      </c>
      <c r="D190" s="40">
        <v>17834.4</v>
      </c>
      <c r="E190" s="29">
        <f t="shared" si="73"/>
        <v>25706.3</v>
      </c>
      <c r="F190" s="30">
        <v>9533</v>
      </c>
      <c r="G190" s="30">
        <v>6840.3</v>
      </c>
      <c r="H190" s="30">
        <f>4811.3+120.1+38.5</f>
        <v>4969.900000000001</v>
      </c>
      <c r="I190" s="30">
        <f>4105.9+257.2</f>
        <v>4363.099999999999</v>
      </c>
      <c r="J190" s="31">
        <f>F190+G190+H190</f>
        <v>21343.2</v>
      </c>
      <c r="K190" s="30">
        <v>20897.6</v>
      </c>
      <c r="L190" s="31">
        <f t="shared" si="72"/>
        <v>117.17579509262995</v>
      </c>
      <c r="M190" s="31">
        <f t="shared" si="75"/>
        <v>81.29369065170793</v>
      </c>
    </row>
    <row r="191" spans="1:13" ht="12.75">
      <c r="A191" s="16"/>
      <c r="B191" s="17"/>
      <c r="C191" s="18" t="s">
        <v>4</v>
      </c>
      <c r="D191" s="1">
        <f aca="true" t="shared" si="77" ref="D191:K191">D189+D179</f>
        <v>19062.4</v>
      </c>
      <c r="E191" s="1">
        <f t="shared" si="77"/>
        <v>27012.3</v>
      </c>
      <c r="F191" s="1">
        <f t="shared" si="77"/>
        <v>9694</v>
      </c>
      <c r="G191" s="1">
        <f t="shared" si="77"/>
        <v>7228.3</v>
      </c>
      <c r="H191" s="1">
        <f t="shared" si="77"/>
        <v>5363.900000000001</v>
      </c>
      <c r="I191" s="1">
        <f t="shared" si="77"/>
        <v>4726.099999999999</v>
      </c>
      <c r="J191" s="1">
        <f t="shared" si="77"/>
        <v>22286.2</v>
      </c>
      <c r="K191" s="1">
        <f t="shared" si="77"/>
        <v>22191.199999999997</v>
      </c>
      <c r="L191" s="27">
        <f t="shared" si="72"/>
        <v>116.41346315259355</v>
      </c>
      <c r="M191" s="27">
        <f t="shared" si="75"/>
        <v>82.15220473636083</v>
      </c>
    </row>
    <row r="192" spans="1:13" ht="12.75">
      <c r="A192" s="149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1"/>
    </row>
    <row r="193" spans="1:13" ht="12.75">
      <c r="A193" s="146" t="s">
        <v>39</v>
      </c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8"/>
    </row>
    <row r="194" spans="1:13" ht="12.75">
      <c r="A194" s="25" t="s">
        <v>3</v>
      </c>
      <c r="B194" s="58"/>
      <c r="C194" s="26" t="s">
        <v>75</v>
      </c>
      <c r="D194" s="27">
        <f aca="true" t="shared" si="78" ref="D194:K194">D195+D196+D197+D198+D200+D201+D203+D205+D202+D199+D208+D206+D204+D207</f>
        <v>758969</v>
      </c>
      <c r="E194" s="27">
        <f t="shared" si="78"/>
        <v>796184.7999999999</v>
      </c>
      <c r="F194" s="27">
        <f t="shared" si="78"/>
        <v>179253.40000000002</v>
      </c>
      <c r="G194" s="27">
        <f t="shared" si="78"/>
        <v>206511.80000000002</v>
      </c>
      <c r="H194" s="27">
        <f t="shared" si="78"/>
        <v>190022.1</v>
      </c>
      <c r="I194" s="27">
        <f t="shared" si="78"/>
        <v>199965.49999999997</v>
      </c>
      <c r="J194" s="27">
        <f t="shared" si="78"/>
        <v>575787.3000000002</v>
      </c>
      <c r="K194" s="27">
        <f t="shared" si="78"/>
        <v>685996.2000000001</v>
      </c>
      <c r="L194" s="27">
        <f aca="true" t="shared" si="79" ref="L194:L213">K194*100/D194</f>
        <v>90.38527265276974</v>
      </c>
      <c r="M194" s="27">
        <f>K194/E194*100</f>
        <v>86.16042406235339</v>
      </c>
    </row>
    <row r="195" spans="1:13" ht="12.75">
      <c r="A195" s="16" t="s">
        <v>26</v>
      </c>
      <c r="B195" s="59" t="s">
        <v>60</v>
      </c>
      <c r="C195" s="28" t="s">
        <v>25</v>
      </c>
      <c r="D195" s="30">
        <f aca="true" t="shared" si="80" ref="D195:J195">D10+D32+D44+D58+D73+D90+D105+D119+D133+D149+D164+D180</f>
        <v>540478</v>
      </c>
      <c r="E195" s="30">
        <f t="shared" si="80"/>
        <v>563390.2</v>
      </c>
      <c r="F195" s="30">
        <f t="shared" si="80"/>
        <v>131173.2</v>
      </c>
      <c r="G195" s="30">
        <f t="shared" si="80"/>
        <v>144457.09999999998</v>
      </c>
      <c r="H195" s="30">
        <f t="shared" si="80"/>
        <v>133118.1</v>
      </c>
      <c r="I195" s="30">
        <f t="shared" si="80"/>
        <v>142204.09999999998</v>
      </c>
      <c r="J195" s="30">
        <f t="shared" si="80"/>
        <v>408748.4</v>
      </c>
      <c r="K195" s="30">
        <f>K10+K32+K44+K58+K73+K90+K105+K119+K133+K149+K164+K180</f>
        <v>477863.69999999995</v>
      </c>
      <c r="L195" s="31">
        <f t="shared" si="79"/>
        <v>88.41501411713334</v>
      </c>
      <c r="M195" s="31">
        <f aca="true" t="shared" si="81" ref="M195:M213">K195/E195*100</f>
        <v>84.81931350598573</v>
      </c>
    </row>
    <row r="196" spans="1:13" ht="12.75">
      <c r="A196" s="32" t="s">
        <v>8</v>
      </c>
      <c r="B196" s="60" t="s">
        <v>61</v>
      </c>
      <c r="C196" s="28" t="s">
        <v>5</v>
      </c>
      <c r="D196" s="30">
        <f aca="true" t="shared" si="82" ref="D196:J196">D11+D45+D59+D134</f>
        <v>28437</v>
      </c>
      <c r="E196" s="30">
        <f t="shared" si="82"/>
        <v>39185.5</v>
      </c>
      <c r="F196" s="30">
        <f t="shared" si="82"/>
        <v>8361.7</v>
      </c>
      <c r="G196" s="30">
        <f t="shared" si="82"/>
        <v>12340.9</v>
      </c>
      <c r="H196" s="30">
        <f t="shared" si="82"/>
        <v>8000.8</v>
      </c>
      <c r="I196" s="30">
        <f t="shared" si="82"/>
        <v>8665.2</v>
      </c>
      <c r="J196" s="30">
        <f t="shared" si="82"/>
        <v>28703.399999999998</v>
      </c>
      <c r="K196" s="30">
        <f>K11+K45+K59+K134</f>
        <v>36333.00000000001</v>
      </c>
      <c r="L196" s="31">
        <f t="shared" si="79"/>
        <v>127.76664205084928</v>
      </c>
      <c r="M196" s="31">
        <f t="shared" si="81"/>
        <v>92.72052162151819</v>
      </c>
    </row>
    <row r="197" spans="1:13" ht="12.75">
      <c r="A197" s="32" t="s">
        <v>9</v>
      </c>
      <c r="B197" s="60" t="s">
        <v>62</v>
      </c>
      <c r="C197" s="28" t="s">
        <v>6</v>
      </c>
      <c r="D197" s="30">
        <f aca="true" t="shared" si="83" ref="D197:J197">D12+D33+D46+D60+D75+D91+D106+D120+D135+D150+D166+D181</f>
        <v>30714</v>
      </c>
      <c r="E197" s="30">
        <f t="shared" si="83"/>
        <v>38211.9</v>
      </c>
      <c r="F197" s="30">
        <f t="shared" si="83"/>
        <v>5394.700000000001</v>
      </c>
      <c r="G197" s="30">
        <f t="shared" si="83"/>
        <v>5912.1</v>
      </c>
      <c r="H197" s="30">
        <f t="shared" si="83"/>
        <v>12630.599999999999</v>
      </c>
      <c r="I197" s="30">
        <f t="shared" si="83"/>
        <v>9876.5</v>
      </c>
      <c r="J197" s="30">
        <f t="shared" si="83"/>
        <v>23937.399999999998</v>
      </c>
      <c r="K197" s="30">
        <f>K12+K33+K46+K60+K75+K91+K106+K120+K135+K150+K166+K181</f>
        <v>33034.299999999996</v>
      </c>
      <c r="L197" s="31">
        <f t="shared" si="79"/>
        <v>107.55453539102687</v>
      </c>
      <c r="M197" s="31">
        <f t="shared" si="81"/>
        <v>86.45029428005411</v>
      </c>
    </row>
    <row r="198" spans="1:13" ht="12.75" customHeight="1" hidden="1">
      <c r="A198" s="32" t="s">
        <v>10</v>
      </c>
      <c r="B198" s="60" t="s">
        <v>55</v>
      </c>
      <c r="C198" s="28" t="s">
        <v>22</v>
      </c>
      <c r="D198" s="30">
        <f aca="true" t="shared" si="84" ref="D198:J198">D13+D34+D61+D92+D107+D121+D136+D151+D167+D182</f>
        <v>9593</v>
      </c>
      <c r="E198" s="30">
        <f t="shared" si="84"/>
        <v>4670</v>
      </c>
      <c r="F198" s="30">
        <f t="shared" si="84"/>
        <v>165.4</v>
      </c>
      <c r="G198" s="30">
        <f t="shared" si="84"/>
        <v>1455.2</v>
      </c>
      <c r="H198" s="30">
        <f t="shared" si="84"/>
        <v>1542.8000000000002</v>
      </c>
      <c r="I198" s="30">
        <f t="shared" si="84"/>
        <v>1546.6000000000001</v>
      </c>
      <c r="J198" s="30">
        <f t="shared" si="84"/>
        <v>3163.4000000000005</v>
      </c>
      <c r="K198" s="30">
        <f>K13+K34+K61+K92+K107+K121+K136+K151+K167+K182</f>
        <v>4360.7</v>
      </c>
      <c r="L198" s="31">
        <f t="shared" si="79"/>
        <v>45.457104138434275</v>
      </c>
      <c r="M198" s="31">
        <f t="shared" si="81"/>
        <v>93.37687366167023</v>
      </c>
    </row>
    <row r="199" spans="1:13" ht="12.75" customHeight="1" hidden="1">
      <c r="A199" s="32" t="s">
        <v>42</v>
      </c>
      <c r="B199" s="60" t="s">
        <v>63</v>
      </c>
      <c r="C199" s="28" t="s">
        <v>43</v>
      </c>
      <c r="D199" s="61">
        <f aca="true" t="shared" si="85" ref="D199:J199">D14</f>
        <v>0</v>
      </c>
      <c r="E199" s="61">
        <f t="shared" si="85"/>
        <v>0</v>
      </c>
      <c r="F199" s="61">
        <f t="shared" si="85"/>
        <v>0</v>
      </c>
      <c r="G199" s="61">
        <f t="shared" si="85"/>
        <v>0</v>
      </c>
      <c r="H199" s="61">
        <f t="shared" si="85"/>
        <v>0</v>
      </c>
      <c r="I199" s="61">
        <f t="shared" si="85"/>
        <v>0</v>
      </c>
      <c r="J199" s="61">
        <f t="shared" si="85"/>
        <v>0</v>
      </c>
      <c r="K199" s="61">
        <f>K14</f>
        <v>2.4</v>
      </c>
      <c r="L199" s="31"/>
      <c r="M199" s="31"/>
    </row>
    <row r="200" spans="1:13" ht="24">
      <c r="A200" s="21" t="s">
        <v>11</v>
      </c>
      <c r="B200" s="62" t="s">
        <v>54</v>
      </c>
      <c r="C200" s="28" t="s">
        <v>17</v>
      </c>
      <c r="D200" s="30">
        <f aca="true" t="shared" si="86" ref="D200:J200">D15+D35+D48+D62+D77+D93+D108+D122+D137+D152+D168+D183</f>
        <v>75211</v>
      </c>
      <c r="E200" s="30">
        <f t="shared" si="86"/>
        <v>80469</v>
      </c>
      <c r="F200" s="30">
        <f t="shared" si="86"/>
        <v>20474.4</v>
      </c>
      <c r="G200" s="30">
        <f t="shared" si="86"/>
        <v>17933.699999999997</v>
      </c>
      <c r="H200" s="30">
        <f t="shared" si="86"/>
        <v>19025.4</v>
      </c>
      <c r="I200" s="30">
        <f t="shared" si="86"/>
        <v>22787.799999999996</v>
      </c>
      <c r="J200" s="30">
        <f t="shared" si="86"/>
        <v>57433.49999999999</v>
      </c>
      <c r="K200" s="30">
        <f>K15+K35+K48+K62+K77+K93+K108+K122+K137+K152+K168+K183</f>
        <v>71323.09999999999</v>
      </c>
      <c r="L200" s="31">
        <f t="shared" si="79"/>
        <v>94.83067636382975</v>
      </c>
      <c r="M200" s="31">
        <f t="shared" si="81"/>
        <v>88.63425667027053</v>
      </c>
    </row>
    <row r="201" spans="1:13" ht="12.75">
      <c r="A201" s="33" t="s">
        <v>14</v>
      </c>
      <c r="B201" s="63" t="s">
        <v>53</v>
      </c>
      <c r="C201" s="28" t="s">
        <v>13</v>
      </c>
      <c r="D201" s="30">
        <f aca="true" t="shared" si="87" ref="D201:J201">D16</f>
        <v>12581</v>
      </c>
      <c r="E201" s="30">
        <f t="shared" si="87"/>
        <v>12581</v>
      </c>
      <c r="F201" s="30">
        <f t="shared" si="87"/>
        <v>532.8</v>
      </c>
      <c r="G201" s="30">
        <f t="shared" si="87"/>
        <v>6148.2</v>
      </c>
      <c r="H201" s="30">
        <f t="shared" si="87"/>
        <v>2950</v>
      </c>
      <c r="I201" s="30">
        <f t="shared" si="87"/>
        <v>2950</v>
      </c>
      <c r="J201" s="30">
        <f t="shared" si="87"/>
        <v>9631</v>
      </c>
      <c r="K201" s="30">
        <f>K16</f>
        <v>13929.8</v>
      </c>
      <c r="L201" s="31">
        <f t="shared" si="79"/>
        <v>110.72092838407121</v>
      </c>
      <c r="M201" s="31">
        <f t="shared" si="81"/>
        <v>110.72092838407121</v>
      </c>
    </row>
    <row r="202" spans="1:13" ht="12.75">
      <c r="A202" s="34" t="s">
        <v>47</v>
      </c>
      <c r="B202" s="64" t="s">
        <v>64</v>
      </c>
      <c r="C202" s="28" t="s">
        <v>48</v>
      </c>
      <c r="D202" s="65">
        <f aca="true" t="shared" si="88" ref="D202:J202">D17+D78+D94+D123+D153+D169+D184+D109</f>
        <v>52060</v>
      </c>
      <c r="E202" s="65">
        <f t="shared" si="88"/>
        <v>29833.4</v>
      </c>
      <c r="F202" s="65">
        <f t="shared" si="88"/>
        <v>5717.2</v>
      </c>
      <c r="G202" s="65">
        <f t="shared" si="88"/>
        <v>10064</v>
      </c>
      <c r="H202" s="65">
        <f t="shared" si="88"/>
        <v>6983.6</v>
      </c>
      <c r="I202" s="65">
        <f t="shared" si="88"/>
        <v>6998.599999999999</v>
      </c>
      <c r="J202" s="65">
        <f t="shared" si="88"/>
        <v>22764.8</v>
      </c>
      <c r="K202" s="65">
        <f>K17+K78+K94+K123+K153+K169+K184+K109</f>
        <v>19112.699999999997</v>
      </c>
      <c r="L202" s="31">
        <f t="shared" si="79"/>
        <v>36.7128313484441</v>
      </c>
      <c r="M202" s="31">
        <f>K202/E202*100</f>
        <v>64.06477303961331</v>
      </c>
    </row>
    <row r="203" spans="1:13" ht="12.75">
      <c r="A203" s="34" t="s">
        <v>18</v>
      </c>
      <c r="B203" s="64" t="s">
        <v>59</v>
      </c>
      <c r="C203" s="28" t="s">
        <v>15</v>
      </c>
      <c r="D203" s="30">
        <f aca="true" t="shared" si="89" ref="D203:J203">D18+D36+D49+D63+D79+D95+D139+D124+D154+D170+D185+D110</f>
        <v>5114</v>
      </c>
      <c r="E203" s="30">
        <f t="shared" si="89"/>
        <v>16682</v>
      </c>
      <c r="F203" s="30">
        <f t="shared" si="89"/>
        <v>1207</v>
      </c>
      <c r="G203" s="30">
        <f t="shared" si="89"/>
        <v>6684.9</v>
      </c>
      <c r="H203" s="30">
        <f t="shared" si="89"/>
        <v>4067.9</v>
      </c>
      <c r="I203" s="30">
        <f t="shared" si="89"/>
        <v>3867.9</v>
      </c>
      <c r="J203" s="30">
        <f t="shared" si="89"/>
        <v>11959.8</v>
      </c>
      <c r="K203" s="30">
        <f>K18+K36+K49+K63+K79+K95+K139+K124+K154+K170+K185+K110</f>
        <v>15404.3</v>
      </c>
      <c r="L203" s="31">
        <f t="shared" si="79"/>
        <v>301.2182244818146</v>
      </c>
      <c r="M203" s="31">
        <f t="shared" si="81"/>
        <v>92.34084642129241</v>
      </c>
    </row>
    <row r="204" spans="1:13" ht="12.75">
      <c r="A204" s="34" t="s">
        <v>69</v>
      </c>
      <c r="B204" s="34"/>
      <c r="C204" s="28" t="s">
        <v>70</v>
      </c>
      <c r="D204" s="30">
        <f aca="true" t="shared" si="90" ref="D204:J204">D19</f>
        <v>7</v>
      </c>
      <c r="E204" s="30">
        <f t="shared" si="90"/>
        <v>17</v>
      </c>
      <c r="F204" s="30">
        <f t="shared" si="90"/>
        <v>3.3</v>
      </c>
      <c r="G204" s="30">
        <f t="shared" si="90"/>
        <v>0.7</v>
      </c>
      <c r="H204" s="30">
        <f t="shared" si="90"/>
        <v>2</v>
      </c>
      <c r="I204" s="30">
        <f t="shared" si="90"/>
        <v>1</v>
      </c>
      <c r="J204" s="30">
        <f t="shared" si="90"/>
        <v>6</v>
      </c>
      <c r="K204" s="30">
        <f>K19</f>
        <v>18.3</v>
      </c>
      <c r="L204" s="31">
        <f t="shared" si="79"/>
        <v>261.42857142857144</v>
      </c>
      <c r="M204" s="31">
        <f t="shared" si="81"/>
        <v>107.6470588235294</v>
      </c>
    </row>
    <row r="205" spans="1:13" ht="12.75">
      <c r="A205" s="16" t="s">
        <v>12</v>
      </c>
      <c r="B205" s="59" t="s">
        <v>56</v>
      </c>
      <c r="C205" s="28" t="s">
        <v>7</v>
      </c>
      <c r="D205" s="30">
        <f aca="true" t="shared" si="91" ref="D205:J205">D20+D50+D64+D80+D96+D125+D140+D171+D186</f>
        <v>4774</v>
      </c>
      <c r="E205" s="30">
        <f t="shared" si="91"/>
        <v>10897.599999999999</v>
      </c>
      <c r="F205" s="30">
        <f t="shared" si="91"/>
        <v>6223.7</v>
      </c>
      <c r="G205" s="30">
        <f t="shared" si="91"/>
        <v>1393</v>
      </c>
      <c r="H205" s="30">
        <f t="shared" si="91"/>
        <v>1575.6999999999998</v>
      </c>
      <c r="I205" s="30">
        <f t="shared" si="91"/>
        <v>1067.8</v>
      </c>
      <c r="J205" s="30">
        <f t="shared" si="91"/>
        <v>9192.4</v>
      </c>
      <c r="K205" s="30">
        <f>K20+K50+K64+K80+K96+K125+K140+K171+K186</f>
        <v>12023.099999999999</v>
      </c>
      <c r="L205" s="31">
        <f t="shared" si="79"/>
        <v>251.84541265186422</v>
      </c>
      <c r="M205" s="31">
        <f t="shared" si="81"/>
        <v>110.32796212009983</v>
      </c>
    </row>
    <row r="206" spans="1:13" ht="12.75">
      <c r="A206" s="35" t="s">
        <v>44</v>
      </c>
      <c r="B206" s="66" t="s">
        <v>63</v>
      </c>
      <c r="C206" s="37" t="s">
        <v>45</v>
      </c>
      <c r="D206" s="30">
        <f aca="true" t="shared" si="92" ref="D206:J206">D21+D37+D51+D65+D81+D97+D112+D126+D141+D156+D172+D187</f>
        <v>0</v>
      </c>
      <c r="E206" s="30">
        <f t="shared" si="92"/>
        <v>247.2</v>
      </c>
      <c r="F206" s="30">
        <f t="shared" si="92"/>
        <v>0</v>
      </c>
      <c r="G206" s="30">
        <f t="shared" si="92"/>
        <v>122</v>
      </c>
      <c r="H206" s="30">
        <f t="shared" si="92"/>
        <v>125.2</v>
      </c>
      <c r="I206" s="30">
        <f t="shared" si="92"/>
        <v>0</v>
      </c>
      <c r="J206" s="30">
        <f t="shared" si="92"/>
        <v>247.2</v>
      </c>
      <c r="K206" s="30">
        <f>K21+K37+K51+K65+K81+K97+K112+K126+K141+K156+K172+K187</f>
        <v>2590.7999999999993</v>
      </c>
      <c r="L206" s="31"/>
      <c r="M206" s="31">
        <f t="shared" si="81"/>
        <v>1048.0582524271842</v>
      </c>
    </row>
    <row r="207" spans="1:13" ht="12.75">
      <c r="A207" s="35" t="s">
        <v>67</v>
      </c>
      <c r="B207" s="36"/>
      <c r="C207" s="37" t="s">
        <v>68</v>
      </c>
      <c r="D207" s="37"/>
      <c r="E207" s="29">
        <f>F207+G207+H207+I207</f>
        <v>0</v>
      </c>
      <c r="F207" s="30">
        <f aca="true" t="shared" si="93" ref="F207:I208">F22</f>
        <v>0</v>
      </c>
      <c r="G207" s="30">
        <f t="shared" si="93"/>
        <v>0</v>
      </c>
      <c r="H207" s="30">
        <f t="shared" si="93"/>
        <v>0</v>
      </c>
      <c r="I207" s="30">
        <f t="shared" si="93"/>
        <v>0</v>
      </c>
      <c r="J207" s="31">
        <f>F207</f>
        <v>0</v>
      </c>
      <c r="K207" s="30">
        <f>K22</f>
        <v>0</v>
      </c>
      <c r="L207" s="27" t="e">
        <f t="shared" si="79"/>
        <v>#DIV/0!</v>
      </c>
      <c r="M207" s="31"/>
    </row>
    <row r="208" spans="1:13" ht="12.75">
      <c r="A208" s="35" t="s">
        <v>49</v>
      </c>
      <c r="B208" s="66" t="s">
        <v>63</v>
      </c>
      <c r="C208" s="37" t="s">
        <v>50</v>
      </c>
      <c r="D208" s="37"/>
      <c r="E208" s="29">
        <f>F208+G208+H208+I208</f>
        <v>0</v>
      </c>
      <c r="F208" s="30">
        <f t="shared" si="93"/>
        <v>0</v>
      </c>
      <c r="G208" s="30">
        <f t="shared" si="93"/>
        <v>0</v>
      </c>
      <c r="H208" s="30">
        <f t="shared" si="93"/>
        <v>0</v>
      </c>
      <c r="I208" s="30">
        <f t="shared" si="93"/>
        <v>0</v>
      </c>
      <c r="J208" s="31">
        <f>F208</f>
        <v>0</v>
      </c>
      <c r="K208" s="30">
        <f>K23+K188+K82+K142</f>
        <v>0</v>
      </c>
      <c r="L208" s="27" t="e">
        <f t="shared" si="79"/>
        <v>#DIV/0!</v>
      </c>
      <c r="M208" s="31"/>
    </row>
    <row r="209" spans="1:13" ht="12.75">
      <c r="A209" s="25" t="s">
        <v>1</v>
      </c>
      <c r="B209" s="58"/>
      <c r="C209" s="38" t="s">
        <v>0</v>
      </c>
      <c r="D209" s="39">
        <f aca="true" t="shared" si="94" ref="D209:K209">D210+D211+D212</f>
        <v>2751958.3</v>
      </c>
      <c r="E209" s="39">
        <f t="shared" si="94"/>
        <v>3069841.3000000003</v>
      </c>
      <c r="F209" s="39">
        <f t="shared" si="94"/>
        <v>762322</v>
      </c>
      <c r="G209" s="39">
        <f t="shared" si="94"/>
        <v>1441323.4000000001</v>
      </c>
      <c r="H209" s="39">
        <f t="shared" si="94"/>
        <v>70088.90000000001</v>
      </c>
      <c r="I209" s="39">
        <f t="shared" si="94"/>
        <v>659776.4</v>
      </c>
      <c r="J209" s="39">
        <f t="shared" si="94"/>
        <v>2310385.7</v>
      </c>
      <c r="K209" s="39">
        <f t="shared" si="94"/>
        <v>2357773.2</v>
      </c>
      <c r="L209" s="27">
        <f t="shared" si="79"/>
        <v>85.6761964743434</v>
      </c>
      <c r="M209" s="27">
        <f t="shared" si="81"/>
        <v>76.80440027958448</v>
      </c>
    </row>
    <row r="210" spans="1:13" ht="24">
      <c r="A210" s="23" t="s">
        <v>21</v>
      </c>
      <c r="B210" s="60" t="s">
        <v>57</v>
      </c>
      <c r="C210" s="40" t="s">
        <v>20</v>
      </c>
      <c r="D210" s="29">
        <f>D25-12420.1</f>
        <v>2716958.3</v>
      </c>
      <c r="E210" s="29">
        <f>E25-29548.3</f>
        <v>2990362.4000000004</v>
      </c>
      <c r="F210" s="29">
        <f>F25-18325.7</f>
        <v>756002</v>
      </c>
      <c r="G210" s="29">
        <f>G25-18325.7</f>
        <v>1423812.3</v>
      </c>
      <c r="H210" s="29">
        <f>H25-18325.7</f>
        <v>61365.90000000001</v>
      </c>
      <c r="I210" s="29">
        <f>I25-18325.7</f>
        <v>650676.4</v>
      </c>
      <c r="J210" s="29">
        <f>J25-18325.7</f>
        <v>2277831.6</v>
      </c>
      <c r="K210" s="29">
        <f>K25-18663.8</f>
        <v>2281478.1</v>
      </c>
      <c r="L210" s="31">
        <f t="shared" si="79"/>
        <v>83.97177461280874</v>
      </c>
      <c r="M210" s="31">
        <f t="shared" si="81"/>
        <v>76.29436820099129</v>
      </c>
    </row>
    <row r="211" spans="1:13" ht="12.75" customHeight="1">
      <c r="A211" s="22" t="s">
        <v>2</v>
      </c>
      <c r="B211" s="22" t="s">
        <v>58</v>
      </c>
      <c r="C211" s="41" t="s">
        <v>19</v>
      </c>
      <c r="D211" s="30">
        <f aca="true" t="shared" si="95" ref="D211:J211">D26+D85+D68+D159+D175+D100</f>
        <v>35000</v>
      </c>
      <c r="E211" s="30">
        <f t="shared" si="95"/>
        <v>79478.9</v>
      </c>
      <c r="F211" s="30">
        <f t="shared" si="95"/>
        <v>6320</v>
      </c>
      <c r="G211" s="30">
        <f t="shared" si="95"/>
        <v>17511.100000000002</v>
      </c>
      <c r="H211" s="30">
        <f t="shared" si="95"/>
        <v>8723</v>
      </c>
      <c r="I211" s="30">
        <f t="shared" si="95"/>
        <v>9100</v>
      </c>
      <c r="J211" s="30">
        <f t="shared" si="95"/>
        <v>32554.100000000002</v>
      </c>
      <c r="K211" s="30">
        <f>K26+K85+K68+K159+K175+K100</f>
        <v>77028</v>
      </c>
      <c r="L211" s="31">
        <f t="shared" si="79"/>
        <v>220.08</v>
      </c>
      <c r="M211" s="31">
        <f t="shared" si="81"/>
        <v>96.91628847404785</v>
      </c>
    </row>
    <row r="212" spans="1:13" ht="12.75" customHeight="1">
      <c r="A212" s="22" t="s">
        <v>72</v>
      </c>
      <c r="B212" s="67"/>
      <c r="C212" s="43" t="s">
        <v>73</v>
      </c>
      <c r="D212" s="30">
        <f aca="true" t="shared" si="96" ref="D212:J212">D27</f>
        <v>0</v>
      </c>
      <c r="E212" s="30">
        <f t="shared" si="96"/>
        <v>0</v>
      </c>
      <c r="F212" s="30">
        <f t="shared" si="96"/>
        <v>0</v>
      </c>
      <c r="G212" s="30">
        <f t="shared" si="96"/>
        <v>0</v>
      </c>
      <c r="H212" s="30">
        <f t="shared" si="96"/>
        <v>0</v>
      </c>
      <c r="I212" s="30">
        <f t="shared" si="96"/>
        <v>0</v>
      </c>
      <c r="J212" s="30">
        <f t="shared" si="96"/>
        <v>0</v>
      </c>
      <c r="K212" s="30">
        <f>K27</f>
        <v>-732.9</v>
      </c>
      <c r="L212" s="31"/>
      <c r="M212" s="27"/>
    </row>
    <row r="213" spans="1:13" ht="12.75">
      <c r="A213" s="16"/>
      <c r="B213" s="17"/>
      <c r="C213" s="18" t="s">
        <v>4</v>
      </c>
      <c r="D213" s="1">
        <f>D209+D194</f>
        <v>3510927.3</v>
      </c>
      <c r="E213" s="1">
        <f>E209+E194</f>
        <v>3866026.1</v>
      </c>
      <c r="F213" s="1">
        <f aca="true" t="shared" si="97" ref="F213:K213">F209+F194</f>
        <v>941575.4</v>
      </c>
      <c r="G213" s="1">
        <f t="shared" si="97"/>
        <v>1647835.2000000002</v>
      </c>
      <c r="H213" s="1">
        <f t="shared" si="97"/>
        <v>260111</v>
      </c>
      <c r="I213" s="1">
        <f t="shared" si="97"/>
        <v>859741.9</v>
      </c>
      <c r="J213" s="1">
        <f t="shared" si="97"/>
        <v>2886173.0000000005</v>
      </c>
      <c r="K213" s="1">
        <f t="shared" si="97"/>
        <v>3043769.4000000004</v>
      </c>
      <c r="L213" s="27">
        <f t="shared" si="79"/>
        <v>86.69417335984146</v>
      </c>
      <c r="M213" s="27">
        <f t="shared" si="81"/>
        <v>78.73121704998319</v>
      </c>
    </row>
    <row r="214" spans="3:11" ht="12.75" customHeight="1">
      <c r="C214" s="20"/>
      <c r="D214" s="8"/>
      <c r="E214" s="5">
        <f>E213-E204</f>
        <v>3866009.1</v>
      </c>
      <c r="F214" s="5">
        <f>F213-F204</f>
        <v>941572.1</v>
      </c>
      <c r="G214" s="5">
        <f>G213-G204</f>
        <v>1647834.5000000002</v>
      </c>
      <c r="H214" s="5">
        <f>H213-H204</f>
        <v>260109</v>
      </c>
      <c r="I214" s="6"/>
      <c r="J214" s="7"/>
      <c r="K214" s="7"/>
    </row>
    <row r="215" spans="3:11" ht="12.75">
      <c r="C215" s="20"/>
      <c r="D215" s="8"/>
      <c r="E215" s="5"/>
      <c r="F215" s="5"/>
      <c r="G215" s="8"/>
      <c r="H215" s="8"/>
      <c r="I215" s="6"/>
      <c r="J215" s="7"/>
      <c r="K215" s="7"/>
    </row>
    <row r="216" spans="3:11" ht="12.75">
      <c r="C216" s="19"/>
      <c r="D216" s="7"/>
      <c r="E216" s="6"/>
      <c r="F216" s="6"/>
      <c r="G216" s="7"/>
      <c r="H216" s="7"/>
      <c r="I216" s="6"/>
      <c r="J216" s="7"/>
      <c r="K216" s="7"/>
    </row>
    <row r="217" spans="3:11" ht="12.75">
      <c r="C217" s="19"/>
      <c r="D217" s="7"/>
      <c r="E217" s="6"/>
      <c r="F217" s="6"/>
      <c r="G217" s="7"/>
      <c r="H217" s="7"/>
      <c r="I217" s="6"/>
      <c r="J217" s="7"/>
      <c r="K217" s="7"/>
    </row>
    <row r="218" spans="3:11" ht="12.75">
      <c r="C218" s="19"/>
      <c r="D218" s="7"/>
      <c r="E218" s="6"/>
      <c r="F218" s="6"/>
      <c r="G218" s="7"/>
      <c r="H218" s="7"/>
      <c r="I218" s="6"/>
      <c r="J218" s="7"/>
      <c r="K218" s="7"/>
    </row>
    <row r="219" spans="3:11" ht="12.75">
      <c r="C219" s="19"/>
      <c r="D219" s="7"/>
      <c r="E219" s="6"/>
      <c r="F219" s="6"/>
      <c r="G219" s="7"/>
      <c r="H219" s="7"/>
      <c r="I219" s="6"/>
      <c r="J219" s="7"/>
      <c r="K219" s="7"/>
    </row>
    <row r="220" spans="4:11" ht="12.75">
      <c r="D220" s="7"/>
      <c r="E220" s="6"/>
      <c r="F220" s="6"/>
      <c r="G220" s="7"/>
      <c r="H220" s="7"/>
      <c r="I220" s="6"/>
      <c r="J220" s="7"/>
      <c r="K220" s="7"/>
    </row>
    <row r="221" spans="4:11" ht="12.75">
      <c r="D221" s="7"/>
      <c r="E221" s="6"/>
      <c r="F221" s="6"/>
      <c r="G221" s="7"/>
      <c r="H221" s="7"/>
      <c r="I221" s="6"/>
      <c r="J221" s="7"/>
      <c r="K221" s="7"/>
    </row>
    <row r="222" spans="4:11" ht="12.75">
      <c r="D222" s="7"/>
      <c r="E222" s="6"/>
      <c r="F222" s="6"/>
      <c r="G222" s="7"/>
      <c r="H222" s="7"/>
      <c r="I222" s="6"/>
      <c r="J222" s="7"/>
      <c r="K222" s="7"/>
    </row>
    <row r="223" spans="3:11" ht="12.75">
      <c r="C223" s="19"/>
      <c r="D223" s="7"/>
      <c r="E223" s="6"/>
      <c r="F223" s="6"/>
      <c r="G223" s="7"/>
      <c r="H223" s="7"/>
      <c r="I223" s="6"/>
      <c r="J223" s="7"/>
      <c r="K223" s="7"/>
    </row>
    <row r="224" spans="3:11" ht="12.75">
      <c r="C224" s="19"/>
      <c r="D224" s="7"/>
      <c r="E224" s="6"/>
      <c r="F224" s="6"/>
      <c r="G224" s="7"/>
      <c r="H224" s="7"/>
      <c r="I224" s="6"/>
      <c r="J224" s="7"/>
      <c r="K224" s="7"/>
    </row>
    <row r="225" spans="3:11" ht="12.75">
      <c r="C225" s="19"/>
      <c r="D225" s="7"/>
      <c r="E225" s="6"/>
      <c r="F225" s="6"/>
      <c r="G225" s="7"/>
      <c r="H225" s="7"/>
      <c r="I225" s="6"/>
      <c r="J225" s="7"/>
      <c r="K225" s="7"/>
    </row>
    <row r="226" spans="3:11" ht="12.75">
      <c r="C226" s="19"/>
      <c r="D226" s="7"/>
      <c r="E226" s="6"/>
      <c r="F226" s="6"/>
      <c r="G226" s="7"/>
      <c r="H226" s="7"/>
      <c r="I226" s="6"/>
      <c r="J226" s="7"/>
      <c r="K226" s="7"/>
    </row>
    <row r="227" spans="3:11" ht="12.75">
      <c r="C227" s="19"/>
      <c r="D227" s="6"/>
      <c r="E227" s="6"/>
      <c r="F227" s="6"/>
      <c r="G227" s="6"/>
      <c r="H227" s="6"/>
      <c r="I227" s="6"/>
      <c r="J227" s="6"/>
      <c r="K227" s="7"/>
    </row>
    <row r="228" spans="3:11" ht="12.75" customHeight="1">
      <c r="C228" s="19"/>
      <c r="D228" s="7"/>
      <c r="E228" s="7"/>
      <c r="F228" s="7"/>
      <c r="G228" s="7"/>
      <c r="H228" s="7"/>
      <c r="I228" s="7"/>
      <c r="J228" s="7"/>
      <c r="K228" s="7"/>
    </row>
    <row r="229" spans="3:11" ht="12.75">
      <c r="C229" s="19"/>
      <c r="D229" s="9"/>
      <c r="E229" s="6"/>
      <c r="F229" s="6"/>
      <c r="G229" s="6"/>
      <c r="H229" s="6"/>
      <c r="I229" s="6"/>
      <c r="J229" s="7"/>
      <c r="K229" s="7"/>
    </row>
  </sheetData>
  <sheetProtection/>
  <mergeCells count="27">
    <mergeCell ref="A1:C1"/>
    <mergeCell ref="A2:M2"/>
    <mergeCell ref="A8:M8"/>
    <mergeCell ref="A29:M29"/>
    <mergeCell ref="A30:M30"/>
    <mergeCell ref="C41:M41"/>
    <mergeCell ref="A42:M42"/>
    <mergeCell ref="A55:M55"/>
    <mergeCell ref="A56:M56"/>
    <mergeCell ref="A70:M70"/>
    <mergeCell ref="A161:M161"/>
    <mergeCell ref="A71:M71"/>
    <mergeCell ref="A87:M87"/>
    <mergeCell ref="A88:M88"/>
    <mergeCell ref="A102:M102"/>
    <mergeCell ref="A103:M103"/>
    <mergeCell ref="A116:M116"/>
    <mergeCell ref="A162:M162"/>
    <mergeCell ref="A177:M177"/>
    <mergeCell ref="A178:M178"/>
    <mergeCell ref="A192:M192"/>
    <mergeCell ref="A193:M193"/>
    <mergeCell ref="A117:M117"/>
    <mergeCell ref="A130:M130"/>
    <mergeCell ref="A131:M131"/>
    <mergeCell ref="A146:M146"/>
    <mergeCell ref="A147:M147"/>
  </mergeCells>
  <printOptions/>
  <pageMargins left="0.79" right="0.1968503937007874" top="0.1968503937007874" bottom="0.19" header="0.15748031496062992" footer="0.1968503937007874"/>
  <pageSetup fitToHeight="7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83">
      <selection activeCell="D121" sqref="D121"/>
    </sheetView>
  </sheetViews>
  <sheetFormatPr defaultColWidth="9.00390625" defaultRowHeight="12.75"/>
  <cols>
    <col min="2" max="2" width="46.25390625" style="0" customWidth="1"/>
    <col min="3" max="3" width="13.625" style="0" customWidth="1"/>
    <col min="4" max="4" width="12.375" style="0" customWidth="1"/>
    <col min="5" max="5" width="11.25390625" style="0" customWidth="1"/>
    <col min="6" max="6" width="14.00390625" style="0" customWidth="1"/>
    <col min="7" max="7" width="11.375" style="0" customWidth="1"/>
    <col min="9" max="9" width="12.00390625" style="0" customWidth="1"/>
    <col min="10" max="10" width="12.875" style="0" customWidth="1"/>
  </cols>
  <sheetData>
    <row r="1" spans="1:11" ht="14.2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3.5" thickBot="1">
      <c r="A2" s="136"/>
      <c r="B2" s="137"/>
      <c r="C2" s="138"/>
      <c r="D2" s="139"/>
      <c r="E2" s="140"/>
      <c r="F2" s="141"/>
      <c r="G2" s="141"/>
      <c r="H2" s="141"/>
      <c r="I2" s="142"/>
      <c r="J2" s="142"/>
      <c r="K2" s="142"/>
    </row>
    <row r="3" spans="1:11" ht="12.75" customHeight="1">
      <c r="A3" s="177" t="s">
        <v>76</v>
      </c>
      <c r="B3" s="179" t="s">
        <v>77</v>
      </c>
      <c r="C3" s="181" t="s">
        <v>78</v>
      </c>
      <c r="D3" s="181"/>
      <c r="E3" s="181"/>
      <c r="F3" s="182" t="s">
        <v>79</v>
      </c>
      <c r="G3" s="182"/>
      <c r="H3" s="182"/>
      <c r="I3" s="183" t="s">
        <v>80</v>
      </c>
      <c r="J3" s="183"/>
      <c r="K3" s="184"/>
    </row>
    <row r="4" spans="1:11" ht="12.75" customHeight="1">
      <c r="A4" s="178"/>
      <c r="B4" s="180"/>
      <c r="C4" s="168" t="s">
        <v>81</v>
      </c>
      <c r="D4" s="168" t="s">
        <v>255</v>
      </c>
      <c r="E4" s="168" t="s">
        <v>82</v>
      </c>
      <c r="F4" s="168" t="s">
        <v>81</v>
      </c>
      <c r="G4" s="168" t="s">
        <v>255</v>
      </c>
      <c r="H4" s="168" t="s">
        <v>82</v>
      </c>
      <c r="I4" s="162" t="s">
        <v>81</v>
      </c>
      <c r="J4" s="162" t="s">
        <v>256</v>
      </c>
      <c r="K4" s="172" t="s">
        <v>82</v>
      </c>
    </row>
    <row r="5" spans="1:11" ht="24.75" customHeight="1">
      <c r="A5" s="178"/>
      <c r="B5" s="180"/>
      <c r="C5" s="169"/>
      <c r="D5" s="168"/>
      <c r="E5" s="171"/>
      <c r="F5" s="169"/>
      <c r="G5" s="168"/>
      <c r="H5" s="169"/>
      <c r="I5" s="170"/>
      <c r="J5" s="162"/>
      <c r="K5" s="173"/>
    </row>
    <row r="6" spans="1:11" ht="12.75">
      <c r="A6" s="178"/>
      <c r="B6" s="174" t="s">
        <v>83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1:11" ht="12.75">
      <c r="A7" s="178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2.75">
      <c r="A8" s="178"/>
      <c r="B8" s="174"/>
      <c r="C8" s="174"/>
      <c r="D8" s="174"/>
      <c r="E8" s="174"/>
      <c r="F8" s="174"/>
      <c r="G8" s="174"/>
      <c r="H8" s="174"/>
      <c r="I8" s="174"/>
      <c r="J8" s="174"/>
      <c r="K8" s="175"/>
    </row>
    <row r="9" spans="1:11" ht="12.75">
      <c r="A9" s="101" t="s">
        <v>84</v>
      </c>
      <c r="B9" s="102" t="s">
        <v>85</v>
      </c>
      <c r="C9" s="103">
        <f>SUM(C10:C16)</f>
        <v>272047.5</v>
      </c>
      <c r="D9" s="103">
        <f>SUM(D10:D16)</f>
        <v>198009.09999999998</v>
      </c>
      <c r="E9" s="103">
        <f>D9/C9*100</f>
        <v>72.78475266267839</v>
      </c>
      <c r="F9" s="103">
        <f>F10+F11+F12+F13+F14+F15+F16</f>
        <v>200450.09999999998</v>
      </c>
      <c r="G9" s="103">
        <f>SUM(G10:G16)</f>
        <v>152568.4</v>
      </c>
      <c r="H9" s="74">
        <f>G9/F9*100</f>
        <v>76.11290790076933</v>
      </c>
      <c r="I9" s="103">
        <f>SUM(I10:I16)</f>
        <v>471823.6</v>
      </c>
      <c r="J9" s="103">
        <f>SUM(J10:J16)</f>
        <v>349903.5</v>
      </c>
      <c r="K9" s="95">
        <f>J9/I9*100</f>
        <v>74.15981311659698</v>
      </c>
    </row>
    <row r="10" spans="1:11" ht="12.75">
      <c r="A10" s="96" t="s">
        <v>86</v>
      </c>
      <c r="B10" s="97" t="s">
        <v>87</v>
      </c>
      <c r="C10" s="73">
        <v>14367</v>
      </c>
      <c r="D10" s="73">
        <v>12491.2</v>
      </c>
      <c r="E10" s="73">
        <f>D10/C10*100</f>
        <v>86.94369040161482</v>
      </c>
      <c r="F10" s="74">
        <v>34437.5</v>
      </c>
      <c r="G10" s="74">
        <v>29313.2</v>
      </c>
      <c r="H10" s="74">
        <f>G10/F10*100</f>
        <v>85.12</v>
      </c>
      <c r="I10" s="98">
        <f aca="true" t="shared" si="0" ref="I10:J83">C10+F10</f>
        <v>48804.5</v>
      </c>
      <c r="J10" s="98">
        <f t="shared" si="0"/>
        <v>41804.4</v>
      </c>
      <c r="K10" s="95">
        <f aca="true" t="shared" si="1" ref="K10:K85">J10/I10*100</f>
        <v>85.656855412923</v>
      </c>
    </row>
    <row r="11" spans="1:11" ht="22.5">
      <c r="A11" s="96" t="s">
        <v>88</v>
      </c>
      <c r="B11" s="97" t="s">
        <v>89</v>
      </c>
      <c r="C11" s="73">
        <v>27167.7</v>
      </c>
      <c r="D11" s="73">
        <v>22426.2</v>
      </c>
      <c r="E11" s="73">
        <f aca="true" t="shared" si="2" ref="E11:E18">D11/C11*100</f>
        <v>82.54728961229696</v>
      </c>
      <c r="F11" s="74">
        <v>0</v>
      </c>
      <c r="G11" s="74">
        <v>0</v>
      </c>
      <c r="H11" s="74">
        <v>0</v>
      </c>
      <c r="I11" s="98">
        <f t="shared" si="0"/>
        <v>27167.7</v>
      </c>
      <c r="J11" s="98">
        <f t="shared" si="0"/>
        <v>22426.2</v>
      </c>
      <c r="K11" s="95">
        <f t="shared" si="1"/>
        <v>82.54728961229696</v>
      </c>
    </row>
    <row r="12" spans="1:11" ht="12.75">
      <c r="A12" s="96" t="s">
        <v>90</v>
      </c>
      <c r="B12" s="97" t="s">
        <v>91</v>
      </c>
      <c r="C12" s="73">
        <v>143892</v>
      </c>
      <c r="D12" s="73">
        <v>108386.4</v>
      </c>
      <c r="E12" s="73">
        <f t="shared" si="2"/>
        <v>75.3248269535485</v>
      </c>
      <c r="F12" s="74">
        <v>115308.9</v>
      </c>
      <c r="G12" s="74">
        <v>93442.9</v>
      </c>
      <c r="H12" s="74">
        <f aca="true" t="shared" si="3" ref="H12:H18">G12/F12*100</f>
        <v>81.03702316126508</v>
      </c>
      <c r="I12" s="98">
        <f t="shared" si="0"/>
        <v>259200.9</v>
      </c>
      <c r="J12" s="98">
        <f t="shared" si="0"/>
        <v>201829.3</v>
      </c>
      <c r="K12" s="95">
        <f t="shared" si="1"/>
        <v>77.86597191599257</v>
      </c>
    </row>
    <row r="13" spans="1:11" ht="12.75">
      <c r="A13" s="96" t="s">
        <v>92</v>
      </c>
      <c r="B13" s="97" t="s">
        <v>93</v>
      </c>
      <c r="C13" s="73">
        <v>22.7</v>
      </c>
      <c r="D13" s="73">
        <v>7</v>
      </c>
      <c r="E13" s="73">
        <f t="shared" si="2"/>
        <v>30.837004405286343</v>
      </c>
      <c r="F13" s="74">
        <v>0</v>
      </c>
      <c r="G13" s="74">
        <v>0</v>
      </c>
      <c r="H13" s="74">
        <v>0</v>
      </c>
      <c r="I13" s="98">
        <f t="shared" si="0"/>
        <v>22.7</v>
      </c>
      <c r="J13" s="98">
        <f t="shared" si="0"/>
        <v>7</v>
      </c>
      <c r="K13" s="95">
        <f t="shared" si="1"/>
        <v>30.837004405286343</v>
      </c>
    </row>
    <row r="14" spans="1:11" ht="12.75">
      <c r="A14" s="96" t="s">
        <v>94</v>
      </c>
      <c r="B14" s="97" t="s">
        <v>95</v>
      </c>
      <c r="C14" s="73">
        <v>28596</v>
      </c>
      <c r="D14" s="73">
        <v>23100</v>
      </c>
      <c r="E14" s="73">
        <f t="shared" si="2"/>
        <v>80.78052874527906</v>
      </c>
      <c r="F14" s="74">
        <v>594</v>
      </c>
      <c r="G14" s="74">
        <v>353.7</v>
      </c>
      <c r="H14" s="74">
        <f t="shared" si="3"/>
        <v>59.54545454545455</v>
      </c>
      <c r="I14" s="98">
        <f>C14+F14-594</f>
        <v>28596</v>
      </c>
      <c r="J14" s="98">
        <f>D14+G14-594</f>
        <v>22859.7</v>
      </c>
      <c r="K14" s="95">
        <f t="shared" si="1"/>
        <v>79.94020142677299</v>
      </c>
    </row>
    <row r="15" spans="1:11" ht="12.75">
      <c r="A15" s="99" t="s">
        <v>96</v>
      </c>
      <c r="B15" s="97" t="s">
        <v>97</v>
      </c>
      <c r="C15" s="73">
        <v>3958.6</v>
      </c>
      <c r="D15" s="73">
        <v>0</v>
      </c>
      <c r="E15" s="73">
        <f t="shared" si="2"/>
        <v>0</v>
      </c>
      <c r="F15" s="74">
        <v>1168</v>
      </c>
      <c r="G15" s="74">
        <v>0</v>
      </c>
      <c r="H15" s="74">
        <f t="shared" si="3"/>
        <v>0</v>
      </c>
      <c r="I15" s="98">
        <f t="shared" si="0"/>
        <v>5126.6</v>
      </c>
      <c r="J15" s="98">
        <f t="shared" si="0"/>
        <v>0</v>
      </c>
      <c r="K15" s="95">
        <f t="shared" si="1"/>
        <v>0</v>
      </c>
    </row>
    <row r="16" spans="1:11" ht="12.75">
      <c r="A16" s="96" t="s">
        <v>98</v>
      </c>
      <c r="B16" s="97" t="s">
        <v>99</v>
      </c>
      <c r="C16" s="73">
        <v>54043.5</v>
      </c>
      <c r="D16" s="73">
        <v>31598.3</v>
      </c>
      <c r="E16" s="73">
        <f t="shared" si="2"/>
        <v>58.468270929899056</v>
      </c>
      <c r="F16" s="74">
        <v>48941.7</v>
      </c>
      <c r="G16" s="74">
        <v>29458.6</v>
      </c>
      <c r="H16" s="74">
        <f t="shared" si="3"/>
        <v>60.19120708925109</v>
      </c>
      <c r="I16" s="98">
        <f>C16+F16-80</f>
        <v>102905.2</v>
      </c>
      <c r="J16" s="98">
        <f>D16+G16-80</f>
        <v>60976.899999999994</v>
      </c>
      <c r="K16" s="95">
        <f t="shared" si="1"/>
        <v>59.25541177705305</v>
      </c>
    </row>
    <row r="17" spans="1:11" ht="12.75">
      <c r="A17" s="101" t="s">
        <v>100</v>
      </c>
      <c r="B17" s="102" t="s">
        <v>101</v>
      </c>
      <c r="C17" s="103">
        <f aca="true" t="shared" si="4" ref="C17:J17">C18</f>
        <v>4771.1</v>
      </c>
      <c r="D17" s="103">
        <f t="shared" si="4"/>
        <v>4771.1</v>
      </c>
      <c r="E17" s="103">
        <f t="shared" si="4"/>
        <v>100</v>
      </c>
      <c r="F17" s="103">
        <f t="shared" si="4"/>
        <v>4771.1</v>
      </c>
      <c r="G17" s="103">
        <f t="shared" si="4"/>
        <v>3568.2</v>
      </c>
      <c r="H17" s="73">
        <f t="shared" si="4"/>
        <v>74.78778478757519</v>
      </c>
      <c r="I17" s="103">
        <f t="shared" si="4"/>
        <v>4771.1</v>
      </c>
      <c r="J17" s="103">
        <f t="shared" si="4"/>
        <v>3568.199999999999</v>
      </c>
      <c r="K17" s="100">
        <f t="shared" si="1"/>
        <v>74.78778478757516</v>
      </c>
    </row>
    <row r="18" spans="1:11" ht="12.75">
      <c r="A18" s="96" t="s">
        <v>102</v>
      </c>
      <c r="B18" s="97" t="s">
        <v>103</v>
      </c>
      <c r="C18" s="73">
        <v>4771.1</v>
      </c>
      <c r="D18" s="73">
        <v>4771.1</v>
      </c>
      <c r="E18" s="73">
        <f t="shared" si="2"/>
        <v>100</v>
      </c>
      <c r="F18" s="74">
        <v>4771.1</v>
      </c>
      <c r="G18" s="74">
        <v>3568.2</v>
      </c>
      <c r="H18" s="74">
        <f t="shared" si="3"/>
        <v>74.78778478757519</v>
      </c>
      <c r="I18" s="98">
        <f>C18+F18-4771.1</f>
        <v>4771.1</v>
      </c>
      <c r="J18" s="98">
        <f>D18+G18-4771.1</f>
        <v>3568.199999999999</v>
      </c>
      <c r="K18" s="95">
        <f t="shared" si="1"/>
        <v>74.78778478757516</v>
      </c>
    </row>
    <row r="19" spans="1:11" ht="12.75" customHeight="1">
      <c r="A19" s="163" t="s">
        <v>104</v>
      </c>
      <c r="B19" s="164" t="s">
        <v>105</v>
      </c>
      <c r="C19" s="162">
        <f>C22+C23+C21</f>
        <v>14523.2</v>
      </c>
      <c r="D19" s="162">
        <f>D22+D23+D21</f>
        <v>11342.7</v>
      </c>
      <c r="E19" s="162">
        <f>D19/C19*100</f>
        <v>78.10055635121736</v>
      </c>
      <c r="F19" s="162">
        <f>F22+F23+F21</f>
        <v>9465.4</v>
      </c>
      <c r="G19" s="162">
        <f>G22+G23+G21</f>
        <v>4610.3</v>
      </c>
      <c r="H19" s="162">
        <f>G19/F19*100</f>
        <v>48.70686922898135</v>
      </c>
      <c r="I19" s="162">
        <f>I22+I23+I21</f>
        <v>21244.600000000002</v>
      </c>
      <c r="J19" s="162">
        <f>SUM(J21:J23)</f>
        <v>13209</v>
      </c>
      <c r="K19" s="162">
        <f>J19/I19*100</f>
        <v>62.175799967991864</v>
      </c>
    </row>
    <row r="20" spans="1:11" ht="12.75" customHeight="1">
      <c r="A20" s="163"/>
      <c r="B20" s="164"/>
      <c r="C20" s="162"/>
      <c r="D20" s="162"/>
      <c r="E20" s="162"/>
      <c r="F20" s="162"/>
      <c r="G20" s="162"/>
      <c r="H20" s="162"/>
      <c r="I20" s="162"/>
      <c r="J20" s="162"/>
      <c r="K20" s="162"/>
    </row>
    <row r="21" spans="1:11" ht="12.75">
      <c r="A21" s="99" t="s">
        <v>106</v>
      </c>
      <c r="B21" s="97" t="s">
        <v>107</v>
      </c>
      <c r="C21" s="73">
        <v>4578.2</v>
      </c>
      <c r="D21" s="73">
        <v>3544.7</v>
      </c>
      <c r="E21" s="73">
        <f aca="true" t="shared" si="5" ref="E21:E99">D21/C21*100</f>
        <v>77.42562579179591</v>
      </c>
      <c r="F21" s="74">
        <v>619</v>
      </c>
      <c r="G21" s="74">
        <v>435.3</v>
      </c>
      <c r="H21" s="74">
        <f>G21/F21*100</f>
        <v>70.32310177705978</v>
      </c>
      <c r="I21" s="98">
        <f>C21+F21-619</f>
        <v>4578.2</v>
      </c>
      <c r="J21" s="98">
        <f>D21+G21-619</f>
        <v>3361</v>
      </c>
      <c r="K21" s="95">
        <f>J21/I21*100</f>
        <v>73.41313179852345</v>
      </c>
    </row>
    <row r="22" spans="1:11" ht="12.75">
      <c r="A22" s="96" t="s">
        <v>108</v>
      </c>
      <c r="B22" s="97" t="s">
        <v>109</v>
      </c>
      <c r="C22" s="73">
        <v>9665</v>
      </c>
      <c r="D22" s="73">
        <v>7593.9</v>
      </c>
      <c r="E22" s="73">
        <f t="shared" si="5"/>
        <v>78.57113295395757</v>
      </c>
      <c r="F22" s="74">
        <v>8806.4</v>
      </c>
      <c r="G22" s="74">
        <v>4175</v>
      </c>
      <c r="H22" s="74">
        <f>G22/F22*100</f>
        <v>47.40870276162791</v>
      </c>
      <c r="I22" s="98">
        <f>C22+F22-2085</f>
        <v>16386.4</v>
      </c>
      <c r="J22" s="98">
        <f>D22+G22-2085</f>
        <v>9683.9</v>
      </c>
      <c r="K22" s="95">
        <f>J22/I22*100</f>
        <v>59.09717814773225</v>
      </c>
    </row>
    <row r="23" spans="1:11" ht="22.5">
      <c r="A23" s="99" t="s">
        <v>110</v>
      </c>
      <c r="B23" s="97" t="s">
        <v>111</v>
      </c>
      <c r="C23" s="73">
        <v>280</v>
      </c>
      <c r="D23" s="73">
        <v>204.1</v>
      </c>
      <c r="E23" s="73">
        <f t="shared" si="5"/>
        <v>72.89285714285714</v>
      </c>
      <c r="F23" s="74">
        <v>40</v>
      </c>
      <c r="G23" s="74">
        <v>0</v>
      </c>
      <c r="H23" s="74">
        <v>0</v>
      </c>
      <c r="I23" s="98">
        <f>C23+F23-40</f>
        <v>280</v>
      </c>
      <c r="J23" s="98">
        <f>D23+G23-40</f>
        <v>164.1</v>
      </c>
      <c r="K23" s="95">
        <f>J23/I23*100</f>
        <v>58.60714285714286</v>
      </c>
    </row>
    <row r="24" spans="1:11" ht="12.75">
      <c r="A24" s="101" t="s">
        <v>112</v>
      </c>
      <c r="B24" s="102" t="s">
        <v>113</v>
      </c>
      <c r="C24" s="103">
        <f>SUM(C25:C41)</f>
        <v>234815.09999999998</v>
      </c>
      <c r="D24" s="103">
        <f>SUM(D25:D41)</f>
        <v>178256.60000000003</v>
      </c>
      <c r="E24" s="103">
        <f>D24/C24*100</f>
        <v>75.91360180840161</v>
      </c>
      <c r="F24" s="103">
        <f>SUM(F25:F41)</f>
        <v>137299.60000000003</v>
      </c>
      <c r="G24" s="103">
        <f>SUM(G25:G41)</f>
        <v>115640.2</v>
      </c>
      <c r="H24" s="74">
        <f>G24/F24*100</f>
        <v>84.22471733348091</v>
      </c>
      <c r="I24" s="103">
        <f>SUM(I25:I41)</f>
        <v>290889.39999999997</v>
      </c>
      <c r="J24" s="103">
        <f>SUM(J25:J41)</f>
        <v>213378</v>
      </c>
      <c r="K24" s="95">
        <f t="shared" si="1"/>
        <v>73.35365262536209</v>
      </c>
    </row>
    <row r="25" spans="1:11" ht="22.5">
      <c r="A25" s="99" t="s">
        <v>114</v>
      </c>
      <c r="B25" s="97" t="s">
        <v>115</v>
      </c>
      <c r="C25" s="73">
        <v>12852.6</v>
      </c>
      <c r="D25" s="73">
        <v>8329.3</v>
      </c>
      <c r="E25" s="73">
        <f t="shared" si="5"/>
        <v>64.80634268552666</v>
      </c>
      <c r="F25" s="73">
        <v>9521.2</v>
      </c>
      <c r="G25" s="74">
        <v>8862.3</v>
      </c>
      <c r="H25" s="74">
        <f>G25/F25*100</f>
        <v>93.07965382514809</v>
      </c>
      <c r="I25" s="98">
        <f>C25+F25-6367.2</f>
        <v>16006.600000000002</v>
      </c>
      <c r="J25" s="98">
        <f>D25+G25-6367.2</f>
        <v>10824.399999999998</v>
      </c>
      <c r="K25" s="95">
        <f t="shared" si="1"/>
        <v>67.62460485049915</v>
      </c>
    </row>
    <row r="26" spans="1:11" ht="12.75">
      <c r="A26" s="96" t="s">
        <v>116</v>
      </c>
      <c r="B26" s="97" t="s">
        <v>117</v>
      </c>
      <c r="C26" s="73">
        <v>48976</v>
      </c>
      <c r="D26" s="73">
        <v>35790.8</v>
      </c>
      <c r="E26" s="73">
        <f t="shared" si="5"/>
        <v>73.07824240444299</v>
      </c>
      <c r="F26" s="74">
        <v>0</v>
      </c>
      <c r="G26" s="74">
        <v>0</v>
      </c>
      <c r="H26" s="74">
        <v>0</v>
      </c>
      <c r="I26" s="98">
        <f t="shared" si="0"/>
        <v>48976</v>
      </c>
      <c r="J26" s="98">
        <f t="shared" si="0"/>
        <v>35790.8</v>
      </c>
      <c r="K26" s="95">
        <f t="shared" si="1"/>
        <v>73.07824240444299</v>
      </c>
    </row>
    <row r="27" spans="1:11" ht="12.75">
      <c r="A27" s="96" t="s">
        <v>118</v>
      </c>
      <c r="B27" s="97" t="s">
        <v>119</v>
      </c>
      <c r="C27" s="73">
        <v>9350</v>
      </c>
      <c r="D27" s="73">
        <v>6796.7</v>
      </c>
      <c r="E27" s="73">
        <f t="shared" si="5"/>
        <v>72.69197860962566</v>
      </c>
      <c r="F27" s="74">
        <v>0</v>
      </c>
      <c r="G27" s="74">
        <v>0</v>
      </c>
      <c r="H27" s="74">
        <v>0</v>
      </c>
      <c r="I27" s="98">
        <f t="shared" si="0"/>
        <v>9350</v>
      </c>
      <c r="J27" s="98">
        <f t="shared" si="0"/>
        <v>6796.7</v>
      </c>
      <c r="K27" s="95">
        <f t="shared" si="1"/>
        <v>72.69197860962566</v>
      </c>
    </row>
    <row r="28" spans="1:11" ht="12.75">
      <c r="A28" s="96" t="s">
        <v>118</v>
      </c>
      <c r="B28" s="97" t="s">
        <v>120</v>
      </c>
      <c r="C28" s="73">
        <v>14885.6</v>
      </c>
      <c r="D28" s="73">
        <v>12177.7</v>
      </c>
      <c r="E28" s="73">
        <f t="shared" si="5"/>
        <v>81.80859354006557</v>
      </c>
      <c r="F28" s="74">
        <v>10606.9</v>
      </c>
      <c r="G28" s="74">
        <v>8372.5</v>
      </c>
      <c r="H28" s="74">
        <f>G28/F28*100</f>
        <v>78.9344671864541</v>
      </c>
      <c r="I28" s="98">
        <f t="shared" si="0"/>
        <v>25492.5</v>
      </c>
      <c r="J28" s="98">
        <f t="shared" si="0"/>
        <v>20550.2</v>
      </c>
      <c r="K28" s="95">
        <f t="shared" si="1"/>
        <v>80.61272923408846</v>
      </c>
    </row>
    <row r="29" spans="1:11" ht="12.75">
      <c r="A29" s="96" t="s">
        <v>118</v>
      </c>
      <c r="B29" s="97" t="s">
        <v>121</v>
      </c>
      <c r="C29" s="73">
        <v>8813</v>
      </c>
      <c r="D29" s="73">
        <v>7243.1</v>
      </c>
      <c r="E29" s="73">
        <f t="shared" si="5"/>
        <v>82.18654260751164</v>
      </c>
      <c r="F29" s="74">
        <v>0</v>
      </c>
      <c r="G29" s="74">
        <v>0</v>
      </c>
      <c r="H29" s="74">
        <v>0</v>
      </c>
      <c r="I29" s="98">
        <f t="shared" si="0"/>
        <v>8813</v>
      </c>
      <c r="J29" s="98">
        <f t="shared" si="0"/>
        <v>7243.1</v>
      </c>
      <c r="K29" s="95">
        <f t="shared" si="1"/>
        <v>82.18654260751164</v>
      </c>
    </row>
    <row r="30" spans="1:11" ht="12.75">
      <c r="A30" s="96" t="s">
        <v>122</v>
      </c>
      <c r="B30" s="97" t="s">
        <v>123</v>
      </c>
      <c r="C30" s="73">
        <v>67212</v>
      </c>
      <c r="D30" s="73">
        <v>62161.3</v>
      </c>
      <c r="E30" s="73">
        <f t="shared" si="5"/>
        <v>92.4854192703684</v>
      </c>
      <c r="F30" s="74">
        <v>66623.6</v>
      </c>
      <c r="G30" s="74">
        <v>63284.4</v>
      </c>
      <c r="H30" s="74">
        <f>G30/F30*100</f>
        <v>94.98796222359644</v>
      </c>
      <c r="I30" s="98">
        <f>C30+F30-62161.4</f>
        <v>71674.20000000001</v>
      </c>
      <c r="J30" s="98">
        <f>D30+G30-62161.3</f>
        <v>63284.40000000001</v>
      </c>
      <c r="K30" s="95">
        <f t="shared" si="1"/>
        <v>88.29453276074236</v>
      </c>
    </row>
    <row r="31" spans="1:11" ht="33.75">
      <c r="A31" s="96" t="s">
        <v>122</v>
      </c>
      <c r="B31" s="104" t="s">
        <v>221</v>
      </c>
      <c r="C31" s="73">
        <v>3039.2</v>
      </c>
      <c r="D31" s="73">
        <v>1316.5</v>
      </c>
      <c r="E31" s="73">
        <f t="shared" si="5"/>
        <v>43.31732034745986</v>
      </c>
      <c r="F31" s="74">
        <v>316.1</v>
      </c>
      <c r="G31" s="74">
        <v>0</v>
      </c>
      <c r="H31" s="74">
        <v>0</v>
      </c>
      <c r="I31" s="98">
        <f t="shared" si="0"/>
        <v>3355.2999999999997</v>
      </c>
      <c r="J31" s="98">
        <f t="shared" si="0"/>
        <v>1316.5</v>
      </c>
      <c r="K31" s="95">
        <f t="shared" si="1"/>
        <v>39.2364319136888</v>
      </c>
    </row>
    <row r="32" spans="1:11" ht="12.75">
      <c r="A32" s="99" t="s">
        <v>122</v>
      </c>
      <c r="B32" s="97" t="s">
        <v>199</v>
      </c>
      <c r="C32" s="73">
        <v>0</v>
      </c>
      <c r="D32" s="73">
        <v>0</v>
      </c>
      <c r="E32" s="73">
        <v>0</v>
      </c>
      <c r="F32" s="74">
        <v>32161.6</v>
      </c>
      <c r="G32" s="74">
        <v>22455.7</v>
      </c>
      <c r="H32" s="74">
        <f>G32/F32*100</f>
        <v>69.82146410626338</v>
      </c>
      <c r="I32" s="98">
        <f>C32+F32</f>
        <v>32161.6</v>
      </c>
      <c r="J32" s="98">
        <f>D32+G32</f>
        <v>22455.7</v>
      </c>
      <c r="K32" s="95">
        <f>J32/I32*100</f>
        <v>69.82146410626338</v>
      </c>
    </row>
    <row r="33" spans="1:11" ht="12.75">
      <c r="A33" s="96" t="s">
        <v>124</v>
      </c>
      <c r="B33" s="97" t="s">
        <v>125</v>
      </c>
      <c r="C33" s="73">
        <v>3817.8</v>
      </c>
      <c r="D33" s="73">
        <v>2545.2</v>
      </c>
      <c r="E33" s="73">
        <f t="shared" si="5"/>
        <v>66.66666666666666</v>
      </c>
      <c r="F33" s="74">
        <v>3749.6</v>
      </c>
      <c r="G33" s="74">
        <v>2973.3</v>
      </c>
      <c r="H33" s="74">
        <f>G33/F33*100</f>
        <v>79.29645828888415</v>
      </c>
      <c r="I33" s="98">
        <f t="shared" si="0"/>
        <v>7567.4</v>
      </c>
      <c r="J33" s="98">
        <f t="shared" si="0"/>
        <v>5518.5</v>
      </c>
      <c r="K33" s="95">
        <f t="shared" si="1"/>
        <v>72.92465047440336</v>
      </c>
    </row>
    <row r="34" spans="1:11" ht="12.75">
      <c r="A34" s="96" t="s">
        <v>126</v>
      </c>
      <c r="B34" s="97" t="s">
        <v>127</v>
      </c>
      <c r="C34" s="73">
        <v>4400</v>
      </c>
      <c r="D34" s="73">
        <v>2407.2</v>
      </c>
      <c r="E34" s="73">
        <f t="shared" si="5"/>
        <v>54.709090909090904</v>
      </c>
      <c r="F34" s="74">
        <v>1152.8</v>
      </c>
      <c r="G34" s="74">
        <v>789.1</v>
      </c>
      <c r="H34" s="74">
        <f>G34/F34*100</f>
        <v>68.45072866065233</v>
      </c>
      <c r="I34" s="98">
        <f t="shared" si="0"/>
        <v>5552.8</v>
      </c>
      <c r="J34" s="98">
        <f t="shared" si="0"/>
        <v>3196.2999999999997</v>
      </c>
      <c r="K34" s="95">
        <f t="shared" si="1"/>
        <v>57.56195072756086</v>
      </c>
    </row>
    <row r="35" spans="1:11" ht="56.25">
      <c r="A35" s="96" t="s">
        <v>126</v>
      </c>
      <c r="B35" s="104" t="s">
        <v>128</v>
      </c>
      <c r="C35" s="73">
        <v>9989.8</v>
      </c>
      <c r="D35" s="73">
        <v>0</v>
      </c>
      <c r="E35" s="73">
        <f t="shared" si="5"/>
        <v>0</v>
      </c>
      <c r="F35" s="74">
        <v>0</v>
      </c>
      <c r="G35" s="74">
        <v>0</v>
      </c>
      <c r="H35" s="74">
        <v>0</v>
      </c>
      <c r="I35" s="98">
        <f t="shared" si="0"/>
        <v>9989.8</v>
      </c>
      <c r="J35" s="98">
        <f t="shared" si="0"/>
        <v>0</v>
      </c>
      <c r="K35" s="95">
        <f t="shared" si="1"/>
        <v>0</v>
      </c>
    </row>
    <row r="36" spans="1:11" ht="33.75">
      <c r="A36" s="96" t="s">
        <v>126</v>
      </c>
      <c r="B36" s="104" t="s">
        <v>222</v>
      </c>
      <c r="C36" s="73">
        <v>1790</v>
      </c>
      <c r="D36" s="74">
        <v>1226.1</v>
      </c>
      <c r="E36" s="73">
        <f t="shared" si="5"/>
        <v>68.4972067039106</v>
      </c>
      <c r="F36" s="74">
        <v>0</v>
      </c>
      <c r="G36" s="74">
        <v>0</v>
      </c>
      <c r="H36" s="74">
        <v>0</v>
      </c>
      <c r="I36" s="98">
        <f t="shared" si="0"/>
        <v>1790</v>
      </c>
      <c r="J36" s="98">
        <f t="shared" si="0"/>
        <v>1226.1</v>
      </c>
      <c r="K36" s="95">
        <f t="shared" si="1"/>
        <v>68.4972067039106</v>
      </c>
    </row>
    <row r="37" spans="1:11" ht="33.75">
      <c r="A37" s="96" t="s">
        <v>126</v>
      </c>
      <c r="B37" s="104" t="s">
        <v>223</v>
      </c>
      <c r="C37" s="73">
        <v>3000</v>
      </c>
      <c r="D37" s="74">
        <v>1869.8</v>
      </c>
      <c r="E37" s="73">
        <f t="shared" si="5"/>
        <v>62.32666666666666</v>
      </c>
      <c r="F37" s="74">
        <v>0</v>
      </c>
      <c r="G37" s="74">
        <v>0</v>
      </c>
      <c r="H37" s="74">
        <v>0</v>
      </c>
      <c r="I37" s="98">
        <f t="shared" si="0"/>
        <v>3000</v>
      </c>
      <c r="J37" s="98">
        <f t="shared" si="0"/>
        <v>1869.8</v>
      </c>
      <c r="K37" s="95">
        <f t="shared" si="1"/>
        <v>62.32666666666666</v>
      </c>
    </row>
    <row r="38" spans="1:11" ht="22.5">
      <c r="A38" s="99" t="s">
        <v>126</v>
      </c>
      <c r="B38" s="104" t="s">
        <v>129</v>
      </c>
      <c r="C38" s="73">
        <v>5277.3</v>
      </c>
      <c r="D38" s="74">
        <v>3069.6</v>
      </c>
      <c r="E38" s="73">
        <f t="shared" si="5"/>
        <v>58.16610766869421</v>
      </c>
      <c r="F38" s="74">
        <v>0</v>
      </c>
      <c r="G38" s="74">
        <v>0</v>
      </c>
      <c r="H38" s="74">
        <v>0</v>
      </c>
      <c r="I38" s="98">
        <f t="shared" si="0"/>
        <v>5277.3</v>
      </c>
      <c r="J38" s="98">
        <f t="shared" si="0"/>
        <v>3069.6</v>
      </c>
      <c r="K38" s="95">
        <f t="shared" si="1"/>
        <v>58.16610766869421</v>
      </c>
    </row>
    <row r="39" spans="1:11" ht="22.5">
      <c r="A39" s="99" t="s">
        <v>126</v>
      </c>
      <c r="B39" s="104" t="s">
        <v>130</v>
      </c>
      <c r="C39" s="73">
        <v>1588.6</v>
      </c>
      <c r="D39" s="74">
        <v>849.4</v>
      </c>
      <c r="E39" s="73">
        <f>D39/C39*100</f>
        <v>53.468462797431705</v>
      </c>
      <c r="F39" s="74">
        <v>0</v>
      </c>
      <c r="G39" s="74">
        <v>0</v>
      </c>
      <c r="H39" s="74">
        <v>0</v>
      </c>
      <c r="I39" s="98">
        <f t="shared" si="0"/>
        <v>1588.6</v>
      </c>
      <c r="J39" s="98">
        <f t="shared" si="0"/>
        <v>849.4</v>
      </c>
      <c r="K39" s="95">
        <f>J39/I39*100</f>
        <v>53.468462797431705</v>
      </c>
    </row>
    <row r="40" spans="1:11" ht="45">
      <c r="A40" s="99" t="s">
        <v>126</v>
      </c>
      <c r="B40" s="104" t="s">
        <v>224</v>
      </c>
      <c r="C40" s="73">
        <v>200</v>
      </c>
      <c r="D40" s="74">
        <v>200</v>
      </c>
      <c r="E40" s="73">
        <f>D40/C40*100</f>
        <v>100</v>
      </c>
      <c r="F40" s="74"/>
      <c r="G40" s="74"/>
      <c r="H40" s="74"/>
      <c r="I40" s="98">
        <f t="shared" si="0"/>
        <v>200</v>
      </c>
      <c r="J40" s="98">
        <f t="shared" si="0"/>
        <v>200</v>
      </c>
      <c r="K40" s="95">
        <f>J40/I40*100</f>
        <v>100</v>
      </c>
    </row>
    <row r="41" spans="1:11" ht="33.75">
      <c r="A41" s="99" t="s">
        <v>126</v>
      </c>
      <c r="B41" s="104" t="s">
        <v>257</v>
      </c>
      <c r="C41" s="73">
        <f>37157.7+1365.5+1100</f>
        <v>39623.2</v>
      </c>
      <c r="D41" s="74">
        <f>30295.4+550+1365.5+63</f>
        <v>32273.9</v>
      </c>
      <c r="E41" s="73">
        <f>D41/C41*100</f>
        <v>81.45202810474672</v>
      </c>
      <c r="F41" s="74">
        <v>13167.8</v>
      </c>
      <c r="G41" s="74">
        <v>8902.9</v>
      </c>
      <c r="H41" s="74">
        <f>G41/F41*100</f>
        <v>67.61114233205244</v>
      </c>
      <c r="I41" s="98">
        <f>C41+F41-12696.7</f>
        <v>40094.3</v>
      </c>
      <c r="J41" s="98">
        <f>D41+G41-11990.3</f>
        <v>29186.500000000004</v>
      </c>
      <c r="K41" s="95">
        <f>J41/I41*100</f>
        <v>72.7946366441115</v>
      </c>
    </row>
    <row r="42" spans="1:11" ht="12.75">
      <c r="A42" s="101" t="s">
        <v>131</v>
      </c>
      <c r="B42" s="102" t="s">
        <v>132</v>
      </c>
      <c r="C42" s="103">
        <f>SUM(C43:C69)</f>
        <v>670642.8</v>
      </c>
      <c r="D42" s="103">
        <f>SUM(D43:D69)</f>
        <v>345643.49999999994</v>
      </c>
      <c r="E42" s="103">
        <f>D42/C42*100</f>
        <v>51.5391352893075</v>
      </c>
      <c r="F42" s="98">
        <f>SUM(F43:F68)</f>
        <v>208886.2</v>
      </c>
      <c r="G42" s="98">
        <f>SUM(G43:G68)</f>
        <v>122378.4</v>
      </c>
      <c r="H42" s="98">
        <f>G42/F42*100</f>
        <v>58.58615839629424</v>
      </c>
      <c r="I42" s="103">
        <f>SUM(I43:I69)</f>
        <v>790943.7999999999</v>
      </c>
      <c r="J42" s="103">
        <f>SUM(J43:J69)</f>
        <v>390258.80000000005</v>
      </c>
      <c r="K42" s="95">
        <f t="shared" si="1"/>
        <v>49.34090133837576</v>
      </c>
    </row>
    <row r="43" spans="1:11" ht="12.75">
      <c r="A43" s="96" t="s">
        <v>133</v>
      </c>
      <c r="B43" s="97" t="s">
        <v>134</v>
      </c>
      <c r="C43" s="73">
        <v>959.3</v>
      </c>
      <c r="D43" s="73">
        <v>697.8</v>
      </c>
      <c r="E43" s="73">
        <f t="shared" si="5"/>
        <v>72.7405399770666</v>
      </c>
      <c r="F43" s="74">
        <v>45219.5</v>
      </c>
      <c r="G43" s="74">
        <v>32024.3</v>
      </c>
      <c r="H43" s="74">
        <f>G43/F43*100</f>
        <v>70.81966850584371</v>
      </c>
      <c r="I43" s="98">
        <f t="shared" si="0"/>
        <v>46178.8</v>
      </c>
      <c r="J43" s="98">
        <f t="shared" si="0"/>
        <v>32722.1</v>
      </c>
      <c r="K43" s="95">
        <f t="shared" si="1"/>
        <v>70.85957192477933</v>
      </c>
    </row>
    <row r="44" spans="1:11" ht="45">
      <c r="A44" s="96" t="s">
        <v>133</v>
      </c>
      <c r="B44" s="97" t="s">
        <v>200</v>
      </c>
      <c r="C44" s="73">
        <v>194897.7</v>
      </c>
      <c r="D44" s="73">
        <v>63475.4</v>
      </c>
      <c r="E44" s="73">
        <f t="shared" si="5"/>
        <v>32.56857315401875</v>
      </c>
      <c r="F44" s="74">
        <v>0</v>
      </c>
      <c r="G44" s="74">
        <v>0</v>
      </c>
      <c r="H44" s="74">
        <v>0</v>
      </c>
      <c r="I44" s="98">
        <f>C44+F44</f>
        <v>194897.7</v>
      </c>
      <c r="J44" s="98">
        <f>D44+G44</f>
        <v>63475.4</v>
      </c>
      <c r="K44" s="95">
        <f t="shared" si="1"/>
        <v>32.56857315401875</v>
      </c>
    </row>
    <row r="45" spans="1:11" ht="33.75">
      <c r="A45" s="96" t="s">
        <v>133</v>
      </c>
      <c r="B45" s="97" t="s">
        <v>225</v>
      </c>
      <c r="C45" s="73">
        <v>43458</v>
      </c>
      <c r="D45" s="73">
        <v>13878.6</v>
      </c>
      <c r="E45" s="73">
        <f t="shared" si="5"/>
        <v>31.935662018500622</v>
      </c>
      <c r="F45" s="74">
        <v>0</v>
      </c>
      <c r="G45" s="74">
        <v>0</v>
      </c>
      <c r="H45" s="74">
        <v>0</v>
      </c>
      <c r="I45" s="98">
        <f t="shared" si="0"/>
        <v>43458</v>
      </c>
      <c r="J45" s="98">
        <f t="shared" si="0"/>
        <v>13878.6</v>
      </c>
      <c r="K45" s="95">
        <f t="shared" si="1"/>
        <v>31.935662018500622</v>
      </c>
    </row>
    <row r="46" spans="1:11" ht="33.75">
      <c r="A46" s="99" t="s">
        <v>133</v>
      </c>
      <c r="B46" s="97" t="s">
        <v>239</v>
      </c>
      <c r="C46" s="73">
        <f>25104.5-16528-3216.2</f>
        <v>5360.3</v>
      </c>
      <c r="D46" s="73">
        <f>23115.8-14539.3-3216.2</f>
        <v>5360.3</v>
      </c>
      <c r="E46" s="73">
        <f t="shared" si="5"/>
        <v>100</v>
      </c>
      <c r="F46" s="74">
        <f>27668.8-F48-F47+243.6</f>
        <v>6273</v>
      </c>
      <c r="G46" s="74">
        <v>3969.7</v>
      </c>
      <c r="H46" s="74">
        <f aca="true" t="shared" si="6" ref="H46:H52">G46/F46*100</f>
        <v>63.2823210585047</v>
      </c>
      <c r="I46" s="98">
        <f>C46+F46-5360.3</f>
        <v>6272.999999999999</v>
      </c>
      <c r="J46" s="98">
        <f>D46+G46-5360.3</f>
        <v>3969.7</v>
      </c>
      <c r="K46" s="95">
        <f t="shared" si="1"/>
        <v>63.28232105850471</v>
      </c>
    </row>
    <row r="47" spans="1:11" ht="22.5">
      <c r="A47" s="99" t="s">
        <v>133</v>
      </c>
      <c r="B47" s="97" t="s">
        <v>240</v>
      </c>
      <c r="C47" s="73">
        <v>3216.2</v>
      </c>
      <c r="D47" s="73">
        <v>3216.2</v>
      </c>
      <c r="E47" s="73">
        <f t="shared" si="5"/>
        <v>100</v>
      </c>
      <c r="F47" s="74">
        <v>3823.9</v>
      </c>
      <c r="G47" s="74">
        <v>2836.3</v>
      </c>
      <c r="H47" s="74">
        <f t="shared" si="6"/>
        <v>74.17296477418343</v>
      </c>
      <c r="I47" s="98">
        <f>C47+F47-3216.2</f>
        <v>3823.9000000000005</v>
      </c>
      <c r="J47" s="98">
        <f>D47+G47-3216.2</f>
        <v>2836.3</v>
      </c>
      <c r="K47" s="95">
        <f t="shared" si="1"/>
        <v>74.17296477418341</v>
      </c>
    </row>
    <row r="48" spans="1:11" ht="22.5">
      <c r="A48" s="99" t="s">
        <v>133</v>
      </c>
      <c r="B48" s="97" t="s">
        <v>241</v>
      </c>
      <c r="C48" s="73">
        <v>16528</v>
      </c>
      <c r="D48" s="73">
        <v>16528</v>
      </c>
      <c r="E48" s="73">
        <f t="shared" si="5"/>
        <v>100</v>
      </c>
      <c r="F48" s="74">
        <v>17815.5</v>
      </c>
      <c r="G48" s="74">
        <v>15616.2</v>
      </c>
      <c r="H48" s="74">
        <f t="shared" si="6"/>
        <v>87.6551317672813</v>
      </c>
      <c r="I48" s="98">
        <f>C48+F48-16528</f>
        <v>17815.5</v>
      </c>
      <c r="J48" s="98">
        <f>D48+G48-16528</f>
        <v>15616.2</v>
      </c>
      <c r="K48" s="95">
        <f t="shared" si="1"/>
        <v>87.6551317672813</v>
      </c>
    </row>
    <row r="49" spans="1:11" ht="33.75">
      <c r="A49" s="99" t="s">
        <v>133</v>
      </c>
      <c r="B49" s="97" t="s">
        <v>226</v>
      </c>
      <c r="C49" s="73">
        <v>0</v>
      </c>
      <c r="D49" s="73">
        <v>0</v>
      </c>
      <c r="E49" s="73">
        <v>0</v>
      </c>
      <c r="F49" s="74">
        <v>363.3</v>
      </c>
      <c r="G49" s="74">
        <v>100</v>
      </c>
      <c r="H49" s="74">
        <f t="shared" si="6"/>
        <v>27.52546105147261</v>
      </c>
      <c r="I49" s="98">
        <f t="shared" si="0"/>
        <v>363.3</v>
      </c>
      <c r="J49" s="98">
        <f t="shared" si="0"/>
        <v>100</v>
      </c>
      <c r="K49" s="95">
        <f t="shared" si="1"/>
        <v>27.52546105147261</v>
      </c>
    </row>
    <row r="50" spans="1:11" ht="33.75">
      <c r="A50" s="96" t="s">
        <v>135</v>
      </c>
      <c r="B50" s="97" t="s">
        <v>136</v>
      </c>
      <c r="C50" s="73">
        <v>5786.2</v>
      </c>
      <c r="D50" s="73">
        <v>4160.9</v>
      </c>
      <c r="E50" s="73">
        <f t="shared" si="5"/>
        <v>71.9107531713387</v>
      </c>
      <c r="F50" s="74">
        <v>5237.9</v>
      </c>
      <c r="G50" s="74">
        <v>5237.9</v>
      </c>
      <c r="H50" s="74">
        <f t="shared" si="6"/>
        <v>100</v>
      </c>
      <c r="I50" s="98">
        <f t="shared" si="0"/>
        <v>11024.099999999999</v>
      </c>
      <c r="J50" s="98">
        <f t="shared" si="0"/>
        <v>9398.8</v>
      </c>
      <c r="K50" s="95">
        <f t="shared" si="1"/>
        <v>85.25684636387551</v>
      </c>
    </row>
    <row r="51" spans="1:11" ht="33.75">
      <c r="A51" s="96" t="s">
        <v>135</v>
      </c>
      <c r="B51" s="97" t="s">
        <v>137</v>
      </c>
      <c r="C51" s="73">
        <v>10419.8</v>
      </c>
      <c r="D51" s="92">
        <v>6348.4</v>
      </c>
      <c r="E51" s="73">
        <f t="shared" si="5"/>
        <v>60.92631336493982</v>
      </c>
      <c r="F51" s="74">
        <v>2082.1</v>
      </c>
      <c r="G51" s="74">
        <v>358</v>
      </c>
      <c r="H51" s="74">
        <f t="shared" si="6"/>
        <v>17.194178953940735</v>
      </c>
      <c r="I51" s="98">
        <f t="shared" si="0"/>
        <v>12501.9</v>
      </c>
      <c r="J51" s="98">
        <f t="shared" si="0"/>
        <v>6706.4</v>
      </c>
      <c r="K51" s="95">
        <f t="shared" si="1"/>
        <v>53.643046256968944</v>
      </c>
    </row>
    <row r="52" spans="1:11" ht="12.75">
      <c r="A52" s="96" t="s">
        <v>135</v>
      </c>
      <c r="B52" s="97" t="s">
        <v>138</v>
      </c>
      <c r="C52" s="73">
        <v>8240.4</v>
      </c>
      <c r="D52" s="92">
        <v>2966</v>
      </c>
      <c r="E52" s="73">
        <f>D52/C52*100</f>
        <v>35.99339837871948</v>
      </c>
      <c r="F52" s="74">
        <v>19135.8</v>
      </c>
      <c r="G52" s="74">
        <v>11035.6</v>
      </c>
      <c r="H52" s="74">
        <f t="shared" si="6"/>
        <v>57.66991711869899</v>
      </c>
      <c r="I52" s="98">
        <f>C52+F52-1365.4-5000</f>
        <v>21010.799999999996</v>
      </c>
      <c r="J52" s="98">
        <f>D52+G52-1365.4</f>
        <v>12636.2</v>
      </c>
      <c r="K52" s="95">
        <f>J52/I52*100</f>
        <v>60.14145106326272</v>
      </c>
    </row>
    <row r="53" spans="1:11" ht="33.75">
      <c r="A53" s="96" t="s">
        <v>135</v>
      </c>
      <c r="B53" s="97" t="s">
        <v>206</v>
      </c>
      <c r="C53" s="73">
        <v>45188.1</v>
      </c>
      <c r="D53" s="92">
        <v>22231.7</v>
      </c>
      <c r="E53" s="73">
        <f>D53/C53*100</f>
        <v>49.198129596066224</v>
      </c>
      <c r="F53" s="74">
        <v>0</v>
      </c>
      <c r="G53" s="74">
        <v>0</v>
      </c>
      <c r="H53" s="74">
        <v>0</v>
      </c>
      <c r="I53" s="98">
        <f>C53+F53</f>
        <v>45188.1</v>
      </c>
      <c r="J53" s="98">
        <f>D53+G53</f>
        <v>22231.7</v>
      </c>
      <c r="K53" s="95">
        <f>J53/I53*100</f>
        <v>49.198129596066224</v>
      </c>
    </row>
    <row r="54" spans="1:11" ht="33.75">
      <c r="A54" s="99" t="s">
        <v>135</v>
      </c>
      <c r="B54" s="97" t="s">
        <v>227</v>
      </c>
      <c r="C54" s="73">
        <v>456.5</v>
      </c>
      <c r="D54" s="92">
        <v>224.6</v>
      </c>
      <c r="E54" s="73">
        <f t="shared" si="5"/>
        <v>49.20043811610076</v>
      </c>
      <c r="F54" s="74">
        <v>0</v>
      </c>
      <c r="G54" s="74">
        <v>0</v>
      </c>
      <c r="H54" s="74">
        <v>0</v>
      </c>
      <c r="I54" s="105">
        <f>C54+F54</f>
        <v>456.5</v>
      </c>
      <c r="J54" s="98">
        <f>D54+G54</f>
        <v>224.6</v>
      </c>
      <c r="K54" s="98">
        <f>J54/I54*100</f>
        <v>49.20043811610076</v>
      </c>
    </row>
    <row r="55" spans="1:11" ht="33.75">
      <c r="A55" s="96" t="s">
        <v>135</v>
      </c>
      <c r="B55" s="104" t="s">
        <v>201</v>
      </c>
      <c r="C55" s="73">
        <v>51927.6</v>
      </c>
      <c r="D55" s="92">
        <v>31675.6</v>
      </c>
      <c r="E55" s="73">
        <f t="shared" si="5"/>
        <v>60.99954552107164</v>
      </c>
      <c r="F55" s="74"/>
      <c r="G55" s="74">
        <v>0</v>
      </c>
      <c r="H55" s="74">
        <v>0</v>
      </c>
      <c r="I55" s="98">
        <f t="shared" si="0"/>
        <v>51927.6</v>
      </c>
      <c r="J55" s="98">
        <f t="shared" si="0"/>
        <v>31675.6</v>
      </c>
      <c r="K55" s="95">
        <f t="shared" si="1"/>
        <v>60.99954552107164</v>
      </c>
    </row>
    <row r="56" spans="1:11" ht="33.75">
      <c r="A56" s="96" t="s">
        <v>135</v>
      </c>
      <c r="B56" s="104" t="s">
        <v>202</v>
      </c>
      <c r="C56" s="73">
        <v>175344.2</v>
      </c>
      <c r="D56" s="73">
        <v>99760.1</v>
      </c>
      <c r="E56" s="73">
        <f t="shared" si="5"/>
        <v>56.8938693153238</v>
      </c>
      <c r="F56" s="74">
        <v>0</v>
      </c>
      <c r="G56" s="74">
        <v>0</v>
      </c>
      <c r="H56" s="74">
        <v>0</v>
      </c>
      <c r="I56" s="98">
        <f t="shared" si="0"/>
        <v>175344.2</v>
      </c>
      <c r="J56" s="98">
        <f t="shared" si="0"/>
        <v>99760.1</v>
      </c>
      <c r="K56" s="95">
        <f t="shared" si="1"/>
        <v>56.8938693153238</v>
      </c>
    </row>
    <row r="57" spans="1:11" ht="56.25">
      <c r="A57" s="99" t="s">
        <v>135</v>
      </c>
      <c r="B57" s="104" t="s">
        <v>214</v>
      </c>
      <c r="C57" s="73">
        <v>16857</v>
      </c>
      <c r="D57" s="92">
        <v>7588.3</v>
      </c>
      <c r="E57" s="73">
        <f t="shared" si="5"/>
        <v>45.01572047220739</v>
      </c>
      <c r="F57" s="74">
        <v>5525.1</v>
      </c>
      <c r="G57" s="74">
        <v>3121.9</v>
      </c>
      <c r="H57" s="74">
        <f>G57/F57*100</f>
        <v>56.50395467955332</v>
      </c>
      <c r="I57" s="98">
        <f>C57+F57-5525.1</f>
        <v>16857</v>
      </c>
      <c r="J57" s="98">
        <f>D57+G57-2908</f>
        <v>7802.200000000001</v>
      </c>
      <c r="K57" s="95">
        <f t="shared" si="1"/>
        <v>46.28462953075874</v>
      </c>
    </row>
    <row r="58" spans="1:11" ht="56.25">
      <c r="A58" s="99" t="s">
        <v>135</v>
      </c>
      <c r="B58" s="104" t="s">
        <v>215</v>
      </c>
      <c r="C58" s="73">
        <v>35005.7</v>
      </c>
      <c r="D58" s="92">
        <v>31800.7</v>
      </c>
      <c r="E58" s="73">
        <f t="shared" si="5"/>
        <v>90.84434820614929</v>
      </c>
      <c r="F58" s="74">
        <v>36239.9</v>
      </c>
      <c r="G58" s="74">
        <v>4693.5</v>
      </c>
      <c r="H58" s="74">
        <f>G58/F58*100</f>
        <v>12.951194677689507</v>
      </c>
      <c r="I58" s="98">
        <f>C58+F58-35005.7</f>
        <v>36239.90000000001</v>
      </c>
      <c r="J58" s="98">
        <f>D58+G58-31800.7</f>
        <v>4693.499999999996</v>
      </c>
      <c r="K58" s="95">
        <f t="shared" si="1"/>
        <v>12.951194677689495</v>
      </c>
    </row>
    <row r="59" spans="1:11" ht="45">
      <c r="A59" s="99" t="s">
        <v>135</v>
      </c>
      <c r="B59" s="104" t="s">
        <v>216</v>
      </c>
      <c r="C59" s="73">
        <v>2235.9</v>
      </c>
      <c r="D59" s="92">
        <v>1957.8</v>
      </c>
      <c r="E59" s="73">
        <f t="shared" si="5"/>
        <v>87.56205554810143</v>
      </c>
      <c r="F59" s="74"/>
      <c r="G59" s="74"/>
      <c r="H59" s="74"/>
      <c r="I59" s="98">
        <f>C59+F59</f>
        <v>2235.9</v>
      </c>
      <c r="J59" s="98">
        <f>D59+G59</f>
        <v>1957.8</v>
      </c>
      <c r="K59" s="95">
        <f t="shared" si="1"/>
        <v>87.56205554810143</v>
      </c>
    </row>
    <row r="60" spans="1:11" ht="22.5">
      <c r="A60" s="96" t="s">
        <v>135</v>
      </c>
      <c r="B60" s="97" t="s">
        <v>228</v>
      </c>
      <c r="C60" s="73">
        <v>5024.7</v>
      </c>
      <c r="D60" s="73">
        <v>2264.6</v>
      </c>
      <c r="E60" s="73">
        <f t="shared" si="5"/>
        <v>45.06935737456963</v>
      </c>
      <c r="F60" s="74">
        <v>0</v>
      </c>
      <c r="G60" s="74">
        <v>0</v>
      </c>
      <c r="H60" s="74">
        <v>0</v>
      </c>
      <c r="I60" s="98">
        <f t="shared" si="0"/>
        <v>5024.7</v>
      </c>
      <c r="J60" s="98">
        <f t="shared" si="0"/>
        <v>2264.6</v>
      </c>
      <c r="K60" s="95">
        <f t="shared" si="1"/>
        <v>45.06935737456963</v>
      </c>
    </row>
    <row r="61" spans="1:11" ht="22.5">
      <c r="A61" s="96" t="s">
        <v>135</v>
      </c>
      <c r="B61" s="97" t="s">
        <v>229</v>
      </c>
      <c r="C61" s="73">
        <v>5101.3</v>
      </c>
      <c r="D61" s="73">
        <v>4651.8</v>
      </c>
      <c r="E61" s="73">
        <f t="shared" si="5"/>
        <v>91.18852057318722</v>
      </c>
      <c r="F61" s="74">
        <v>0</v>
      </c>
      <c r="G61" s="74">
        <v>0</v>
      </c>
      <c r="H61" s="74">
        <v>0</v>
      </c>
      <c r="I61" s="98">
        <f t="shared" si="0"/>
        <v>5101.3</v>
      </c>
      <c r="J61" s="98">
        <f t="shared" si="0"/>
        <v>4651.8</v>
      </c>
      <c r="K61" s="95">
        <f t="shared" si="1"/>
        <v>91.18852057318722</v>
      </c>
    </row>
    <row r="62" spans="1:11" ht="22.5">
      <c r="A62" s="96" t="s">
        <v>135</v>
      </c>
      <c r="B62" s="97" t="s">
        <v>230</v>
      </c>
      <c r="C62" s="73">
        <v>3391.4</v>
      </c>
      <c r="D62" s="73">
        <v>645.2</v>
      </c>
      <c r="E62" s="73">
        <f t="shared" si="5"/>
        <v>19.02459161408268</v>
      </c>
      <c r="F62" s="74">
        <v>0</v>
      </c>
      <c r="G62" s="74">
        <v>0</v>
      </c>
      <c r="H62" s="74">
        <v>0</v>
      </c>
      <c r="I62" s="98">
        <f t="shared" si="0"/>
        <v>3391.4</v>
      </c>
      <c r="J62" s="98">
        <f t="shared" si="0"/>
        <v>645.2</v>
      </c>
      <c r="K62" s="95">
        <f t="shared" si="1"/>
        <v>19.02459161408268</v>
      </c>
    </row>
    <row r="63" spans="1:11" ht="22.5">
      <c r="A63" s="96" t="s">
        <v>135</v>
      </c>
      <c r="B63" s="97" t="s">
        <v>231</v>
      </c>
      <c r="C63" s="73">
        <v>419.2</v>
      </c>
      <c r="D63" s="73">
        <v>193.8</v>
      </c>
      <c r="E63" s="73">
        <f t="shared" si="5"/>
        <v>46.23091603053435</v>
      </c>
      <c r="F63" s="74">
        <v>0</v>
      </c>
      <c r="G63" s="74">
        <v>0</v>
      </c>
      <c r="H63" s="74">
        <v>0</v>
      </c>
      <c r="I63" s="98">
        <f>C63+F63</f>
        <v>419.2</v>
      </c>
      <c r="J63" s="98">
        <f>D63+G63</f>
        <v>193.8</v>
      </c>
      <c r="K63" s="95">
        <f t="shared" si="1"/>
        <v>46.23091603053435</v>
      </c>
    </row>
    <row r="64" spans="1:11" ht="33.75">
      <c r="A64" s="99" t="s">
        <v>135</v>
      </c>
      <c r="B64" s="97" t="s">
        <v>232</v>
      </c>
      <c r="C64" s="73">
        <v>3608.4</v>
      </c>
      <c r="D64" s="73">
        <v>2121.9</v>
      </c>
      <c r="E64" s="73">
        <f t="shared" si="5"/>
        <v>58.80445626870635</v>
      </c>
      <c r="F64" s="74">
        <v>0</v>
      </c>
      <c r="G64" s="74">
        <v>0</v>
      </c>
      <c r="H64" s="74">
        <v>0</v>
      </c>
      <c r="I64" s="98">
        <f t="shared" si="0"/>
        <v>3608.4</v>
      </c>
      <c r="J64" s="98">
        <f t="shared" si="0"/>
        <v>2121.9</v>
      </c>
      <c r="K64" s="95">
        <f t="shared" si="1"/>
        <v>58.80445626870635</v>
      </c>
    </row>
    <row r="65" spans="1:11" ht="33.75">
      <c r="A65" s="96" t="s">
        <v>139</v>
      </c>
      <c r="B65" s="97" t="s">
        <v>207</v>
      </c>
      <c r="C65" s="73">
        <v>5800</v>
      </c>
      <c r="D65" s="73">
        <v>359.6</v>
      </c>
      <c r="E65" s="73">
        <f t="shared" si="5"/>
        <v>6.200000000000001</v>
      </c>
      <c r="F65" s="74">
        <v>0</v>
      </c>
      <c r="G65" s="74">
        <v>0</v>
      </c>
      <c r="H65" s="74">
        <v>0</v>
      </c>
      <c r="I65" s="98">
        <f t="shared" si="0"/>
        <v>5800</v>
      </c>
      <c r="J65" s="98">
        <f t="shared" si="0"/>
        <v>359.6</v>
      </c>
      <c r="K65" s="95">
        <f t="shared" si="1"/>
        <v>6.200000000000001</v>
      </c>
    </row>
    <row r="66" spans="1:11" ht="22.5">
      <c r="A66" s="99" t="s">
        <v>139</v>
      </c>
      <c r="B66" s="97" t="s">
        <v>240</v>
      </c>
      <c r="C66" s="73">
        <v>2144.1</v>
      </c>
      <c r="D66" s="73">
        <v>2144.1</v>
      </c>
      <c r="E66" s="73">
        <f t="shared" si="5"/>
        <v>100</v>
      </c>
      <c r="F66" s="74">
        <v>2263</v>
      </c>
      <c r="G66" s="74">
        <v>917.2</v>
      </c>
      <c r="H66" s="74">
        <f>G66/F66*100</f>
        <v>40.5302695536898</v>
      </c>
      <c r="I66" s="98">
        <f>C66+F66-2144.1</f>
        <v>2263.0000000000005</v>
      </c>
      <c r="J66" s="98">
        <f>D66+G66-2144.1</f>
        <v>917.2000000000003</v>
      </c>
      <c r="K66" s="95">
        <f t="shared" si="1"/>
        <v>40.5302695536898</v>
      </c>
    </row>
    <row r="67" spans="1:11" ht="22.5">
      <c r="A67" s="96" t="s">
        <v>139</v>
      </c>
      <c r="B67" s="97" t="s">
        <v>208</v>
      </c>
      <c r="C67" s="73">
        <v>21440.5</v>
      </c>
      <c r="D67" s="73">
        <v>15150.4</v>
      </c>
      <c r="E67" s="73">
        <f>D67/C67*100</f>
        <v>70.66253119097036</v>
      </c>
      <c r="F67" s="74">
        <v>13528.4</v>
      </c>
      <c r="G67" s="74">
        <v>13183</v>
      </c>
      <c r="H67" s="74">
        <f>G67/F67*100</f>
        <v>97.44685254723396</v>
      </c>
      <c r="I67" s="98">
        <f>C67+F67-13440.4</f>
        <v>21528.5</v>
      </c>
      <c r="J67" s="98">
        <f>D67+G67-13440.4</f>
        <v>14893.000000000002</v>
      </c>
      <c r="K67" s="95">
        <f>J67/I67*100</f>
        <v>69.1780662842279</v>
      </c>
    </row>
    <row r="68" spans="1:11" ht="22.5">
      <c r="A68" s="96" t="s">
        <v>139</v>
      </c>
      <c r="B68" s="97" t="s">
        <v>140</v>
      </c>
      <c r="C68" s="73">
        <v>7753.4</v>
      </c>
      <c r="D68" s="73">
        <v>6184.7</v>
      </c>
      <c r="E68" s="73">
        <f t="shared" si="5"/>
        <v>79.76758583331184</v>
      </c>
      <c r="F68" s="74">
        <v>51378.8</v>
      </c>
      <c r="G68" s="74">
        <v>29284.8</v>
      </c>
      <c r="H68" s="74">
        <f>G68/F68*100</f>
        <v>56.997827897887845</v>
      </c>
      <c r="I68" s="98">
        <f>C68+F68-1000</f>
        <v>58132.200000000004</v>
      </c>
      <c r="J68" s="98">
        <f>D68+G68-1000</f>
        <v>34469.5</v>
      </c>
      <c r="K68" s="95">
        <f t="shared" si="1"/>
        <v>59.29502065980644</v>
      </c>
    </row>
    <row r="69" spans="1:11" ht="22.5">
      <c r="A69" s="99" t="s">
        <v>217</v>
      </c>
      <c r="B69" s="97" t="s">
        <v>218</v>
      </c>
      <c r="C69" s="73">
        <v>78.9</v>
      </c>
      <c r="D69" s="73">
        <v>57</v>
      </c>
      <c r="E69" s="73">
        <f t="shared" si="5"/>
        <v>72.24334600760456</v>
      </c>
      <c r="F69" s="74"/>
      <c r="G69" s="74"/>
      <c r="H69" s="74"/>
      <c r="I69" s="98">
        <f t="shared" si="0"/>
        <v>78.9</v>
      </c>
      <c r="J69" s="98">
        <f t="shared" si="0"/>
        <v>57</v>
      </c>
      <c r="K69" s="95">
        <f t="shared" si="1"/>
        <v>72.24334600760456</v>
      </c>
    </row>
    <row r="70" spans="1:11" ht="12.75">
      <c r="A70" s="106" t="s">
        <v>141</v>
      </c>
      <c r="B70" s="107" t="s">
        <v>142</v>
      </c>
      <c r="C70" s="98">
        <f aca="true" t="shared" si="7" ref="C70:H70">C71</f>
        <v>350</v>
      </c>
      <c r="D70" s="98">
        <f t="shared" si="7"/>
        <v>219.9</v>
      </c>
      <c r="E70" s="103">
        <f>D70/C70*100</f>
        <v>62.828571428571436</v>
      </c>
      <c r="F70" s="98">
        <f t="shared" si="7"/>
        <v>0</v>
      </c>
      <c r="G70" s="98">
        <f t="shared" si="7"/>
        <v>0</v>
      </c>
      <c r="H70" s="74">
        <f t="shared" si="7"/>
        <v>0</v>
      </c>
      <c r="I70" s="98">
        <f t="shared" si="0"/>
        <v>350</v>
      </c>
      <c r="J70" s="98">
        <f t="shared" si="0"/>
        <v>219.9</v>
      </c>
      <c r="K70" s="95">
        <f t="shared" si="1"/>
        <v>62.828571428571436</v>
      </c>
    </row>
    <row r="71" spans="1:11" ht="22.5">
      <c r="A71" s="99" t="s">
        <v>143</v>
      </c>
      <c r="B71" s="108" t="s">
        <v>144</v>
      </c>
      <c r="C71" s="74">
        <v>350</v>
      </c>
      <c r="D71" s="74">
        <v>219.9</v>
      </c>
      <c r="E71" s="73">
        <f t="shared" si="5"/>
        <v>62.828571428571436</v>
      </c>
      <c r="F71" s="74">
        <v>0</v>
      </c>
      <c r="G71" s="74">
        <v>0</v>
      </c>
      <c r="H71" s="74">
        <v>0</v>
      </c>
      <c r="I71" s="98">
        <f t="shared" si="0"/>
        <v>350</v>
      </c>
      <c r="J71" s="98">
        <f t="shared" si="0"/>
        <v>219.9</v>
      </c>
      <c r="K71" s="95">
        <f t="shared" si="1"/>
        <v>62.828571428571436</v>
      </c>
    </row>
    <row r="72" spans="1:11" ht="12.75">
      <c r="A72" s="101" t="s">
        <v>145</v>
      </c>
      <c r="B72" s="102" t="s">
        <v>146</v>
      </c>
      <c r="C72" s="103">
        <f>SUM(C73:C83)</f>
        <v>2028453.4999999998</v>
      </c>
      <c r="D72" s="103">
        <f>SUM(D73:D83)</f>
        <v>1250881.2</v>
      </c>
      <c r="E72" s="103">
        <f>D72/C72*100</f>
        <v>61.66674266873754</v>
      </c>
      <c r="F72" s="98">
        <f>F73+F76+F77+F82+F83</f>
        <v>5197.2</v>
      </c>
      <c r="G72" s="98">
        <f>SUM(G73:G83)</f>
        <v>3623.1</v>
      </c>
      <c r="H72" s="74">
        <f>G72/F72*100</f>
        <v>69.71253752020318</v>
      </c>
      <c r="I72" s="103">
        <f>SUM(I73:I83)</f>
        <v>2033650.6999999997</v>
      </c>
      <c r="J72" s="103">
        <f>SUM(J73:J83)</f>
        <v>1254504.3</v>
      </c>
      <c r="K72" s="95">
        <f t="shared" si="1"/>
        <v>61.68730451104509</v>
      </c>
    </row>
    <row r="73" spans="1:11" ht="12.75">
      <c r="A73" s="96" t="s">
        <v>147</v>
      </c>
      <c r="B73" s="97" t="s">
        <v>148</v>
      </c>
      <c r="C73" s="73">
        <f>387248.4-C74-C75</f>
        <v>372823.10000000003</v>
      </c>
      <c r="D73" s="73">
        <f>301963-D74-D75</f>
        <v>291329.1</v>
      </c>
      <c r="E73" s="73">
        <f t="shared" si="5"/>
        <v>78.14137589650426</v>
      </c>
      <c r="F73" s="74">
        <v>0</v>
      </c>
      <c r="G73" s="74">
        <v>0</v>
      </c>
      <c r="H73" s="74">
        <v>0</v>
      </c>
      <c r="I73" s="98">
        <f t="shared" si="0"/>
        <v>372823.10000000003</v>
      </c>
      <c r="J73" s="98">
        <f t="shared" si="0"/>
        <v>291329.1</v>
      </c>
      <c r="K73" s="95">
        <f t="shared" si="1"/>
        <v>78.14137589650426</v>
      </c>
    </row>
    <row r="74" spans="1:11" ht="33.75">
      <c r="A74" s="99" t="s">
        <v>147</v>
      </c>
      <c r="B74" s="97" t="s">
        <v>209</v>
      </c>
      <c r="C74" s="73">
        <v>4334.2</v>
      </c>
      <c r="D74" s="73">
        <v>4334.2</v>
      </c>
      <c r="E74" s="73">
        <f t="shared" si="5"/>
        <v>100</v>
      </c>
      <c r="F74" s="74"/>
      <c r="G74" s="74"/>
      <c r="H74" s="74"/>
      <c r="I74" s="98">
        <f t="shared" si="0"/>
        <v>4334.2</v>
      </c>
      <c r="J74" s="98">
        <f t="shared" si="0"/>
        <v>4334.2</v>
      </c>
      <c r="K74" s="95">
        <f t="shared" si="1"/>
        <v>100</v>
      </c>
    </row>
    <row r="75" spans="1:11" ht="56.25">
      <c r="A75" s="109" t="s">
        <v>147</v>
      </c>
      <c r="B75" s="110" t="s">
        <v>233</v>
      </c>
      <c r="C75" s="73">
        <v>10091.1</v>
      </c>
      <c r="D75" s="73">
        <v>6299.7</v>
      </c>
      <c r="E75" s="73">
        <f t="shared" si="5"/>
        <v>62.42827838392246</v>
      </c>
      <c r="F75" s="74">
        <v>0</v>
      </c>
      <c r="G75" s="74">
        <v>0</v>
      </c>
      <c r="H75" s="74">
        <v>0</v>
      </c>
      <c r="I75" s="98">
        <f t="shared" si="0"/>
        <v>10091.1</v>
      </c>
      <c r="J75" s="98">
        <f t="shared" si="0"/>
        <v>6299.7</v>
      </c>
      <c r="K75" s="95">
        <f t="shared" si="1"/>
        <v>62.42827838392246</v>
      </c>
    </row>
    <row r="76" spans="1:11" ht="12.75">
      <c r="A76" s="96" t="s">
        <v>149</v>
      </c>
      <c r="B76" s="97" t="s">
        <v>150</v>
      </c>
      <c r="C76" s="73">
        <f>1576199-C77-C79-C81-C80-C78</f>
        <v>945472.6000000001</v>
      </c>
      <c r="D76" s="73">
        <f>896418.8-D77-D78-D79-D80-D81</f>
        <v>752329.7000000002</v>
      </c>
      <c r="E76" s="73">
        <f t="shared" si="5"/>
        <v>79.57181413824156</v>
      </c>
      <c r="F76" s="74">
        <v>0</v>
      </c>
      <c r="G76" s="74">
        <v>0</v>
      </c>
      <c r="H76" s="74">
        <v>0</v>
      </c>
      <c r="I76" s="98">
        <f t="shared" si="0"/>
        <v>945472.6000000001</v>
      </c>
      <c r="J76" s="98">
        <f t="shared" si="0"/>
        <v>752329.7000000002</v>
      </c>
      <c r="K76" s="95">
        <f t="shared" si="1"/>
        <v>79.57181413824156</v>
      </c>
    </row>
    <row r="77" spans="1:11" ht="12.75">
      <c r="A77" s="96" t="s">
        <v>149</v>
      </c>
      <c r="B77" s="97" t="s">
        <v>151</v>
      </c>
      <c r="C77" s="73">
        <v>40118</v>
      </c>
      <c r="D77" s="73">
        <v>27127.2</v>
      </c>
      <c r="E77" s="73">
        <f t="shared" si="5"/>
        <v>67.61852535021686</v>
      </c>
      <c r="F77" s="74">
        <v>0</v>
      </c>
      <c r="G77" s="74">
        <v>0</v>
      </c>
      <c r="H77" s="74">
        <v>0</v>
      </c>
      <c r="I77" s="98">
        <f t="shared" si="0"/>
        <v>40118</v>
      </c>
      <c r="J77" s="98">
        <f t="shared" si="0"/>
        <v>27127.2</v>
      </c>
      <c r="K77" s="95">
        <f t="shared" si="1"/>
        <v>67.61852535021686</v>
      </c>
    </row>
    <row r="78" spans="1:11" ht="33.75">
      <c r="A78" s="99" t="s">
        <v>149</v>
      </c>
      <c r="B78" s="97" t="s">
        <v>209</v>
      </c>
      <c r="C78" s="73">
        <v>14182.7</v>
      </c>
      <c r="D78" s="73">
        <v>13986.8</v>
      </c>
      <c r="E78" s="73">
        <f t="shared" si="5"/>
        <v>98.61873973220895</v>
      </c>
      <c r="F78" s="74">
        <v>0</v>
      </c>
      <c r="G78" s="74">
        <v>0</v>
      </c>
      <c r="H78" s="74">
        <v>0</v>
      </c>
      <c r="I78" s="98">
        <f t="shared" si="0"/>
        <v>14182.7</v>
      </c>
      <c r="J78" s="98">
        <f t="shared" si="0"/>
        <v>13986.8</v>
      </c>
      <c r="K78" s="95">
        <f t="shared" si="1"/>
        <v>98.61873973220895</v>
      </c>
    </row>
    <row r="79" spans="1:11" ht="22.5">
      <c r="A79" s="96" t="s">
        <v>149</v>
      </c>
      <c r="B79" s="97" t="s">
        <v>234</v>
      </c>
      <c r="C79" s="73">
        <v>135099.9</v>
      </c>
      <c r="D79" s="73">
        <v>37171.2</v>
      </c>
      <c r="E79" s="73">
        <f t="shared" si="5"/>
        <v>27.51386196436859</v>
      </c>
      <c r="F79" s="74">
        <v>0</v>
      </c>
      <c r="G79" s="74">
        <v>0</v>
      </c>
      <c r="H79" s="74">
        <v>0</v>
      </c>
      <c r="I79" s="98">
        <f t="shared" si="0"/>
        <v>135099.9</v>
      </c>
      <c r="J79" s="98">
        <f t="shared" si="0"/>
        <v>37171.2</v>
      </c>
      <c r="K79" s="95">
        <f t="shared" si="1"/>
        <v>27.51386196436859</v>
      </c>
    </row>
    <row r="80" spans="1:11" ht="22.5">
      <c r="A80" s="99" t="s">
        <v>149</v>
      </c>
      <c r="B80" s="97" t="s">
        <v>235</v>
      </c>
      <c r="C80" s="73">
        <v>128</v>
      </c>
      <c r="D80" s="73">
        <v>92.7</v>
      </c>
      <c r="E80" s="73">
        <f t="shared" si="5"/>
        <v>72.421875</v>
      </c>
      <c r="F80" s="74"/>
      <c r="G80" s="74"/>
      <c r="H80" s="74"/>
      <c r="I80" s="98">
        <f t="shared" si="0"/>
        <v>128</v>
      </c>
      <c r="J80" s="98">
        <f t="shared" si="0"/>
        <v>92.7</v>
      </c>
      <c r="K80" s="95">
        <f t="shared" si="1"/>
        <v>72.421875</v>
      </c>
    </row>
    <row r="81" spans="1:11" ht="33.75">
      <c r="A81" s="96" t="s">
        <v>149</v>
      </c>
      <c r="B81" s="97" t="s">
        <v>212</v>
      </c>
      <c r="C81" s="73">
        <f>255351.8+185846</f>
        <v>441197.8</v>
      </c>
      <c r="D81" s="73">
        <v>65711.2</v>
      </c>
      <c r="E81" s="73">
        <f>D81/C81*100</f>
        <v>14.893818600183408</v>
      </c>
      <c r="F81" s="74">
        <v>0</v>
      </c>
      <c r="G81" s="74">
        <v>0</v>
      </c>
      <c r="H81" s="74">
        <v>0</v>
      </c>
      <c r="I81" s="98">
        <f>C81+F81</f>
        <v>441197.8</v>
      </c>
      <c r="J81" s="98">
        <f>D81+G81</f>
        <v>65711.2</v>
      </c>
      <c r="K81" s="95">
        <f>J81/I81*100</f>
        <v>14.893818600183408</v>
      </c>
    </row>
    <row r="82" spans="1:11" ht="12.75">
      <c r="A82" s="96" t="s">
        <v>152</v>
      </c>
      <c r="B82" s="97" t="s">
        <v>153</v>
      </c>
      <c r="C82" s="73">
        <v>20055.2</v>
      </c>
      <c r="D82" s="73">
        <v>19744.5</v>
      </c>
      <c r="E82" s="73">
        <f t="shared" si="5"/>
        <v>98.45077585863018</v>
      </c>
      <c r="F82" s="74">
        <v>5197.2</v>
      </c>
      <c r="G82" s="74">
        <v>3623.1</v>
      </c>
      <c r="H82" s="74">
        <f>G82/F82*100</f>
        <v>69.71253752020318</v>
      </c>
      <c r="I82" s="98">
        <f t="shared" si="0"/>
        <v>25252.4</v>
      </c>
      <c r="J82" s="98">
        <f t="shared" si="0"/>
        <v>23367.6</v>
      </c>
      <c r="K82" s="95">
        <f t="shared" si="1"/>
        <v>92.53615497932869</v>
      </c>
    </row>
    <row r="83" spans="1:11" ht="12.75">
      <c r="A83" s="96" t="s">
        <v>154</v>
      </c>
      <c r="B83" s="97" t="s">
        <v>155</v>
      </c>
      <c r="C83" s="73">
        <v>44950.9</v>
      </c>
      <c r="D83" s="73">
        <v>32754.9</v>
      </c>
      <c r="E83" s="73">
        <f t="shared" si="5"/>
        <v>72.86817394089996</v>
      </c>
      <c r="F83" s="74">
        <v>0</v>
      </c>
      <c r="G83" s="74">
        <v>0</v>
      </c>
      <c r="H83" s="74">
        <v>0</v>
      </c>
      <c r="I83" s="98">
        <f t="shared" si="0"/>
        <v>44950.9</v>
      </c>
      <c r="J83" s="98">
        <f t="shared" si="0"/>
        <v>32754.9</v>
      </c>
      <c r="K83" s="95">
        <f t="shared" si="1"/>
        <v>72.86817394089996</v>
      </c>
    </row>
    <row r="84" spans="1:11" ht="12.75">
      <c r="A84" s="101" t="s">
        <v>156</v>
      </c>
      <c r="B84" s="102" t="s">
        <v>157</v>
      </c>
      <c r="C84" s="103">
        <f>SUM(C85:C90)</f>
        <v>320579.9</v>
      </c>
      <c r="D84" s="103">
        <f>SUM(D85:D90)</f>
        <v>208234.4</v>
      </c>
      <c r="E84" s="103">
        <f>D84/C84*100</f>
        <v>64.95553838528242</v>
      </c>
      <c r="F84" s="98">
        <f>SUM(F85:F90)</f>
        <v>84404.5</v>
      </c>
      <c r="G84" s="98">
        <f>SUM(G85:G90)</f>
        <v>62408.899999999994</v>
      </c>
      <c r="H84" s="74">
        <f>G84/F84*100</f>
        <v>73.94025200078194</v>
      </c>
      <c r="I84" s="98">
        <f>SUM(I85:I90)</f>
        <v>394590.30000000005</v>
      </c>
      <c r="J84" s="98">
        <f>SUM(J85:J90)</f>
        <v>260249.2</v>
      </c>
      <c r="K84" s="95">
        <f t="shared" si="1"/>
        <v>65.95428220105765</v>
      </c>
    </row>
    <row r="85" spans="1:11" ht="12.75">
      <c r="A85" s="96" t="s">
        <v>158</v>
      </c>
      <c r="B85" s="97" t="s">
        <v>159</v>
      </c>
      <c r="C85" s="73">
        <f>299419.9-C86-C88-C87</f>
        <v>49549.90000000004</v>
      </c>
      <c r="D85" s="73">
        <f>188404.4-D86-D88-D87</f>
        <v>43232.6</v>
      </c>
      <c r="E85" s="73">
        <f t="shared" si="5"/>
        <v>87.25063017281562</v>
      </c>
      <c r="F85" s="74">
        <f>78541.7-F87</f>
        <v>76616.7</v>
      </c>
      <c r="G85" s="74">
        <f>57176.7-G87</f>
        <v>55583.5</v>
      </c>
      <c r="H85" s="74">
        <f>G85/F85*100</f>
        <v>72.54749943550166</v>
      </c>
      <c r="I85" s="98">
        <f>C85+F85-3117.1</f>
        <v>123049.50000000003</v>
      </c>
      <c r="J85" s="98">
        <f>D85+G85-3117.1</f>
        <v>95699</v>
      </c>
      <c r="K85" s="95">
        <f t="shared" si="1"/>
        <v>77.77276624447883</v>
      </c>
    </row>
    <row r="86" spans="1:11" ht="56.25">
      <c r="A86" s="109" t="s">
        <v>158</v>
      </c>
      <c r="B86" s="110" t="s">
        <v>219</v>
      </c>
      <c r="C86" s="73">
        <v>210564.8</v>
      </c>
      <c r="D86" s="73">
        <v>108494.7</v>
      </c>
      <c r="E86" s="73">
        <f t="shared" si="5"/>
        <v>51.525563626968996</v>
      </c>
      <c r="F86" s="74">
        <v>0</v>
      </c>
      <c r="G86" s="74">
        <v>0</v>
      </c>
      <c r="H86" s="74">
        <v>0</v>
      </c>
      <c r="I86" s="98">
        <f>C86+F86</f>
        <v>210564.8</v>
      </c>
      <c r="J86" s="98">
        <f>D86+G86</f>
        <v>108494.7</v>
      </c>
      <c r="K86" s="95">
        <f>J86/I86*100</f>
        <v>51.525563626968996</v>
      </c>
    </row>
    <row r="87" spans="1:11" ht="12.75">
      <c r="A87" s="109" t="s">
        <v>158</v>
      </c>
      <c r="B87" s="110" t="s">
        <v>220</v>
      </c>
      <c r="C87" s="73">
        <v>3905.7</v>
      </c>
      <c r="D87" s="73">
        <v>3496</v>
      </c>
      <c r="E87" s="73">
        <f t="shared" si="5"/>
        <v>89.51020303658755</v>
      </c>
      <c r="F87" s="74">
        <v>1925</v>
      </c>
      <c r="G87" s="74">
        <v>1593.2</v>
      </c>
      <c r="H87" s="74">
        <f>G87/F87*100</f>
        <v>82.76363636363637</v>
      </c>
      <c r="I87" s="98">
        <f>C87+F87-1925</f>
        <v>3905.7</v>
      </c>
      <c r="J87" s="98">
        <f>D87+G87-1925</f>
        <v>3164.2</v>
      </c>
      <c r="K87" s="95">
        <f>J87/I87*100</f>
        <v>81.01492690170777</v>
      </c>
    </row>
    <row r="88" spans="1:11" ht="22.5">
      <c r="A88" s="109" t="s">
        <v>158</v>
      </c>
      <c r="B88" s="110" t="s">
        <v>236</v>
      </c>
      <c r="C88" s="73">
        <v>35399.5</v>
      </c>
      <c r="D88" s="73">
        <v>33181.1</v>
      </c>
      <c r="E88" s="73">
        <f t="shared" si="5"/>
        <v>93.73324481984208</v>
      </c>
      <c r="F88" s="74">
        <v>0</v>
      </c>
      <c r="G88" s="74">
        <v>0</v>
      </c>
      <c r="H88" s="74">
        <v>0</v>
      </c>
      <c r="I88" s="98">
        <f>C88+F88</f>
        <v>35399.5</v>
      </c>
      <c r="J88" s="98">
        <f>D88+G88</f>
        <v>33181.1</v>
      </c>
      <c r="K88" s="95">
        <f>J88/I88*100</f>
        <v>93.73324481984208</v>
      </c>
    </row>
    <row r="89" spans="1:11" ht="12.75">
      <c r="A89" s="96" t="s">
        <v>160</v>
      </c>
      <c r="B89" s="97" t="s">
        <v>161</v>
      </c>
      <c r="C89" s="73">
        <v>619</v>
      </c>
      <c r="D89" s="73">
        <v>590.3</v>
      </c>
      <c r="E89" s="73">
        <f t="shared" si="5"/>
        <v>95.36348949919223</v>
      </c>
      <c r="F89" s="74">
        <v>510.8</v>
      </c>
      <c r="G89" s="74">
        <v>419</v>
      </c>
      <c r="H89" s="74">
        <f>G89/F89*100</f>
        <v>82.02819107282694</v>
      </c>
      <c r="I89" s="98">
        <f aca="true" t="shared" si="8" ref="I89:J115">C89+F89</f>
        <v>1129.8</v>
      </c>
      <c r="J89" s="98">
        <f t="shared" si="8"/>
        <v>1009.3</v>
      </c>
      <c r="K89" s="95">
        <f aca="true" t="shared" si="9" ref="K89:K120">J89/I89*100</f>
        <v>89.33439546822446</v>
      </c>
    </row>
    <row r="90" spans="1:11" ht="12.75">
      <c r="A90" s="96" t="s">
        <v>162</v>
      </c>
      <c r="B90" s="97" t="s">
        <v>163</v>
      </c>
      <c r="C90" s="73">
        <v>20541</v>
      </c>
      <c r="D90" s="73">
        <v>19239.7</v>
      </c>
      <c r="E90" s="73">
        <f t="shared" si="5"/>
        <v>93.66486539116889</v>
      </c>
      <c r="F90" s="74">
        <v>5352</v>
      </c>
      <c r="G90" s="74">
        <v>4813.2</v>
      </c>
      <c r="H90" s="74">
        <f>G90/F90*100</f>
        <v>89.93273542600897</v>
      </c>
      <c r="I90" s="98">
        <f>C90+F90-5352</f>
        <v>20541</v>
      </c>
      <c r="J90" s="98">
        <f>D90+G90-5352</f>
        <v>18700.9</v>
      </c>
      <c r="K90" s="95">
        <f t="shared" si="9"/>
        <v>91.04181880142156</v>
      </c>
    </row>
    <row r="91" spans="1:11" ht="12.75">
      <c r="A91" s="101" t="s">
        <v>164</v>
      </c>
      <c r="B91" s="102" t="s">
        <v>165</v>
      </c>
      <c r="C91" s="103">
        <f>SUM(C92:C96)</f>
        <v>379841.79999999993</v>
      </c>
      <c r="D91" s="103">
        <f>SUM(D92:D96)</f>
        <v>226975.99999999997</v>
      </c>
      <c r="E91" s="103">
        <f>D91/C91*100</f>
        <v>59.755403433745315</v>
      </c>
      <c r="F91" s="98">
        <f>SUM(F92:F95)</f>
        <v>0</v>
      </c>
      <c r="G91" s="98">
        <f>SUM(G92:G95)</f>
        <v>0</v>
      </c>
      <c r="H91" s="74"/>
      <c r="I91" s="98">
        <f>C91+F91</f>
        <v>379841.79999999993</v>
      </c>
      <c r="J91" s="98">
        <f t="shared" si="8"/>
        <v>226975.99999999997</v>
      </c>
      <c r="K91" s="95">
        <f t="shared" si="9"/>
        <v>59.755403433745315</v>
      </c>
    </row>
    <row r="92" spans="1:11" ht="12.75">
      <c r="A92" s="96" t="s">
        <v>166</v>
      </c>
      <c r="B92" s="97" t="s">
        <v>167</v>
      </c>
      <c r="C92" s="73">
        <v>181112.3</v>
      </c>
      <c r="D92" s="73">
        <v>146441.3</v>
      </c>
      <c r="E92" s="73">
        <f t="shared" si="5"/>
        <v>80.85662873255986</v>
      </c>
      <c r="F92" s="74">
        <v>0</v>
      </c>
      <c r="G92" s="74">
        <v>0</v>
      </c>
      <c r="H92" s="74">
        <v>0</v>
      </c>
      <c r="I92" s="98">
        <f t="shared" si="8"/>
        <v>181112.3</v>
      </c>
      <c r="J92" s="98">
        <f t="shared" si="8"/>
        <v>146441.3</v>
      </c>
      <c r="K92" s="95">
        <f t="shared" si="9"/>
        <v>80.85662873255986</v>
      </c>
    </row>
    <row r="93" spans="1:11" ht="12.75">
      <c r="A93" s="96" t="s">
        <v>168</v>
      </c>
      <c r="B93" s="97" t="s">
        <v>169</v>
      </c>
      <c r="C93" s="73">
        <v>38148.3</v>
      </c>
      <c r="D93" s="73">
        <v>34355.8</v>
      </c>
      <c r="E93" s="73">
        <f t="shared" si="5"/>
        <v>90.05853471845403</v>
      </c>
      <c r="F93" s="74">
        <v>0</v>
      </c>
      <c r="G93" s="74">
        <v>0</v>
      </c>
      <c r="H93" s="74">
        <v>0</v>
      </c>
      <c r="I93" s="98">
        <f t="shared" si="8"/>
        <v>38148.3</v>
      </c>
      <c r="J93" s="98">
        <f t="shared" si="8"/>
        <v>34355.8</v>
      </c>
      <c r="K93" s="95">
        <f t="shared" si="9"/>
        <v>90.05853471845403</v>
      </c>
    </row>
    <row r="94" spans="1:11" ht="12.75">
      <c r="A94" s="99" t="s">
        <v>170</v>
      </c>
      <c r="B94" s="97" t="s">
        <v>171</v>
      </c>
      <c r="C94" s="73">
        <v>7954.4</v>
      </c>
      <c r="D94" s="73">
        <v>5161.2</v>
      </c>
      <c r="E94" s="73">
        <f t="shared" si="5"/>
        <v>64.88484360856884</v>
      </c>
      <c r="F94" s="74">
        <v>0</v>
      </c>
      <c r="G94" s="74">
        <v>0</v>
      </c>
      <c r="H94" s="74">
        <v>0</v>
      </c>
      <c r="I94" s="98">
        <f t="shared" si="8"/>
        <v>7954.4</v>
      </c>
      <c r="J94" s="98">
        <f t="shared" si="8"/>
        <v>5161.2</v>
      </c>
      <c r="K94" s="95">
        <f t="shared" si="9"/>
        <v>64.88484360856884</v>
      </c>
    </row>
    <row r="95" spans="1:11" ht="12.75">
      <c r="A95" s="99" t="s">
        <v>172</v>
      </c>
      <c r="B95" s="97" t="s">
        <v>173</v>
      </c>
      <c r="C95" s="73">
        <f>152626.8-C96</f>
        <v>17664.5</v>
      </c>
      <c r="D95" s="74">
        <f>41017.7-D96</f>
        <v>13948.899999999998</v>
      </c>
      <c r="E95" s="73">
        <f t="shared" si="5"/>
        <v>78.96572221121457</v>
      </c>
      <c r="F95" s="74">
        <v>0</v>
      </c>
      <c r="G95" s="74">
        <v>0</v>
      </c>
      <c r="H95" s="74">
        <v>0</v>
      </c>
      <c r="I95" s="98">
        <f t="shared" si="8"/>
        <v>17664.5</v>
      </c>
      <c r="J95" s="98">
        <f t="shared" si="8"/>
        <v>13948.899999999998</v>
      </c>
      <c r="K95" s="95">
        <f t="shared" si="9"/>
        <v>78.96572221121457</v>
      </c>
    </row>
    <row r="96" spans="1:11" ht="22.5">
      <c r="A96" s="99" t="s">
        <v>172</v>
      </c>
      <c r="B96" s="110" t="s">
        <v>210</v>
      </c>
      <c r="C96" s="73">
        <v>134962.3</v>
      </c>
      <c r="D96" s="74">
        <v>27068.8</v>
      </c>
      <c r="E96" s="73">
        <f t="shared" si="5"/>
        <v>20.056563944153293</v>
      </c>
      <c r="F96" s="74">
        <v>0</v>
      </c>
      <c r="G96" s="74">
        <v>0</v>
      </c>
      <c r="H96" s="74">
        <v>0</v>
      </c>
      <c r="I96" s="98">
        <f t="shared" si="8"/>
        <v>134962.3</v>
      </c>
      <c r="J96" s="98">
        <f t="shared" si="8"/>
        <v>27068.8</v>
      </c>
      <c r="K96" s="95">
        <f t="shared" si="9"/>
        <v>20.056563944153293</v>
      </c>
    </row>
    <row r="97" spans="1:11" ht="12.75">
      <c r="A97" s="101">
        <v>10</v>
      </c>
      <c r="B97" s="102" t="s">
        <v>174</v>
      </c>
      <c r="C97" s="103">
        <f>SUM(C98:C107)</f>
        <v>156317.1</v>
      </c>
      <c r="D97" s="103">
        <f>SUM(D98:D107)</f>
        <v>105251.09999999999</v>
      </c>
      <c r="E97" s="103">
        <f>D97/C97*100</f>
        <v>67.33178903651616</v>
      </c>
      <c r="F97" s="103">
        <f>SUM(F98:F105)</f>
        <v>172.8</v>
      </c>
      <c r="G97" s="103">
        <f>SUM(G98:G105)</f>
        <v>147.8</v>
      </c>
      <c r="H97" s="74">
        <f>G97/F97*100</f>
        <v>85.5324074074074</v>
      </c>
      <c r="I97" s="103">
        <f>SUM(I98:I107)</f>
        <v>156489.90000000002</v>
      </c>
      <c r="J97" s="103">
        <f>SUM(J98:J107)</f>
        <v>105398.9</v>
      </c>
      <c r="K97" s="95">
        <f t="shared" si="9"/>
        <v>67.35188660737849</v>
      </c>
    </row>
    <row r="98" spans="1:11" ht="12.75">
      <c r="A98" s="99">
        <v>1001</v>
      </c>
      <c r="B98" s="97" t="s">
        <v>175</v>
      </c>
      <c r="C98" s="73">
        <v>3415</v>
      </c>
      <c r="D98" s="73">
        <v>2677.4</v>
      </c>
      <c r="E98" s="73">
        <f t="shared" si="5"/>
        <v>78.40117130307466</v>
      </c>
      <c r="F98" s="74">
        <v>172.8</v>
      </c>
      <c r="G98" s="74">
        <v>147.8</v>
      </c>
      <c r="H98" s="74">
        <f>G98/F98*100</f>
        <v>85.5324074074074</v>
      </c>
      <c r="I98" s="98">
        <f t="shared" si="8"/>
        <v>3587.8</v>
      </c>
      <c r="J98" s="98">
        <f t="shared" si="8"/>
        <v>2825.2000000000003</v>
      </c>
      <c r="K98" s="95">
        <f t="shared" si="9"/>
        <v>78.74463459501645</v>
      </c>
    </row>
    <row r="99" spans="1:11" ht="22.5">
      <c r="A99" s="99">
        <v>1003</v>
      </c>
      <c r="B99" s="97" t="s">
        <v>177</v>
      </c>
      <c r="C99" s="73">
        <v>6964.1</v>
      </c>
      <c r="D99" s="73">
        <v>6184.3</v>
      </c>
      <c r="E99" s="73">
        <f t="shared" si="5"/>
        <v>88.80257319682372</v>
      </c>
      <c r="F99" s="74">
        <v>0</v>
      </c>
      <c r="G99" s="74">
        <v>0</v>
      </c>
      <c r="H99" s="74">
        <v>0</v>
      </c>
      <c r="I99" s="98">
        <f t="shared" si="8"/>
        <v>6964.1</v>
      </c>
      <c r="J99" s="98">
        <f t="shared" si="8"/>
        <v>6184.3</v>
      </c>
      <c r="K99" s="95">
        <f t="shared" si="9"/>
        <v>88.80257319682372</v>
      </c>
    </row>
    <row r="100" spans="1:11" ht="22.5">
      <c r="A100" s="99">
        <v>1003</v>
      </c>
      <c r="B100" s="97" t="s">
        <v>178</v>
      </c>
      <c r="C100" s="73">
        <v>12754.4</v>
      </c>
      <c r="D100" s="73">
        <v>4158.5</v>
      </c>
      <c r="E100" s="73">
        <f aca="true" t="shared" si="10" ref="E100:E118">D100/C100*100</f>
        <v>32.60443454807753</v>
      </c>
      <c r="F100" s="74">
        <v>0</v>
      </c>
      <c r="G100" s="74">
        <v>0</v>
      </c>
      <c r="H100" s="74">
        <v>0</v>
      </c>
      <c r="I100" s="98">
        <f t="shared" si="8"/>
        <v>12754.4</v>
      </c>
      <c r="J100" s="98">
        <f t="shared" si="8"/>
        <v>4158.5</v>
      </c>
      <c r="K100" s="95">
        <f t="shared" si="9"/>
        <v>32.60443454807753</v>
      </c>
    </row>
    <row r="101" spans="1:11" ht="22.5">
      <c r="A101" s="99">
        <v>1003</v>
      </c>
      <c r="B101" s="97" t="s">
        <v>179</v>
      </c>
      <c r="C101" s="73">
        <v>10694.9</v>
      </c>
      <c r="D101" s="73">
        <v>9000</v>
      </c>
      <c r="E101" s="73">
        <f t="shared" si="10"/>
        <v>84.15225948816726</v>
      </c>
      <c r="F101" s="74">
        <v>0</v>
      </c>
      <c r="G101" s="74">
        <v>0</v>
      </c>
      <c r="H101" s="74">
        <v>0</v>
      </c>
      <c r="I101" s="98">
        <f t="shared" si="8"/>
        <v>10694.9</v>
      </c>
      <c r="J101" s="98">
        <f t="shared" si="8"/>
        <v>9000</v>
      </c>
      <c r="K101" s="95">
        <f t="shared" si="9"/>
        <v>84.15225948816726</v>
      </c>
    </row>
    <row r="102" spans="1:11" ht="45">
      <c r="A102" s="99">
        <v>1004</v>
      </c>
      <c r="B102" s="97" t="s">
        <v>180</v>
      </c>
      <c r="C102" s="73">
        <v>12715</v>
      </c>
      <c r="D102" s="73">
        <v>9350.4</v>
      </c>
      <c r="E102" s="73">
        <f t="shared" si="10"/>
        <v>73.53834054266613</v>
      </c>
      <c r="F102" s="74">
        <v>0</v>
      </c>
      <c r="G102" s="74">
        <v>0</v>
      </c>
      <c r="H102" s="74">
        <v>0</v>
      </c>
      <c r="I102" s="98">
        <f t="shared" si="8"/>
        <v>12715</v>
      </c>
      <c r="J102" s="98">
        <f t="shared" si="8"/>
        <v>9350.4</v>
      </c>
      <c r="K102" s="95">
        <f t="shared" si="9"/>
        <v>73.53834054266613</v>
      </c>
    </row>
    <row r="103" spans="1:11" ht="33.75">
      <c r="A103" s="99">
        <v>1004</v>
      </c>
      <c r="B103" s="97" t="s">
        <v>211</v>
      </c>
      <c r="C103" s="73">
        <v>1758.5</v>
      </c>
      <c r="D103" s="73">
        <v>330.7</v>
      </c>
      <c r="E103" s="73">
        <f t="shared" si="10"/>
        <v>18.805800398066534</v>
      </c>
      <c r="F103" s="74">
        <v>0</v>
      </c>
      <c r="G103" s="74">
        <v>0</v>
      </c>
      <c r="H103" s="74">
        <v>0</v>
      </c>
      <c r="I103" s="98">
        <f t="shared" si="8"/>
        <v>1758.5</v>
      </c>
      <c r="J103" s="98">
        <f t="shared" si="8"/>
        <v>330.7</v>
      </c>
      <c r="K103" s="95">
        <f t="shared" si="9"/>
        <v>18.805800398066534</v>
      </c>
    </row>
    <row r="104" spans="1:11" ht="22.5">
      <c r="A104" s="99">
        <v>1004</v>
      </c>
      <c r="B104" s="97" t="s">
        <v>181</v>
      </c>
      <c r="C104" s="73">
        <v>64855</v>
      </c>
      <c r="D104" s="73">
        <v>50486.6</v>
      </c>
      <c r="E104" s="73">
        <f t="shared" si="10"/>
        <v>77.84534731323723</v>
      </c>
      <c r="F104" s="74">
        <v>0</v>
      </c>
      <c r="G104" s="74">
        <v>0</v>
      </c>
      <c r="H104" s="74">
        <v>0</v>
      </c>
      <c r="I104" s="98">
        <f t="shared" si="8"/>
        <v>64855</v>
      </c>
      <c r="J104" s="98">
        <f t="shared" si="8"/>
        <v>50486.6</v>
      </c>
      <c r="K104" s="95">
        <f t="shared" si="9"/>
        <v>77.84534731323723</v>
      </c>
    </row>
    <row r="105" spans="1:11" ht="12.75">
      <c r="A105" s="99">
        <v>1004</v>
      </c>
      <c r="B105" s="97" t="s">
        <v>176</v>
      </c>
      <c r="C105" s="73">
        <v>4585.9</v>
      </c>
      <c r="D105" s="73">
        <v>4408.6</v>
      </c>
      <c r="E105" s="73">
        <f t="shared" si="10"/>
        <v>96.13380143483288</v>
      </c>
      <c r="F105" s="74">
        <v>0</v>
      </c>
      <c r="G105" s="74">
        <v>0</v>
      </c>
      <c r="H105" s="74">
        <v>0</v>
      </c>
      <c r="I105" s="98">
        <f t="shared" si="8"/>
        <v>4585.9</v>
      </c>
      <c r="J105" s="98">
        <f t="shared" si="8"/>
        <v>4408.6</v>
      </c>
      <c r="K105" s="95">
        <f t="shared" si="9"/>
        <v>96.13380143483288</v>
      </c>
    </row>
    <row r="106" spans="1:11" ht="45">
      <c r="A106" s="99" t="s">
        <v>182</v>
      </c>
      <c r="B106" s="97" t="s">
        <v>213</v>
      </c>
      <c r="C106" s="73">
        <v>26017.1</v>
      </c>
      <c r="D106" s="73">
        <v>9966.7</v>
      </c>
      <c r="E106" s="73">
        <f>D106/C106*100</f>
        <v>38.308266486272494</v>
      </c>
      <c r="F106" s="74">
        <v>0</v>
      </c>
      <c r="G106" s="74">
        <v>0</v>
      </c>
      <c r="H106" s="74">
        <v>0</v>
      </c>
      <c r="I106" s="98">
        <f>C106+F106</f>
        <v>26017.1</v>
      </c>
      <c r="J106" s="98">
        <f>D106+G106</f>
        <v>9966.7</v>
      </c>
      <c r="K106" s="95">
        <f>J106/I106*100</f>
        <v>38.308266486272494</v>
      </c>
    </row>
    <row r="107" spans="1:11" ht="22.5">
      <c r="A107" s="99">
        <v>1006</v>
      </c>
      <c r="B107" s="97" t="s">
        <v>183</v>
      </c>
      <c r="C107" s="73">
        <v>12557.2</v>
      </c>
      <c r="D107" s="73">
        <v>8687.9</v>
      </c>
      <c r="E107" s="73">
        <f t="shared" si="10"/>
        <v>69.18660210875035</v>
      </c>
      <c r="F107" s="74">
        <v>0</v>
      </c>
      <c r="G107" s="74">
        <v>0</v>
      </c>
      <c r="H107" s="74">
        <v>0</v>
      </c>
      <c r="I107" s="98">
        <f t="shared" si="8"/>
        <v>12557.2</v>
      </c>
      <c r="J107" s="98">
        <f t="shared" si="8"/>
        <v>8687.9</v>
      </c>
      <c r="K107" s="95">
        <f t="shared" si="9"/>
        <v>69.18660210875035</v>
      </c>
    </row>
    <row r="108" spans="1:11" ht="12.75">
      <c r="A108" s="106">
        <v>1100</v>
      </c>
      <c r="B108" s="102" t="s">
        <v>184</v>
      </c>
      <c r="C108" s="103">
        <f>SUM(C109:C110)</f>
        <v>38103.5</v>
      </c>
      <c r="D108" s="103">
        <f>SUM(D109:D110)</f>
        <v>12542.599999999999</v>
      </c>
      <c r="E108" s="103">
        <f>D108/C108*100</f>
        <v>32.91718608526775</v>
      </c>
      <c r="F108" s="98">
        <f>F109+F110</f>
        <v>11369.7</v>
      </c>
      <c r="G108" s="98">
        <f>G109+G110</f>
        <v>7909.900000000001</v>
      </c>
      <c r="H108" s="74">
        <f>G108/F108*100</f>
        <v>69.56999744936103</v>
      </c>
      <c r="I108" s="98">
        <f>SUM(I109:I110)</f>
        <v>49263.2</v>
      </c>
      <c r="J108" s="98">
        <f>SUM(J109:J110)</f>
        <v>20242.5</v>
      </c>
      <c r="K108" s="95">
        <f t="shared" si="9"/>
        <v>41.09050975170107</v>
      </c>
    </row>
    <row r="109" spans="1:11" ht="12.75">
      <c r="A109" s="99">
        <v>1101</v>
      </c>
      <c r="B109" s="97" t="s">
        <v>185</v>
      </c>
      <c r="C109" s="73">
        <v>10921</v>
      </c>
      <c r="D109" s="73">
        <v>8333.9</v>
      </c>
      <c r="E109" s="73">
        <f t="shared" si="10"/>
        <v>76.31077740133688</v>
      </c>
      <c r="F109" s="74">
        <v>11159.7</v>
      </c>
      <c r="G109" s="74">
        <v>7759.6</v>
      </c>
      <c r="H109" s="74">
        <f>G109/F109*100</f>
        <v>69.53233509861376</v>
      </c>
      <c r="I109" s="98">
        <f t="shared" si="8"/>
        <v>22080.7</v>
      </c>
      <c r="J109" s="98">
        <f t="shared" si="8"/>
        <v>16093.5</v>
      </c>
      <c r="K109" s="95">
        <f t="shared" si="9"/>
        <v>72.88491759772108</v>
      </c>
    </row>
    <row r="110" spans="1:11" ht="12.75">
      <c r="A110" s="99">
        <v>1102</v>
      </c>
      <c r="B110" s="97" t="s">
        <v>186</v>
      </c>
      <c r="C110" s="73">
        <v>27182.5</v>
      </c>
      <c r="D110" s="73">
        <v>4208.7</v>
      </c>
      <c r="E110" s="73">
        <f t="shared" si="10"/>
        <v>15.483123333026763</v>
      </c>
      <c r="F110" s="74">
        <v>210</v>
      </c>
      <c r="G110" s="74">
        <v>150.3</v>
      </c>
      <c r="H110" s="74">
        <f>G110/F110*100</f>
        <v>71.57142857142857</v>
      </c>
      <c r="I110" s="98">
        <f>C110+F110-210</f>
        <v>27182.5</v>
      </c>
      <c r="J110" s="98">
        <f>D110+G110-210</f>
        <v>4149</v>
      </c>
      <c r="K110" s="95">
        <f t="shared" si="9"/>
        <v>15.263496735031731</v>
      </c>
    </row>
    <row r="111" spans="1:11" ht="12.75">
      <c r="A111" s="106">
        <v>1200</v>
      </c>
      <c r="B111" s="102" t="s">
        <v>187</v>
      </c>
      <c r="C111" s="103">
        <f>C113+C112</f>
        <v>9710</v>
      </c>
      <c r="D111" s="103">
        <f>D113+D112</f>
        <v>9710</v>
      </c>
      <c r="E111" s="103">
        <f>E113</f>
        <v>100</v>
      </c>
      <c r="F111" s="103">
        <f>F113+F112</f>
        <v>0</v>
      </c>
      <c r="G111" s="103">
        <f>G113+G112</f>
        <v>0</v>
      </c>
      <c r="H111" s="73">
        <f>H113</f>
        <v>0</v>
      </c>
      <c r="I111" s="103">
        <f t="shared" si="8"/>
        <v>9710</v>
      </c>
      <c r="J111" s="103">
        <f t="shared" si="8"/>
        <v>9710</v>
      </c>
      <c r="K111" s="100">
        <f t="shared" si="9"/>
        <v>100</v>
      </c>
    </row>
    <row r="112" spans="1:11" ht="12.75">
      <c r="A112" s="99" t="s">
        <v>188</v>
      </c>
      <c r="B112" s="97" t="s">
        <v>189</v>
      </c>
      <c r="C112" s="73">
        <v>3960</v>
      </c>
      <c r="D112" s="73">
        <v>3960</v>
      </c>
      <c r="E112" s="73">
        <f>D112/C112*100</f>
        <v>100</v>
      </c>
      <c r="F112" s="74">
        <v>0</v>
      </c>
      <c r="G112" s="74">
        <v>0</v>
      </c>
      <c r="H112" s="74">
        <v>0</v>
      </c>
      <c r="I112" s="98">
        <f>C112+F112</f>
        <v>3960</v>
      </c>
      <c r="J112" s="98">
        <f>D112+G112</f>
        <v>3960</v>
      </c>
      <c r="K112" s="95">
        <f>J112/I112*100</f>
        <v>100</v>
      </c>
    </row>
    <row r="113" spans="1:11" ht="12.75">
      <c r="A113" s="99">
        <v>1202</v>
      </c>
      <c r="B113" s="97" t="s">
        <v>190</v>
      </c>
      <c r="C113" s="73">
        <v>5750</v>
      </c>
      <c r="D113" s="73">
        <v>5750</v>
      </c>
      <c r="E113" s="73">
        <f t="shared" si="10"/>
        <v>100</v>
      </c>
      <c r="F113" s="74">
        <v>0</v>
      </c>
      <c r="G113" s="74">
        <v>0</v>
      </c>
      <c r="H113" s="74">
        <v>0</v>
      </c>
      <c r="I113" s="98">
        <f t="shared" si="8"/>
        <v>5750</v>
      </c>
      <c r="J113" s="98">
        <f t="shared" si="8"/>
        <v>5750</v>
      </c>
      <c r="K113" s="95">
        <f t="shared" si="9"/>
        <v>100</v>
      </c>
    </row>
    <row r="114" spans="1:11" ht="12.75">
      <c r="A114" s="106">
        <v>1300</v>
      </c>
      <c r="B114" s="102" t="s">
        <v>191</v>
      </c>
      <c r="C114" s="103">
        <f aca="true" t="shared" si="11" ref="C114:H114">C115</f>
        <v>1000</v>
      </c>
      <c r="D114" s="103">
        <f t="shared" si="11"/>
        <v>807.1</v>
      </c>
      <c r="E114" s="103">
        <f t="shared" si="11"/>
        <v>80.71000000000001</v>
      </c>
      <c r="F114" s="103">
        <f t="shared" si="11"/>
        <v>0</v>
      </c>
      <c r="G114" s="103">
        <f t="shared" si="11"/>
        <v>0</v>
      </c>
      <c r="H114" s="73">
        <f t="shared" si="11"/>
        <v>0</v>
      </c>
      <c r="I114" s="103">
        <f t="shared" si="8"/>
        <v>1000</v>
      </c>
      <c r="J114" s="103">
        <f t="shared" si="8"/>
        <v>807.1</v>
      </c>
      <c r="K114" s="100">
        <f t="shared" si="9"/>
        <v>80.71000000000001</v>
      </c>
    </row>
    <row r="115" spans="1:11" ht="22.5">
      <c r="A115" s="99">
        <v>1301</v>
      </c>
      <c r="B115" s="97" t="s">
        <v>192</v>
      </c>
      <c r="C115" s="73">
        <v>1000</v>
      </c>
      <c r="D115" s="73">
        <v>807.1</v>
      </c>
      <c r="E115" s="73">
        <f t="shared" si="10"/>
        <v>80.71000000000001</v>
      </c>
      <c r="F115" s="74"/>
      <c r="G115" s="74">
        <v>0</v>
      </c>
      <c r="H115" s="74">
        <v>0</v>
      </c>
      <c r="I115" s="98">
        <f t="shared" si="8"/>
        <v>1000</v>
      </c>
      <c r="J115" s="98">
        <f t="shared" si="8"/>
        <v>807.1</v>
      </c>
      <c r="K115" s="95">
        <f t="shared" si="9"/>
        <v>80.71000000000001</v>
      </c>
    </row>
    <row r="116" spans="1:11" ht="13.5" customHeight="1">
      <c r="A116" s="106">
        <v>1400</v>
      </c>
      <c r="B116" s="102" t="s">
        <v>193</v>
      </c>
      <c r="C116" s="103">
        <f>SUM(C117:C118)</f>
        <v>356012.2</v>
      </c>
      <c r="D116" s="103">
        <f>SUM(D117:D118)</f>
        <v>307825.9</v>
      </c>
      <c r="E116" s="103">
        <f>D116/C116*100</f>
        <v>86.46498631226683</v>
      </c>
      <c r="F116" s="98">
        <f>F117+F118+F119</f>
        <v>29548.3</v>
      </c>
      <c r="G116" s="98">
        <f>SUM(G117:G119)</f>
        <v>18663.8</v>
      </c>
      <c r="H116" s="98">
        <f>G116/F116*100</f>
        <v>63.16370146505891</v>
      </c>
      <c r="I116" s="98">
        <v>0</v>
      </c>
      <c r="J116" s="98">
        <v>0</v>
      </c>
      <c r="K116" s="95">
        <v>0</v>
      </c>
    </row>
    <row r="117" spans="1:11" ht="22.5">
      <c r="A117" s="99">
        <v>1401</v>
      </c>
      <c r="B117" s="97" t="s">
        <v>194</v>
      </c>
      <c r="C117" s="73">
        <v>100162.1</v>
      </c>
      <c r="D117" s="73">
        <v>85661.2</v>
      </c>
      <c r="E117" s="73">
        <f t="shared" si="10"/>
        <v>85.52256791740588</v>
      </c>
      <c r="F117" s="74">
        <v>0</v>
      </c>
      <c r="G117" s="74">
        <v>0</v>
      </c>
      <c r="H117" s="74">
        <v>0</v>
      </c>
      <c r="I117" s="98">
        <v>0</v>
      </c>
      <c r="J117" s="98">
        <v>0</v>
      </c>
      <c r="K117" s="95">
        <v>0</v>
      </c>
    </row>
    <row r="118" spans="1:11" ht="13.5" customHeight="1">
      <c r="A118" s="99">
        <v>1402</v>
      </c>
      <c r="B118" s="97" t="s">
        <v>195</v>
      </c>
      <c r="C118" s="73">
        <v>255850.1</v>
      </c>
      <c r="D118" s="73">
        <v>222164.7</v>
      </c>
      <c r="E118" s="73">
        <f t="shared" si="10"/>
        <v>86.83393127460181</v>
      </c>
      <c r="F118" s="74">
        <v>0</v>
      </c>
      <c r="G118" s="74">
        <v>0</v>
      </c>
      <c r="H118" s="74">
        <v>0</v>
      </c>
      <c r="I118" s="98">
        <v>0</v>
      </c>
      <c r="J118" s="98">
        <v>0</v>
      </c>
      <c r="K118" s="95">
        <v>0</v>
      </c>
    </row>
    <row r="119" spans="1:11" ht="12.75">
      <c r="A119" s="99">
        <v>1403</v>
      </c>
      <c r="B119" s="97" t="s">
        <v>196</v>
      </c>
      <c r="C119" s="73"/>
      <c r="D119" s="73"/>
      <c r="E119" s="73">
        <v>0</v>
      </c>
      <c r="F119" s="74">
        <v>29548.3</v>
      </c>
      <c r="G119" s="74">
        <v>18663.8</v>
      </c>
      <c r="H119" s="74">
        <f>G119/F119*100</f>
        <v>63.16370146505891</v>
      </c>
      <c r="I119" s="98">
        <v>0</v>
      </c>
      <c r="J119" s="98">
        <v>0</v>
      </c>
      <c r="K119" s="95">
        <v>0</v>
      </c>
    </row>
    <row r="120" spans="1:11" ht="13.5" customHeight="1" thickBot="1">
      <c r="A120" s="185" t="s">
        <v>197</v>
      </c>
      <c r="B120" s="186"/>
      <c r="C120" s="143">
        <f>C9+C17+C19+C24+C42+C70+C72+C84+C91+C97+C108+C111+C114+C116</f>
        <v>4487167.699999999</v>
      </c>
      <c r="D120" s="143">
        <f>D116+D114+D111+D108+D97+D91+D84+D72+D70+D42+D24+D19+D17+D9</f>
        <v>2860471.2</v>
      </c>
      <c r="E120" s="143">
        <f>D120/C120*100</f>
        <v>63.747811342107866</v>
      </c>
      <c r="F120" s="143">
        <f>F9+F17+F19+F24+F42+F70+F72+F84+F91+F97+F108+F111+F114+F116</f>
        <v>691564.9</v>
      </c>
      <c r="G120" s="143">
        <f>G116+G114+G111+G97+G91+G84+G72+G42+G24+G20+G17+G9+G19+G108</f>
        <v>491519.00000000006</v>
      </c>
      <c r="H120" s="144">
        <f>G120/F120*100</f>
        <v>71.07344516761913</v>
      </c>
      <c r="I120" s="143">
        <f>I116+I114+I111+I108+I97+I91+I84+I72+I70+I42+I24+I19+I17+I9</f>
        <v>4604568.399999999</v>
      </c>
      <c r="J120" s="143">
        <f>J116+J114+J111+J108+J97+J91+J84+J72+J70+J42+J24+J19+J17+J9</f>
        <v>2848425.4000000004</v>
      </c>
      <c r="K120" s="145">
        <f t="shared" si="9"/>
        <v>61.86085540612234</v>
      </c>
    </row>
    <row r="121" spans="1:11" ht="12.75">
      <c r="A121" s="75"/>
      <c r="B121" s="76"/>
      <c r="C121" s="77"/>
      <c r="D121" s="68"/>
      <c r="E121" s="78"/>
      <c r="F121" s="69"/>
      <c r="G121" s="70"/>
      <c r="H121" s="70"/>
      <c r="I121" s="72"/>
      <c r="J121" s="72"/>
      <c r="K121" s="72"/>
    </row>
    <row r="122" spans="1:11" ht="12.75" customHeight="1">
      <c r="A122" s="79"/>
      <c r="B122" s="80"/>
      <c r="C122" s="81"/>
      <c r="D122" s="82"/>
      <c r="E122" s="78"/>
      <c r="F122" s="69"/>
      <c r="G122" s="70"/>
      <c r="H122" s="70"/>
      <c r="I122" s="71"/>
      <c r="J122" s="71"/>
      <c r="K122" s="72"/>
    </row>
    <row r="123" spans="1:11" ht="13.5" customHeight="1">
      <c r="A123" s="79"/>
      <c r="B123" s="80"/>
      <c r="C123" s="81"/>
      <c r="D123" s="82"/>
      <c r="E123" s="78"/>
      <c r="F123" s="69"/>
      <c r="G123" s="70"/>
      <c r="H123" s="70"/>
      <c r="I123" s="71"/>
      <c r="J123" s="71"/>
      <c r="K123" s="72"/>
    </row>
    <row r="124" spans="1:11" ht="12.75" customHeight="1">
      <c r="A124" s="79"/>
      <c r="B124" s="80"/>
      <c r="C124" s="81"/>
      <c r="D124" s="82"/>
      <c r="E124" s="78"/>
      <c r="F124" s="69"/>
      <c r="G124" s="70"/>
      <c r="H124" s="70"/>
      <c r="I124" s="71"/>
      <c r="J124" s="71"/>
      <c r="K124" s="72"/>
    </row>
    <row r="125" spans="1:11" ht="12.75" customHeight="1">
      <c r="A125" s="79"/>
      <c r="B125" s="80"/>
      <c r="C125" s="81"/>
      <c r="D125" s="82"/>
      <c r="E125" s="78"/>
      <c r="F125" s="69"/>
      <c r="G125" s="70"/>
      <c r="H125" s="70"/>
      <c r="I125" s="71"/>
      <c r="J125" s="71"/>
      <c r="K125" s="72"/>
    </row>
    <row r="126" spans="1:11" ht="12.75" customHeight="1">
      <c r="A126" s="165" t="s">
        <v>203</v>
      </c>
      <c r="B126" s="165"/>
      <c r="C126" s="165"/>
      <c r="D126" s="69"/>
      <c r="E126" s="70"/>
      <c r="F126" s="70"/>
      <c r="G126" s="70"/>
      <c r="H126" s="70"/>
      <c r="I126" s="72"/>
      <c r="J126" s="72"/>
      <c r="K126" s="72"/>
    </row>
    <row r="127" spans="1:11" ht="13.5" customHeight="1">
      <c r="A127" s="165" t="s">
        <v>204</v>
      </c>
      <c r="B127" s="165"/>
      <c r="C127" s="165"/>
      <c r="D127" s="83"/>
      <c r="E127" s="167" t="s">
        <v>205</v>
      </c>
      <c r="F127" s="167"/>
      <c r="G127" s="70"/>
      <c r="H127" s="70"/>
      <c r="I127" s="71"/>
      <c r="J127" s="72"/>
      <c r="K127" s="72"/>
    </row>
    <row r="128" spans="1:11" ht="12.75">
      <c r="A128" s="84"/>
      <c r="B128" s="76"/>
      <c r="C128" s="77"/>
      <c r="D128" s="68"/>
      <c r="E128" s="85"/>
      <c r="F128" s="86"/>
      <c r="G128" s="70"/>
      <c r="H128" s="70"/>
      <c r="I128" s="71"/>
      <c r="J128" s="72"/>
      <c r="K128" s="72"/>
    </row>
    <row r="129" spans="1:11" ht="12.75" customHeight="1">
      <c r="A129" s="165" t="s">
        <v>237</v>
      </c>
      <c r="B129" s="165"/>
      <c r="C129" s="165"/>
      <c r="D129" s="87"/>
      <c r="E129" s="167" t="s">
        <v>198</v>
      </c>
      <c r="F129" s="167"/>
      <c r="G129" s="70"/>
      <c r="H129" s="70"/>
      <c r="I129" s="71"/>
      <c r="J129" s="72"/>
      <c r="K129" s="72"/>
    </row>
    <row r="130" spans="1:11" ht="12.75">
      <c r="A130" s="84"/>
      <c r="B130" s="80"/>
      <c r="C130" s="81"/>
      <c r="D130" s="82"/>
      <c r="E130" s="85"/>
      <c r="F130" s="86"/>
      <c r="G130" s="70"/>
      <c r="H130" s="70"/>
      <c r="I130" s="71"/>
      <c r="J130" s="72"/>
      <c r="K130" s="72"/>
    </row>
    <row r="131" spans="1:11" ht="12.75" customHeight="1">
      <c r="A131" s="165" t="s">
        <v>242</v>
      </c>
      <c r="B131" s="165"/>
      <c r="C131" s="165"/>
      <c r="D131" s="87"/>
      <c r="E131" s="166" t="s">
        <v>243</v>
      </c>
      <c r="F131" s="166"/>
      <c r="G131" s="70"/>
      <c r="H131" s="70"/>
      <c r="I131" s="71"/>
      <c r="J131" s="72"/>
      <c r="K131" s="72"/>
    </row>
    <row r="132" spans="1:11" ht="12.75">
      <c r="A132" s="88"/>
      <c r="B132" s="89"/>
      <c r="C132" s="90"/>
      <c r="D132" s="69"/>
      <c r="E132" s="69"/>
      <c r="F132" s="70"/>
      <c r="G132" s="70"/>
      <c r="H132" s="70"/>
      <c r="I132" s="72"/>
      <c r="J132" s="72"/>
      <c r="K132" s="72"/>
    </row>
    <row r="133" spans="3:5" ht="12.75" customHeight="1">
      <c r="C133" s="93" t="s">
        <v>244</v>
      </c>
      <c r="D133" t="s">
        <v>245</v>
      </c>
      <c r="E133" s="94" t="s">
        <v>246</v>
      </c>
    </row>
    <row r="134" ht="12.75" customHeight="1"/>
    <row r="136" ht="12.75">
      <c r="B136" s="89" t="s">
        <v>258</v>
      </c>
    </row>
    <row r="137" spans="1:11" ht="12.75">
      <c r="A137" s="84"/>
      <c r="B137" s="80"/>
      <c r="C137" s="81"/>
      <c r="D137" s="82"/>
      <c r="E137" s="85"/>
      <c r="F137" s="86"/>
      <c r="G137" s="70"/>
      <c r="H137" s="70"/>
      <c r="I137" s="71"/>
      <c r="J137" s="72"/>
      <c r="K137" s="72"/>
    </row>
    <row r="138" spans="1:11" ht="12.75">
      <c r="A138" s="165"/>
      <c r="B138" s="165"/>
      <c r="C138" s="165"/>
      <c r="D138" s="82"/>
      <c r="E138" s="166"/>
      <c r="F138" s="166"/>
      <c r="G138" s="70"/>
      <c r="H138" s="70"/>
      <c r="I138" s="71"/>
      <c r="J138" s="72"/>
      <c r="K138" s="72"/>
    </row>
    <row r="139" spans="1:11" ht="12.75">
      <c r="A139" s="88"/>
      <c r="B139" s="89"/>
      <c r="C139" s="90"/>
      <c r="D139" s="82"/>
      <c r="E139" s="69"/>
      <c r="F139" s="70"/>
      <c r="G139" s="70"/>
      <c r="H139" s="70"/>
      <c r="I139" s="72"/>
      <c r="J139" s="72"/>
      <c r="K139" s="72"/>
    </row>
    <row r="140" ht="12.75">
      <c r="D140" s="91"/>
    </row>
  </sheetData>
  <sheetProtection/>
  <mergeCells count="37">
    <mergeCell ref="E131:F131"/>
    <mergeCell ref="E129:F129"/>
    <mergeCell ref="A127:C127"/>
    <mergeCell ref="A1:K1"/>
    <mergeCell ref="A3:A8"/>
    <mergeCell ref="B3:B5"/>
    <mergeCell ref="C3:E3"/>
    <mergeCell ref="F3:H3"/>
    <mergeCell ref="I3:K3"/>
    <mergeCell ref="D4:D5"/>
    <mergeCell ref="C4:C5"/>
    <mergeCell ref="H4:H5"/>
    <mergeCell ref="I4:I5"/>
    <mergeCell ref="J4:J5"/>
    <mergeCell ref="E4:E5"/>
    <mergeCell ref="F4:F5"/>
    <mergeCell ref="K4:K5"/>
    <mergeCell ref="A138:C138"/>
    <mergeCell ref="E138:F138"/>
    <mergeCell ref="E127:F127"/>
    <mergeCell ref="A129:C129"/>
    <mergeCell ref="G19:G20"/>
    <mergeCell ref="G4:G5"/>
    <mergeCell ref="B6:K8"/>
    <mergeCell ref="A120:B120"/>
    <mergeCell ref="A126:C126"/>
    <mergeCell ref="A131:C131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F19:F2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1</cp:lastModifiedBy>
  <cp:lastPrinted>2012-03-20T11:39:48Z</cp:lastPrinted>
  <dcterms:created xsi:type="dcterms:W3CDTF">2006-05-12T06:58:42Z</dcterms:created>
  <dcterms:modified xsi:type="dcterms:W3CDTF">2012-11-21T09:16:19Z</dcterms:modified>
  <cp:category/>
  <cp:version/>
  <cp:contentType/>
  <cp:contentStatus/>
</cp:coreProperties>
</file>