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tabRatio="601" activeTab="0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<sst xmlns="http://schemas.openxmlformats.org/spreadsheetml/2006/main" count="635" uniqueCount="248">
  <si>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</si>
  <si>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</si>
  <si>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</si>
  <si>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</si>
  <si>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</si>
  <si>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</si>
  <si>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</si>
  <si>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</si>
  <si>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</si>
  <si>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</si>
  <si>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</si>
  <si>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</si>
  <si>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</si>
  <si>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</si>
  <si>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</si>
  <si>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</si>
  <si>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</si>
  <si>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</si>
  <si>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</si>
  <si>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</si>
  <si>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</si>
  <si>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</si>
  <si>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 xml:space="preserve">Налоги на прибыль, доходы </t>
  </si>
  <si>
    <t>00010100000000000000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</si>
  <si>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</si>
  <si>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</si>
  <si>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</si>
  <si>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</si>
  <si>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</si>
  <si>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</si>
  <si>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</si>
  <si>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</si>
  <si>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</si>
  <si>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</si>
  <si>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</si>
  <si>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</si>
  <si>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</si>
  <si>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</si>
  <si>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</si>
  <si>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</si>
  <si>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</si>
  <si>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</si>
  <si>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</si>
  <si>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</si>
  <si>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</si>
  <si>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</si>
  <si>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</si>
  <si>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112</t>
  </si>
  <si>
    <t>111</t>
  </si>
  <si>
    <t>108</t>
  </si>
  <si>
    <t>116</t>
  </si>
  <si>
    <t>202</t>
  </si>
  <si>
    <t>207</t>
  </si>
  <si>
    <t>114</t>
  </si>
  <si>
    <t>101</t>
  </si>
  <si>
    <t>105</t>
  </si>
  <si>
    <t>106</t>
  </si>
  <si>
    <t xml:space="preserve"> -</t>
  </si>
  <si>
    <t>113</t>
  </si>
  <si>
    <t>контроль</t>
  </si>
  <si>
    <t>00011500000000000000</t>
  </si>
  <si>
    <t>Административные платежи и сборы</t>
  </si>
  <si>
    <t>=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</si>
  <si>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</si>
  <si>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</si>
  <si>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00021800000000000151</t>
  </si>
  <si>
    <t>00021900000000000000</t>
  </si>
  <si>
    <t>00020200000000000000</t>
  </si>
  <si>
    <t>НАЛОГОВЫЕ И НЕНАЛОГОВЫЕ ДОХОДЫ</t>
  </si>
  <si>
    <t>(тыс.руб.)</t>
  </si>
  <si>
    <t>00010300000000000000</t>
  </si>
  <si>
    <t>Акцизы</t>
  </si>
  <si>
    <t>1 квартал</t>
  </si>
  <si>
    <t>2 квартал</t>
  </si>
  <si>
    <t>3 квартал</t>
  </si>
  <si>
    <t>4 квартал</t>
  </si>
  <si>
    <t>Исполнение на 01.02.2015</t>
  </si>
  <si>
    <t>Исполнение на 01.02.2016</t>
  </si>
  <si>
    <t>Исполнение на 01.02.2017</t>
  </si>
  <si>
    <t>Исполнение на 01.02.2018</t>
  </si>
  <si>
    <t>Исполнение на 01.02.2019</t>
  </si>
  <si>
    <t>План на 2017 год первоначальный</t>
  </si>
  <si>
    <t>План на 2017 год уточненный</t>
  </si>
  <si>
    <t xml:space="preserve">% исп-ия к уточненному плану на 2017год </t>
  </si>
  <si>
    <t xml:space="preserve">% исп-ия к первонач. плану на 2017год </t>
  </si>
  <si>
    <t>План                 на 9 месяцев 2017 года</t>
  </si>
  <si>
    <t>00021800000000000000</t>
  </si>
  <si>
    <t>Доходы бюджетов бюджетной системы от возврата бюджетами бюджетной системы РФ и организациями остатков субсидий,субвенций и иных межбюджетных трансфертов,  имеющих целевое назначение прошлых лет</t>
  </si>
  <si>
    <t>Отчет об исполнении консолидированного бюджета Октябрьского района по состоянию на 01.11.2017</t>
  </si>
  <si>
    <t>Исполнение на 01.11.2017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</si>
  <si>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</si>
  <si>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</si>
  <si>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</si>
  <si>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</si>
  <si>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</si>
  <si>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</si>
  <si>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% исполнения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</si>
  <si>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</si>
  <si>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</si>
  <si>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</si>
  <si>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</si>
  <si>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</si>
  <si>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</si>
  <si>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</si>
  <si>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</si>
  <si>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</si>
  <si>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</si>
  <si>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</si>
  <si>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</si>
  <si>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</si>
  <si>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</si>
  <si>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</si>
  <si>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</si>
  <si>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</si>
  <si>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</si>
  <si>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</si>
  <si>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</si>
  <si>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</si>
  <si>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</si>
  <si>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</si>
  <si>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</si>
  <si>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</si>
  <si>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</si>
  <si>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</si>
  <si>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</si>
  <si>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</si>
  <si>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</si>
  <si>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</si>
  <si>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</si>
  <si>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</si>
  <si>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</si>
  <si>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</si>
  <si>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</si>
  <si>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</si>
  <si>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(1140161100 - район, 4030061100 -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</si>
  <si>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</si>
  <si>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</si>
  <si>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 на 2014-2016  годы" (11101S2390)</t>
  </si>
  <si>
    <t>Муниципальная  программа" Развитие транспортной  системы муниципального  образования Октябрьский  район на 2014-2016  годы"  (1110182390) окружные средства</t>
  </si>
  <si>
    <t>Строительство и реконструкция, капитальный ремонт, ремонт  объектов муниципальной собственности  муниципальной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(1500299990)</t>
  </si>
  <si>
    <t>Содержание автомобильных дорог общего пользования (1110199990) т.с.01.03.01 (дорожный фонд)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</si>
  <si>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</si>
  <si>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</si>
  <si>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</si>
  <si>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</si>
  <si>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Реализация мероприятий муниципальной  программы "Управление  муниципальной  собственностью Октябрьского района на 2014 – 2020 годы" земля (1800299990)</t>
  </si>
  <si>
    <t>Реализация мероприятий муниципальной программы "Поддержка малого и среднего предпринимательства в Октябрьском районе на 2014-2020 годы" (0800299990, 0800199990) местный бюджет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</si>
  <si>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"Развитие  информационного  общества  Октябрьского  района" муниципальной  программы "Развитие  информационного  и гражданского  общества  Октябрьского  района на 2014-2016 годы " (1700182370, 17001S2370)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</si>
  <si>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 на 2014-2020 годы" (0800282380, 0800182380) окружной бюджет</t>
  </si>
  <si>
    <t>Осуществление полномочий по государственному управлению охраной труда (1910184120) тс. 01.30.39</t>
  </si>
  <si>
    <t>Осуществление полномочий по государственному управлению охраной труда (1910199990) местный бюджет</t>
  </si>
  <si>
    <t>Реализация  мероприятий  муниципальной  программы "Осуществление поселком городского  типа функций  административного  центра  муниципального  образования Октябрьский  район на 2014-2016 годы "  (1500199990)</t>
  </si>
  <si>
    <t>05</t>
  </si>
  <si>
    <t>Жилищно-коммунальное хозяйство</t>
  </si>
  <si>
    <t>0501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</si>
  <si>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(0910182172, 09101S2172) 01.40.36 и 01.02.00</t>
  </si>
  <si>
    <t xml:space="preserve"> "Управление и распоряжение  муниципальным  имуществом муниципального  образования Октябрьский  район" (1800199990)</t>
  </si>
  <si>
    <t>Снос приспособленных для проживания строений (0910342110)</t>
  </si>
  <si>
    <t>Капитальный ремонт жилого фонда (40600S2420,  40600S2430, 4060099990) средства поселений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</si>
  <si>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</si>
  <si>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(водоснабжение, водоотведение, услуги бани)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</si>
  <si>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(теплоснабжение)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</si>
  <si>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</si>
  <si>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(1020182240) окружной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</si>
  <si>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годы" (1020184230)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</si>
  <si>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""Развитие  жилищно-коммунального   комплекса и повышение  энергетической  эффективности в  муниципальном  образовании Октябрьский  район на 2014-2020 годы" (1010182190) ОЗП доля поселения 10101S2190</t>
  </si>
  <si>
    <t>Иные межбюджетные трансферты для компенсации дополнительных расходов, возникших в результате решений, принятых органами власти другого уровня (1020185150)</t>
  </si>
  <si>
    <t>Реконструкция  объектов коммунальной инфраструктуры (1010142110) местный бюджет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</si>
  <si>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(4060061100, 40600221400, 4060021410)</t>
  </si>
  <si>
    <t>Подготовка к зиме (4060099990)</t>
  </si>
  <si>
    <t>Проектирование и строительство систем инженерной инфракструктуры в целях обеспечения инженерной подготовки земельных участков для жилищного строительства (0910442110)</t>
  </si>
  <si>
    <t>0503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</si>
  <si>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(150019990)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</si>
  <si>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</si>
  <si>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(10601R555F)</t>
  </si>
  <si>
    <t>Внешнее благоустройство (4060099990)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</si>
  <si>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</si>
  <si>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</si>
  <si>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</si>
  <si>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</si>
  <si>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</si>
  <si>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</si>
  <si>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</si>
  <si>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</si>
  <si>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</si>
  <si>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</si>
  <si>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(0140482030, 01404S2030) 01.40.18 и местн.</t>
  </si>
  <si>
    <t>0702</t>
  </si>
  <si>
    <t>Общее образование</t>
  </si>
  <si>
    <t>Бесплатное питание (0140284030, 0140282460)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</si>
  <si>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(0140482030) 01.40.18 и местн.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</si>
  <si>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</si>
  <si>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</si>
  <si>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</si>
  <si>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</si>
  <si>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</si>
  <si>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</si>
  <si>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</si>
  <si>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</si>
  <si>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</si>
  <si>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</si>
  <si>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Субсидии на реализацию подпрограммы "Обеспечение прав граждан на доступ к культурным ценностям и информации" муниципальной  программы "Культура Октябрьского  района на 2014-2020 годы" (0360182100) строительство объектов</t>
  </si>
  <si>
    <t>Подпрограмма "Библиотечное дело" (0310182520, 03101S2520)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</si>
  <si>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</si>
  <si>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</si>
  <si>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</si>
  <si>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</si>
  <si>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</si>
  <si>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</si>
  <si>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0909</t>
  </si>
  <si>
    <t>Бюджетные инвестиции в объекты капитального строительства государственной собственности субъектов РФ (1800582010)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</si>
  <si>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</si>
  <si>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</si>
  <si>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</t>
  </si>
  <si>
    <t>1003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</si>
  <si>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(0910382173, 09103S2173)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</si>
  <si>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 в рамках подпрограммы "Обеспечение мерами государственной поддержки по улучшению жилищных условий отдельных категорий граждан на 2014-2020 годы" государственной программы "Обеспечение доступным и комфортным жильем жителей ХМАО-Югры в 2014-2020 годах" за счет средств бюджета автономного округа (09201R0200 о/б, 0920150200 ф/б, 09201S0200 доля)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</si>
  <si>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</si>
  <si>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</si>
  <si>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</si>
  <si>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 на 2014-2020 годы" за счет средств автономного округа (13101R0820)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</si>
  <si>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</si>
  <si>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</si>
  <si>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</si>
  <si>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</si>
  <si>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</si>
  <si>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1201</t>
  </si>
  <si>
    <t>Телевидение и радиовещание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</si>
  <si>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</si>
  <si>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</si>
  <si>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</si>
  <si>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</si>
  <si>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</si>
  <si>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</si>
  <si>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</si>
  <si>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</si>
  <si>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</si>
  <si>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</si>
  <si>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</si>
  <si>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Заворотынская Н.А.</t>
  </si>
  <si>
    <t>Заведующий бюджетным отделом</t>
  </si>
  <si>
    <t>Агеева Н.В.</t>
  </si>
  <si>
    <t>Заведующий отделом  доходов</t>
  </si>
  <si>
    <t>Мартюшова О.Г.</t>
  </si>
  <si>
    <t>Отчет  об  исполнении  консолидированного  бюджета  района  по  расходам на 1 ноября 2017 года</t>
  </si>
  <si>
    <t>исполнение на 01.11.2017</t>
  </si>
  <si>
    <t>исполнения на 01.11.2017</t>
  </si>
  <si>
    <t>Субсидии на реализацию подпрограммы "Градостроительная деятельность" программы "Обеспечение доступным и комфортным жильем жителей муниципального образования Октябрьский район на 2014-2016 годы"(0910299990) местный бюджет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</si>
</sst>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_-* #,##0.0_р_._-;\-* #,##0.0_р_._-;_-* &quot;-&quot;?_р_._-;_-@_-"/>
  </numFmts>
  <fonts count="59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6" fontId="7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176" fontId="7" fillId="0" borderId="0" xfId="0" applyNumberFormat="1" applyFont="1" applyFill="1" applyAlignment="1">
      <alignment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176" fontId="5" fillId="0" borderId="16" xfId="0" applyNumberFormat="1" applyFont="1" applyFill="1" applyBorder="1" applyAlignment="1">
      <alignment horizontal="right" vertical="top"/>
    </xf>
    <xf numFmtId="176" fontId="5" fillId="0" borderId="16" xfId="0" applyNumberFormat="1" applyFont="1" applyFill="1" applyBorder="1" applyAlignment="1">
      <alignment vertical="top"/>
    </xf>
    <xf numFmtId="49" fontId="2" fillId="0" borderId="15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 shrinkToFit="1"/>
    </xf>
    <xf numFmtId="176" fontId="5" fillId="0" borderId="14" xfId="0" applyNumberFormat="1" applyFont="1" applyFill="1" applyBorder="1" applyAlignment="1">
      <alignment horizontal="right" vertical="top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176" fontId="4" fillId="0" borderId="16" xfId="0" applyNumberFormat="1" applyFont="1" applyFill="1" applyBorder="1" applyAlignment="1">
      <alignment vertical="top"/>
    </xf>
    <xf numFmtId="49" fontId="1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/>
    </xf>
    <xf numFmtId="176" fontId="4" fillId="0" borderId="14" xfId="0" applyNumberFormat="1" applyFont="1" applyFill="1" applyBorder="1" applyAlignment="1">
      <alignment horizontal="right" vertical="top"/>
    </xf>
    <xf numFmtId="0" fontId="2" fillId="0" borderId="16" xfId="0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/>
    </xf>
    <xf numFmtId="176" fontId="1" fillId="0" borderId="16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vertical="top"/>
    </xf>
    <xf numFmtId="49" fontId="1" fillId="0" borderId="16" xfId="0" applyNumberFormat="1" applyFont="1" applyFill="1" applyBorder="1" applyAlignment="1">
      <alignment horizontal="center" vertical="top" wrapText="1"/>
    </xf>
    <xf numFmtId="176" fontId="4" fillId="0" borderId="16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vertical="top" wrapText="1"/>
    </xf>
    <xf numFmtId="176" fontId="5" fillId="0" borderId="14" xfId="0" applyNumberFormat="1" applyFont="1" applyFill="1" applyBorder="1" applyAlignment="1">
      <alignment vertical="top"/>
    </xf>
    <xf numFmtId="176" fontId="2" fillId="0" borderId="16" xfId="0" applyNumberFormat="1" applyFont="1" applyFill="1" applyBorder="1" applyAlignment="1">
      <alignment horizontal="right" vertical="top" wrapText="1"/>
    </xf>
    <xf numFmtId="176" fontId="4" fillId="0" borderId="12" xfId="0" applyNumberFormat="1" applyFont="1" applyFill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177" fontId="5" fillId="0" borderId="16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176" fontId="2" fillId="0" borderId="16" xfId="0" applyNumberFormat="1" applyFont="1" applyFill="1" applyBorder="1" applyAlignment="1">
      <alignment horizontal="righ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176" fontId="5" fillId="0" borderId="11" xfId="0" applyNumberFormat="1" applyFont="1" applyFill="1" applyBorder="1" applyAlignment="1">
      <alignment horizontal="right" vertical="top"/>
    </xf>
    <xf numFmtId="0" fontId="4" fillId="0" borderId="16" xfId="0" applyFont="1" applyFill="1" applyBorder="1" applyAlignment="1">
      <alignment horizontal="left" vertical="top"/>
    </xf>
    <xf numFmtId="0" fontId="5" fillId="0" borderId="0" xfId="0" applyFont="1" applyFill="1" applyAlignment="1">
      <alignment vertical="top"/>
    </xf>
    <xf numFmtId="176" fontId="5" fillId="0" borderId="0" xfId="0" applyNumberFormat="1" applyFont="1" applyFill="1" applyAlignment="1">
      <alignment vertical="top"/>
    </xf>
    <xf numFmtId="0" fontId="5" fillId="0" borderId="16" xfId="0" applyFont="1" applyFill="1" applyBorder="1" applyAlignment="1">
      <alignment vertical="top"/>
    </xf>
    <xf numFmtId="0" fontId="0" fillId="33" borderId="0" xfId="0" applyFill="1" applyAlignment="1">
      <alignment horizontal="right"/>
    </xf>
    <xf numFmtId="176" fontId="2" fillId="0" borderId="16" xfId="0" applyNumberFormat="1" applyFont="1" applyFill="1" applyBorder="1" applyAlignment="1">
      <alignment vertical="top" wrapText="1"/>
    </xf>
    <xf numFmtId="176" fontId="2" fillId="0" borderId="16" xfId="0" applyNumberFormat="1" applyFont="1" applyFill="1" applyBorder="1" applyAlignment="1">
      <alignment vertical="top"/>
    </xf>
    <xf numFmtId="176" fontId="2" fillId="0" borderId="16" xfId="0" applyNumberFormat="1" applyFont="1" applyFill="1" applyBorder="1" applyAlignment="1">
      <alignment vertical="top" wrapText="1" shrinkToFit="1"/>
    </xf>
    <xf numFmtId="176" fontId="2" fillId="0" borderId="14" xfId="0" applyNumberFormat="1" applyFont="1" applyFill="1" applyBorder="1" applyAlignment="1">
      <alignment vertical="top" wrapText="1"/>
    </xf>
    <xf numFmtId="176" fontId="2" fillId="0" borderId="16" xfId="0" applyNumberFormat="1" applyFont="1" applyFill="1" applyBorder="1" applyAlignment="1">
      <alignment horizontal="right" vertical="top" wrapText="1" shrinkToFit="1"/>
    </xf>
    <xf numFmtId="176" fontId="2" fillId="0" borderId="14" xfId="0" applyNumberFormat="1" applyFont="1" applyFill="1" applyBorder="1" applyAlignment="1">
      <alignment horizontal="right" vertical="top" wrapText="1"/>
    </xf>
    <xf numFmtId="176" fontId="1" fillId="0" borderId="17" xfId="0" applyNumberFormat="1" applyFont="1" applyFill="1" applyBorder="1" applyAlignment="1">
      <alignment horizontal="right" vertical="top" wrapText="1"/>
    </xf>
    <xf numFmtId="176" fontId="2" fillId="0" borderId="16" xfId="0" applyNumberFormat="1" applyFont="1" applyFill="1" applyBorder="1" applyAlignment="1">
      <alignment horizontal="right" vertical="top"/>
    </xf>
    <xf numFmtId="176" fontId="2" fillId="0" borderId="15" xfId="0" applyNumberFormat="1" applyFont="1" applyFill="1" applyBorder="1" applyAlignment="1">
      <alignment horizontal="right" vertical="top" wrapText="1"/>
    </xf>
    <xf numFmtId="176" fontId="1" fillId="0" borderId="16" xfId="0" applyNumberFormat="1" applyFont="1" applyFill="1" applyBorder="1" applyAlignment="1">
      <alignment vertical="top" wrapText="1"/>
    </xf>
    <xf numFmtId="176" fontId="0" fillId="0" borderId="0" xfId="0" applyNumberFormat="1" applyFill="1" applyAlignment="1">
      <alignment vertical="top" wrapText="1"/>
    </xf>
    <xf numFmtId="49" fontId="2" fillId="0" borderId="16" xfId="0" applyNumberFormat="1" applyFont="1" applyFill="1" applyBorder="1" applyAlignment="1">
      <alignment vertical="top" wrapText="1"/>
    </xf>
    <xf numFmtId="4" fontId="2" fillId="0" borderId="15" xfId="0" applyNumberFormat="1" applyFont="1" applyFill="1" applyBorder="1" applyAlignment="1">
      <alignment vertical="top" wrapText="1"/>
    </xf>
    <xf numFmtId="4" fontId="2" fillId="0" borderId="15" xfId="0" applyNumberFormat="1" applyFont="1" applyFill="1" applyBorder="1" applyAlignment="1">
      <alignment vertical="top" wrapText="1" shrinkToFit="1"/>
    </xf>
    <xf numFmtId="4" fontId="2" fillId="0" borderId="16" xfId="0" applyNumberFormat="1" applyFont="1" applyFill="1" applyBorder="1" applyAlignment="1">
      <alignment horizontal="right" vertical="top" wrapText="1"/>
    </xf>
    <xf numFmtId="4" fontId="2" fillId="0" borderId="16" xfId="0" applyNumberFormat="1" applyFont="1" applyFill="1" applyBorder="1" applyAlignment="1">
      <alignment horizontal="right" vertical="top"/>
    </xf>
    <xf numFmtId="176" fontId="2" fillId="0" borderId="15" xfId="0" applyNumberFormat="1" applyFont="1" applyFill="1" applyBorder="1" applyAlignment="1">
      <alignment vertical="top" wrapText="1"/>
    </xf>
    <xf numFmtId="176" fontId="1" fillId="0" borderId="16" xfId="0" applyNumberFormat="1" applyFont="1" applyFill="1" applyBorder="1" applyAlignment="1">
      <alignment vertical="top"/>
    </xf>
    <xf numFmtId="4" fontId="0" fillId="0" borderId="0" xfId="0" applyNumberFormat="1" applyFill="1" applyAlignment="1">
      <alignment vertical="top" wrapText="1"/>
    </xf>
    <xf numFmtId="0" fontId="2" fillId="0" borderId="15" xfId="0" applyFont="1" applyFill="1" applyBorder="1" applyAlignment="1">
      <alignment vertical="justify"/>
    </xf>
    <xf numFmtId="176" fontId="4" fillId="0" borderId="17" xfId="0" applyNumberFormat="1" applyFont="1" applyFill="1" applyBorder="1" applyAlignment="1">
      <alignment vertical="top"/>
    </xf>
    <xf numFmtId="176" fontId="5" fillId="0" borderId="17" xfId="0" applyNumberFormat="1" applyFont="1" applyFill="1" applyBorder="1" applyAlignment="1">
      <alignment vertical="top"/>
    </xf>
    <xf numFmtId="0" fontId="0" fillId="0" borderId="12" xfId="0" applyFill="1" applyBorder="1" applyAlignment="1">
      <alignment/>
    </xf>
    <xf numFmtId="176" fontId="0" fillId="0" borderId="12" xfId="0" applyNumberFormat="1" applyFill="1" applyBorder="1" applyAlignment="1">
      <alignment/>
    </xf>
    <xf numFmtId="0" fontId="4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/>
    </xf>
    <xf numFmtId="176" fontId="4" fillId="0" borderId="18" xfId="0" applyNumberFormat="1" applyFont="1" applyFill="1" applyBorder="1" applyAlignment="1">
      <alignment horizontal="center" vertical="top"/>
    </xf>
    <xf numFmtId="176" fontId="4" fillId="0" borderId="19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170" fontId="2" fillId="0" borderId="10" xfId="42" applyFont="1" applyFill="1" applyBorder="1" applyAlignment="1">
      <alignment horizontal="center" vertical="top" wrapText="1"/>
    </xf>
    <xf numFmtId="170" fontId="2" fillId="0" borderId="18" xfId="42" applyFont="1" applyFill="1" applyBorder="1" applyAlignment="1">
      <alignment horizontal="center" vertical="top" wrapText="1"/>
    </xf>
    <xf numFmtId="170" fontId="2" fillId="0" borderId="19" xfId="42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25" fillId="0" borderId="0" xfId="53" applyNumberFormat="1" applyFont="1" applyAlignment="1">
      <alignment horizontal="center" vertical="center" wrapText="1"/>
      <protection/>
    </xf>
    <xf numFmtId="49" fontId="26" fillId="0" borderId="0" xfId="53" applyNumberFormat="1" applyFont="1" applyAlignment="1">
      <alignment horizontal="center" vertical="center" wrapText="1"/>
      <protection/>
    </xf>
    <xf numFmtId="0" fontId="26" fillId="0" borderId="0" xfId="53" applyNumberFormat="1" applyFont="1" applyAlignment="1">
      <alignment horizontal="left" vertical="center" wrapText="1"/>
      <protection/>
    </xf>
    <xf numFmtId="184" fontId="57" fillId="0" borderId="0" xfId="53" applyNumberFormat="1" applyFont="1" applyFill="1" applyAlignment="1">
      <alignment horizontal="center" vertical="center" wrapText="1"/>
      <protection/>
    </xf>
    <xf numFmtId="184" fontId="28" fillId="0" borderId="0" xfId="53" applyNumberFormat="1" applyFont="1" applyFill="1" applyBorder="1" applyAlignment="1">
      <alignment horizontal="center" vertical="center" wrapText="1"/>
      <protection/>
    </xf>
    <xf numFmtId="184" fontId="28" fillId="0" borderId="0" xfId="53" applyNumberFormat="1" applyFont="1" applyFill="1" applyAlignment="1">
      <alignment horizontal="center" vertical="center" wrapText="1"/>
      <protection/>
    </xf>
    <xf numFmtId="184" fontId="28" fillId="0" borderId="0" xfId="0" applyNumberFormat="1" applyFont="1" applyFill="1" applyAlignment="1">
      <alignment horizontal="center" vertical="center" wrapText="1"/>
    </xf>
    <xf numFmtId="184" fontId="28" fillId="0" borderId="0" xfId="0" applyNumberFormat="1" applyFont="1" applyAlignment="1">
      <alignment horizontal="center" vertical="center" wrapText="1"/>
    </xf>
    <xf numFmtId="184" fontId="29" fillId="0" borderId="0" xfId="0" applyNumberFormat="1" applyFont="1" applyFill="1" applyAlignment="1">
      <alignment horizontal="center" vertical="center" wrapText="1"/>
    </xf>
    <xf numFmtId="184" fontId="29" fillId="0" borderId="0" xfId="0" applyNumberFormat="1" applyFont="1" applyAlignment="1">
      <alignment horizontal="center" vertical="center" wrapText="1"/>
    </xf>
    <xf numFmtId="49" fontId="30" fillId="0" borderId="22" xfId="53" applyNumberFormat="1" applyFont="1" applyBorder="1" applyAlignment="1">
      <alignment horizontal="center" vertical="center" wrapText="1"/>
      <protection/>
    </xf>
    <xf numFmtId="0" fontId="30" fillId="0" borderId="23" xfId="53" applyNumberFormat="1" applyFont="1" applyBorder="1" applyAlignment="1">
      <alignment horizontal="center" vertical="center" wrapText="1"/>
      <protection/>
    </xf>
    <xf numFmtId="184" fontId="31" fillId="0" borderId="23" xfId="53" applyNumberFormat="1" applyFont="1" applyFill="1" applyBorder="1" applyAlignment="1">
      <alignment horizontal="center" vertical="center" wrapText="1"/>
      <protection/>
    </xf>
    <xf numFmtId="184" fontId="31" fillId="0" borderId="23" xfId="0" applyNumberFormat="1" applyFont="1" applyBorder="1" applyAlignment="1">
      <alignment horizontal="center" vertical="center" wrapText="1"/>
    </xf>
    <xf numFmtId="184" fontId="32" fillId="0" borderId="23" xfId="0" applyNumberFormat="1" applyFont="1" applyFill="1" applyBorder="1" applyAlignment="1">
      <alignment horizontal="center" vertical="center" wrapText="1"/>
    </xf>
    <xf numFmtId="184" fontId="32" fillId="0" borderId="24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Border="1" applyAlignment="1">
      <alignment horizontal="center" vertical="center" wrapText="1"/>
      <protection/>
    </xf>
    <xf numFmtId="0" fontId="30" fillId="0" borderId="16" xfId="53" applyNumberFormat="1" applyFont="1" applyBorder="1" applyAlignment="1">
      <alignment horizontal="center" vertical="center" wrapText="1"/>
      <protection/>
    </xf>
    <xf numFmtId="184" fontId="31" fillId="0" borderId="16" xfId="53" applyNumberFormat="1" applyFont="1" applyFill="1" applyBorder="1" applyAlignment="1">
      <alignment horizontal="center" vertical="center" wrapText="1"/>
      <protection/>
    </xf>
    <xf numFmtId="184" fontId="31" fillId="0" borderId="16" xfId="53" applyNumberFormat="1" applyFont="1" applyBorder="1" applyAlignment="1">
      <alignment horizontal="center" vertical="center" wrapText="1"/>
      <protection/>
    </xf>
    <xf numFmtId="184" fontId="32" fillId="0" borderId="16" xfId="53" applyNumberFormat="1" applyFont="1" applyFill="1" applyBorder="1" applyAlignment="1">
      <alignment horizontal="center" vertical="center" wrapText="1"/>
      <protection/>
    </xf>
    <xf numFmtId="184" fontId="32" fillId="0" borderId="16" xfId="53" applyNumberFormat="1" applyFont="1" applyBorder="1" applyAlignment="1">
      <alignment horizontal="center" vertical="center" wrapText="1"/>
      <protection/>
    </xf>
    <xf numFmtId="184" fontId="32" fillId="0" borderId="26" xfId="53" applyNumberFormat="1" applyFont="1" applyBorder="1" applyAlignment="1">
      <alignment horizontal="center" vertical="center" wrapText="1"/>
      <protection/>
    </xf>
    <xf numFmtId="184" fontId="31" fillId="0" borderId="16" xfId="0" applyNumberFormat="1" applyFont="1" applyBorder="1" applyAlignment="1">
      <alignment horizontal="center" vertical="center" wrapText="1"/>
    </xf>
    <xf numFmtId="184" fontId="33" fillId="0" borderId="16" xfId="0" applyNumberFormat="1" applyFont="1" applyBorder="1" applyAlignment="1">
      <alignment horizontal="center" vertical="center"/>
    </xf>
    <xf numFmtId="184" fontId="32" fillId="0" borderId="16" xfId="0" applyNumberFormat="1" applyFont="1" applyBorder="1" applyAlignment="1">
      <alignment horizontal="center" vertical="center" wrapText="1"/>
    </xf>
    <xf numFmtId="184" fontId="32" fillId="0" borderId="26" xfId="0" applyNumberFormat="1" applyFont="1" applyBorder="1" applyAlignment="1">
      <alignment horizontal="center" vertical="center" wrapText="1"/>
    </xf>
    <xf numFmtId="0" fontId="34" fillId="0" borderId="16" xfId="53" applyNumberFormat="1" applyFont="1" applyFill="1" applyBorder="1" applyAlignment="1">
      <alignment horizontal="center" vertical="center" wrapText="1"/>
      <protection/>
    </xf>
    <xf numFmtId="0" fontId="34" fillId="0" borderId="26" xfId="53" applyNumberFormat="1" applyFont="1" applyFill="1" applyBorder="1" applyAlignment="1">
      <alignment horizontal="center" vertical="center" wrapText="1"/>
      <protection/>
    </xf>
    <xf numFmtId="49" fontId="34" fillId="34" borderId="25" xfId="53" applyNumberFormat="1" applyFont="1" applyFill="1" applyBorder="1" applyAlignment="1" quotePrefix="1">
      <alignment horizontal="center" vertical="center" wrapText="1"/>
      <protection/>
    </xf>
    <xf numFmtId="0" fontId="34" fillId="34" borderId="16" xfId="53" applyNumberFormat="1" applyFont="1" applyFill="1" applyBorder="1" applyAlignment="1">
      <alignment horizontal="left" vertical="center" wrapText="1"/>
      <protection/>
    </xf>
    <xf numFmtId="184" fontId="32" fillId="34" borderId="16" xfId="53" applyNumberFormat="1" applyFont="1" applyFill="1" applyBorder="1" applyAlignment="1">
      <alignment horizontal="center" vertical="center" wrapText="1"/>
      <protection/>
    </xf>
    <xf numFmtId="184" fontId="31" fillId="34" borderId="16" xfId="0" applyNumberFormat="1" applyFont="1" applyFill="1" applyBorder="1" applyAlignment="1">
      <alignment horizontal="center" vertical="center" wrapText="1"/>
    </xf>
    <xf numFmtId="184" fontId="32" fillId="34" borderId="26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Fill="1" applyBorder="1" applyAlignment="1" quotePrefix="1">
      <alignment horizontal="center" vertical="center" wrapText="1"/>
      <protection/>
    </xf>
    <xf numFmtId="0" fontId="30" fillId="0" borderId="16" xfId="53" applyNumberFormat="1" applyFont="1" applyFill="1" applyBorder="1" applyAlignment="1">
      <alignment horizontal="left" vertical="center" wrapText="1"/>
      <protection/>
    </xf>
    <xf numFmtId="184" fontId="31" fillId="0" borderId="16" xfId="53" applyNumberFormat="1" applyFont="1" applyFill="1" applyBorder="1" applyAlignment="1">
      <alignment horizontal="center" vertical="center" wrapText="1"/>
      <protection/>
    </xf>
    <xf numFmtId="184" fontId="31" fillId="0" borderId="16" xfId="0" applyNumberFormat="1" applyFont="1" applyFill="1" applyBorder="1" applyAlignment="1">
      <alignment horizontal="center" vertical="center" wrapText="1"/>
    </xf>
    <xf numFmtId="184" fontId="32" fillId="0" borderId="16" xfId="0" applyNumberFormat="1" applyFont="1" applyFill="1" applyBorder="1" applyAlignment="1">
      <alignment horizontal="center" vertical="center" wrapText="1"/>
    </xf>
    <xf numFmtId="184" fontId="32" fillId="0" borderId="16" xfId="0" applyNumberFormat="1" applyFont="1" applyBorder="1" applyAlignment="1">
      <alignment horizontal="center" vertical="center" wrapText="1"/>
    </xf>
    <xf numFmtId="184" fontId="32" fillId="0" borderId="26" xfId="0" applyNumberFormat="1" applyFont="1" applyFill="1" applyBorder="1" applyAlignment="1">
      <alignment horizontal="center" vertical="center" wrapText="1"/>
    </xf>
    <xf numFmtId="0" fontId="32" fillId="0" borderId="26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Fill="1" applyBorder="1" applyAlignment="1">
      <alignment horizontal="center" vertical="center" wrapText="1"/>
      <protection/>
    </xf>
    <xf numFmtId="184" fontId="31" fillId="34" borderId="16" xfId="53" applyNumberFormat="1" applyFont="1" applyFill="1" applyBorder="1" applyAlignment="1">
      <alignment horizontal="center" vertical="center" wrapText="1"/>
      <protection/>
    </xf>
    <xf numFmtId="184" fontId="32" fillId="34" borderId="26" xfId="53" applyNumberFormat="1" applyFont="1" applyFill="1" applyBorder="1" applyAlignment="1">
      <alignment horizontal="center" vertical="center" wrapText="1"/>
      <protection/>
    </xf>
    <xf numFmtId="49" fontId="34" fillId="34" borderId="25" xfId="53" applyNumberFormat="1" applyFont="1" applyFill="1" applyBorder="1" applyAlignment="1" quotePrefix="1">
      <alignment horizontal="center" vertical="center" wrapText="1"/>
      <protection/>
    </xf>
    <xf numFmtId="0" fontId="34" fillId="34" borderId="16" xfId="53" applyNumberFormat="1" applyFont="1" applyFill="1" applyBorder="1" applyAlignment="1">
      <alignment horizontal="left" vertical="center" wrapText="1"/>
      <protection/>
    </xf>
    <xf numFmtId="184" fontId="32" fillId="35" borderId="16" xfId="53" applyNumberFormat="1" applyFont="1" applyFill="1" applyBorder="1" applyAlignment="1">
      <alignment horizontal="center" vertical="center" wrapText="1"/>
      <protection/>
    </xf>
    <xf numFmtId="0" fontId="30" fillId="33" borderId="16" xfId="53" applyNumberFormat="1" applyFont="1" applyFill="1" applyBorder="1" applyAlignment="1">
      <alignment horizontal="left" vertical="center" wrapText="1"/>
      <protection/>
    </xf>
    <xf numFmtId="184" fontId="32" fillId="36" borderId="16" xfId="0" applyNumberFormat="1" applyFont="1" applyFill="1" applyBorder="1" applyAlignment="1">
      <alignment horizontal="center" vertical="center" wrapText="1"/>
    </xf>
    <xf numFmtId="0" fontId="31" fillId="0" borderId="16" xfId="52" applyNumberFormat="1" applyFont="1" applyFill="1" applyBorder="1" applyAlignment="1" applyProtection="1">
      <alignment horizontal="left" vertical="center" wrapText="1"/>
      <protection hidden="1"/>
    </xf>
    <xf numFmtId="184" fontId="31" fillId="36" borderId="16" xfId="0" applyNumberFormat="1" applyFont="1" applyFill="1" applyBorder="1" applyAlignment="1">
      <alignment horizontal="center" vertical="center" wrapText="1"/>
    </xf>
    <xf numFmtId="184" fontId="31" fillId="36" borderId="16" xfId="53" applyNumberFormat="1" applyFont="1" applyFill="1" applyBorder="1" applyAlignment="1">
      <alignment horizontal="center" vertical="center" wrapText="1"/>
      <protection/>
    </xf>
    <xf numFmtId="184" fontId="32" fillId="35" borderId="16" xfId="53" applyNumberFormat="1" applyFont="1" applyFill="1" applyBorder="1" applyAlignment="1">
      <alignment horizontal="center" vertical="center" wrapText="1"/>
      <protection/>
    </xf>
    <xf numFmtId="184" fontId="32" fillId="34" borderId="16" xfId="0" applyNumberFormat="1" applyFont="1" applyFill="1" applyBorder="1" applyAlignment="1">
      <alignment horizontal="center" vertical="center" wrapText="1"/>
    </xf>
    <xf numFmtId="0" fontId="36" fillId="0" borderId="16" xfId="53" applyNumberFormat="1" applyFont="1" applyFill="1" applyBorder="1" applyAlignment="1">
      <alignment horizontal="left" vertical="center" wrapText="1"/>
      <protection/>
    </xf>
    <xf numFmtId="177" fontId="32" fillId="0" borderId="26" xfId="0" applyNumberFormat="1" applyFont="1" applyFill="1" applyBorder="1" applyAlignment="1">
      <alignment horizontal="center" vertical="center" wrapText="1"/>
    </xf>
    <xf numFmtId="49" fontId="34" fillId="34" borderId="25" xfId="53" applyNumberFormat="1" applyFont="1" applyFill="1" applyBorder="1" applyAlignment="1">
      <alignment horizontal="center" vertical="center" wrapText="1"/>
      <protection/>
    </xf>
    <xf numFmtId="0" fontId="34" fillId="34" borderId="16" xfId="0" applyNumberFormat="1" applyFont="1" applyFill="1" applyBorder="1" applyAlignment="1">
      <alignment horizontal="left" vertical="center" wrapText="1"/>
    </xf>
    <xf numFmtId="0" fontId="30" fillId="0" borderId="16" xfId="0" applyNumberFormat="1" applyFont="1" applyFill="1" applyBorder="1" applyAlignment="1">
      <alignment horizontal="left" vertical="center" wrapText="1"/>
    </xf>
    <xf numFmtId="0" fontId="31" fillId="0" borderId="16" xfId="53" applyNumberFormat="1" applyFont="1" applyFill="1" applyBorder="1" applyAlignment="1">
      <alignment horizontal="left" vertical="center" wrapText="1"/>
      <protection/>
    </xf>
    <xf numFmtId="49" fontId="31" fillId="0" borderId="25" xfId="53" applyNumberFormat="1" applyFont="1" applyFill="1" applyBorder="1" applyAlignment="1">
      <alignment horizontal="center" vertical="center" wrapText="1"/>
      <protection/>
    </xf>
    <xf numFmtId="184" fontId="31" fillId="35" borderId="16" xfId="53" applyNumberFormat="1" applyFont="1" applyFill="1" applyBorder="1" applyAlignment="1">
      <alignment horizontal="center" vertical="center" wrapText="1"/>
      <protection/>
    </xf>
    <xf numFmtId="184" fontId="31" fillId="35" borderId="16" xfId="0" applyNumberFormat="1" applyFont="1" applyFill="1" applyBorder="1" applyAlignment="1">
      <alignment horizontal="center" vertical="center" wrapText="1"/>
    </xf>
    <xf numFmtId="0" fontId="37" fillId="6" borderId="27" xfId="53" applyNumberFormat="1" applyFont="1" applyFill="1" applyBorder="1" applyAlignment="1">
      <alignment horizontal="center" vertical="center" wrapText="1"/>
      <protection/>
    </xf>
    <xf numFmtId="0" fontId="37" fillId="6" borderId="28" xfId="53" applyNumberFormat="1" applyFont="1" applyFill="1" applyBorder="1" applyAlignment="1">
      <alignment horizontal="center" vertical="center" wrapText="1"/>
      <protection/>
    </xf>
    <xf numFmtId="49" fontId="26" fillId="0" borderId="0" xfId="53" applyNumberFormat="1" applyFont="1" applyFill="1" applyBorder="1" applyAlignment="1">
      <alignment horizontal="center" vertical="center" wrapText="1"/>
      <protection/>
    </xf>
    <xf numFmtId="0" fontId="26" fillId="0" borderId="0" xfId="53" applyNumberFormat="1" applyFont="1" applyFill="1" applyBorder="1" applyAlignment="1">
      <alignment horizontal="left" vertical="center" wrapText="1"/>
      <protection/>
    </xf>
    <xf numFmtId="184" fontId="57" fillId="0" borderId="0" xfId="53" applyNumberFormat="1" applyFont="1" applyFill="1" applyBorder="1" applyAlignment="1">
      <alignment horizontal="center" vertical="center" wrapText="1"/>
      <protection/>
    </xf>
    <xf numFmtId="184" fontId="29" fillId="0" borderId="0" xfId="53" applyNumberFormat="1" applyFont="1" applyFill="1" applyBorder="1" applyAlignment="1">
      <alignment horizontal="center" vertical="center" wrapText="1"/>
      <protection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left" vertical="center" wrapText="1"/>
    </xf>
    <xf numFmtId="184" fontId="57" fillId="0" borderId="0" xfId="0" applyNumberFormat="1" applyFont="1" applyFill="1" applyBorder="1" applyAlignment="1">
      <alignment horizontal="center" vertical="center" wrapText="1"/>
    </xf>
    <xf numFmtId="184" fontId="28" fillId="0" borderId="0" xfId="0" applyNumberFormat="1" applyFont="1" applyFill="1" applyBorder="1" applyAlignment="1">
      <alignment horizontal="center" vertical="center" wrapText="1"/>
    </xf>
    <xf numFmtId="0" fontId="36" fillId="0" borderId="0" xfId="53" applyNumberFormat="1" applyFont="1" applyFill="1" applyBorder="1" applyAlignment="1">
      <alignment horizontal="right" vertical="center" wrapText="1"/>
      <protection/>
    </xf>
    <xf numFmtId="184" fontId="38" fillId="0" borderId="0" xfId="0" applyNumberFormat="1" applyFont="1" applyFill="1" applyAlignment="1">
      <alignment horizontal="center" vertical="center" wrapText="1"/>
    </xf>
    <xf numFmtId="184" fontId="38" fillId="0" borderId="0" xfId="0" applyNumberFormat="1" applyFont="1" applyAlignment="1">
      <alignment horizontal="center" vertical="center" wrapText="1"/>
    </xf>
    <xf numFmtId="184" fontId="38" fillId="0" borderId="15" xfId="53" applyNumberFormat="1" applyFont="1" applyFill="1" applyBorder="1" applyAlignment="1">
      <alignment horizontal="center" vertical="center" wrapText="1"/>
      <protection/>
    </xf>
    <xf numFmtId="184" fontId="38" fillId="0" borderId="0" xfId="53" applyNumberFormat="1" applyFont="1" applyFill="1" applyBorder="1" applyAlignment="1">
      <alignment horizontal="left" vertical="center" wrapText="1"/>
      <protection/>
    </xf>
    <xf numFmtId="49" fontId="36" fillId="0" borderId="0" xfId="0" applyNumberFormat="1" applyFont="1" applyFill="1" applyBorder="1" applyAlignment="1">
      <alignment horizontal="right" vertical="center" wrapText="1"/>
    </xf>
    <xf numFmtId="0" fontId="36" fillId="0" borderId="0" xfId="53" applyNumberFormat="1" applyFont="1" applyFill="1" applyBorder="1" applyAlignment="1">
      <alignment horizontal="left" vertical="center" wrapText="1"/>
      <protection/>
    </xf>
    <xf numFmtId="184" fontId="58" fillId="0" borderId="0" xfId="53" applyNumberFormat="1" applyFont="1" applyFill="1" applyBorder="1" applyAlignment="1">
      <alignment horizontal="center" vertical="center" wrapText="1"/>
      <protection/>
    </xf>
    <xf numFmtId="184" fontId="38" fillId="0" borderId="0" xfId="53" applyNumberFormat="1" applyFont="1" applyFill="1" applyBorder="1" applyAlignment="1">
      <alignment horizontal="center" vertical="center" wrapText="1"/>
      <protection/>
    </xf>
    <xf numFmtId="184" fontId="38" fillId="0" borderId="0" xfId="0" applyNumberFormat="1" applyFont="1" applyFill="1" applyBorder="1" applyAlignment="1">
      <alignment horizontal="left" vertical="center" wrapText="1"/>
    </xf>
    <xf numFmtId="184" fontId="38" fillId="0" borderId="0" xfId="0" applyNumberFormat="1" applyFont="1" applyFill="1" applyAlignment="1">
      <alignment horizontal="left" vertical="center" wrapText="1"/>
    </xf>
    <xf numFmtId="184" fontId="38" fillId="0" borderId="15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left" vertical="center" wrapText="1"/>
    </xf>
    <xf numFmtId="184" fontId="58" fillId="0" borderId="0" xfId="0" applyNumberFormat="1" applyFont="1" applyFill="1" applyBorder="1" applyAlignment="1">
      <alignment horizontal="center" vertical="center" wrapText="1"/>
    </xf>
    <xf numFmtId="184" fontId="38" fillId="0" borderId="0" xfId="0" applyNumberFormat="1" applyFont="1" applyFill="1" applyBorder="1" applyAlignment="1">
      <alignment horizontal="center" vertical="center" wrapText="1"/>
    </xf>
    <xf numFmtId="184" fontId="38" fillId="0" borderId="0" xfId="0" applyNumberFormat="1" applyFont="1" applyFill="1" applyBorder="1" applyAlignment="1">
      <alignment horizontal="left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184" fontId="58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0" fontId="38" fillId="0" borderId="0" xfId="0" applyFont="1" applyAlignment="1">
      <alignment/>
    </xf>
    <xf numFmtId="184" fontId="32" fillId="6" borderId="28" xfId="53" applyNumberFormat="1" applyFont="1" applyFill="1" applyBorder="1" applyAlignment="1">
      <alignment horizontal="center" vertical="center" wrapText="1"/>
      <protection/>
    </xf>
    <xf numFmtId="184" fontId="32" fillId="6" borderId="28" xfId="0" applyNumberFormat="1" applyFont="1" applyFill="1" applyBorder="1" applyAlignment="1">
      <alignment horizontal="center" vertical="center" wrapText="1"/>
    </xf>
    <xf numFmtId="184" fontId="32" fillId="6" borderId="2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6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245" sqref="D245:R245"/>
    </sheetView>
  </sheetViews>
  <sheetFormatPr defaultColWidth="9.00390625" defaultRowHeight="12.75" outlineLevelCol="1"/>
  <cols>
    <col min="1" max="1" width="21.25390625" style="1" customWidth="1"/>
    <col min="2" max="2" width="6.75390625" style="1" hidden="1" customWidth="1"/>
    <col min="3" max="3" width="56.375" style="1" customWidth="1"/>
    <col min="4" max="4" width="12.625" style="1" customWidth="1"/>
    <col min="5" max="5" width="11.875" style="1" customWidth="1"/>
    <col min="6" max="6" width="11.875" style="1" hidden="1" customWidth="1"/>
    <col min="7" max="7" width="13.375" style="1" hidden="1" customWidth="1"/>
    <col min="8" max="8" width="11.00390625" style="1" hidden="1" customWidth="1"/>
    <col min="9" max="9" width="9.875" style="1" hidden="1" customWidth="1"/>
    <col min="10" max="10" width="9.75390625" style="1" hidden="1" customWidth="1" outlineLevel="1"/>
    <col min="11" max="11" width="11.00390625" style="1" customWidth="1" collapsed="1"/>
    <col min="12" max="12" width="10.25390625" style="1" hidden="1" customWidth="1"/>
    <col min="13" max="13" width="7.00390625" style="1" hidden="1" customWidth="1"/>
    <col min="14" max="14" width="9.125" style="1" hidden="1" customWidth="1"/>
    <col min="15" max="15" width="14.25390625" style="1" hidden="1" customWidth="1"/>
    <col min="16" max="16" width="7.25390625" style="1" hidden="1" customWidth="1"/>
    <col min="17" max="17" width="10.125" style="1" customWidth="1"/>
    <col min="18" max="18" width="9.375" style="1" customWidth="1"/>
    <col min="19" max="19" width="15.375" style="1" customWidth="1"/>
    <col min="20" max="16384" width="9.125" style="1" customWidth="1"/>
  </cols>
  <sheetData>
    <row r="1" spans="1:18" ht="12.75">
      <c r="A1" s="114" t="s">
        <v>88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3" ht="9.7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1"/>
      <c r="B3" s="11"/>
      <c r="C3" s="12"/>
      <c r="D3" s="12"/>
      <c r="E3" s="12"/>
      <c r="F3" s="12"/>
      <c r="G3" s="12"/>
      <c r="H3" s="12"/>
      <c r="I3" s="13"/>
      <c r="J3" s="13"/>
      <c r="K3" s="72" t="s">
        <v>69</v>
      </c>
      <c r="L3" s="13"/>
      <c r="M3" s="13"/>
    </row>
    <row r="4" spans="1:18" ht="12.75" customHeight="1">
      <c r="A4" s="14" t="s">
        <v>41</v>
      </c>
      <c r="B4" s="14"/>
      <c r="C4" s="15"/>
      <c r="D4" s="97" t="s">
        <v>81</v>
      </c>
      <c r="E4" s="97" t="s">
        <v>82</v>
      </c>
      <c r="F4" s="97" t="s">
        <v>85</v>
      </c>
      <c r="G4" s="108" t="s">
        <v>72</v>
      </c>
      <c r="H4" s="108" t="s">
        <v>73</v>
      </c>
      <c r="I4" s="108" t="s">
        <v>74</v>
      </c>
      <c r="J4" s="108" t="s">
        <v>75</v>
      </c>
      <c r="K4" s="97" t="s">
        <v>89</v>
      </c>
      <c r="L4" s="97" t="s">
        <v>76</v>
      </c>
      <c r="M4" s="97" t="s">
        <v>77</v>
      </c>
      <c r="N4" s="97" t="s">
        <v>78</v>
      </c>
      <c r="O4" s="97" t="s">
        <v>79</v>
      </c>
      <c r="P4" s="97" t="s">
        <v>80</v>
      </c>
      <c r="Q4" s="97" t="s">
        <v>84</v>
      </c>
      <c r="R4" s="97" t="s">
        <v>83</v>
      </c>
    </row>
    <row r="5" spans="1:18" ht="27.75" customHeight="1">
      <c r="A5" s="16" t="s">
        <v>46</v>
      </c>
      <c r="B5" s="16"/>
      <c r="C5" s="17" t="s">
        <v>16</v>
      </c>
      <c r="D5" s="98"/>
      <c r="E5" s="98"/>
      <c r="F5" s="98"/>
      <c r="G5" s="109"/>
      <c r="H5" s="109"/>
      <c r="I5" s="109"/>
      <c r="J5" s="109"/>
      <c r="K5" s="98"/>
      <c r="L5" s="98"/>
      <c r="M5" s="98"/>
      <c r="N5" s="98"/>
      <c r="O5" s="98"/>
      <c r="P5" s="98"/>
      <c r="Q5" s="98"/>
      <c r="R5" s="98"/>
    </row>
    <row r="6" spans="1:18" ht="39.75" customHeight="1">
      <c r="A6" s="16"/>
      <c r="B6" s="16"/>
      <c r="C6" s="17"/>
      <c r="D6" s="99"/>
      <c r="E6" s="99"/>
      <c r="F6" s="99"/>
      <c r="G6" s="110"/>
      <c r="H6" s="110"/>
      <c r="I6" s="110"/>
      <c r="J6" s="110"/>
      <c r="K6" s="99"/>
      <c r="L6" s="99"/>
      <c r="M6" s="99"/>
      <c r="N6" s="99"/>
      <c r="O6" s="99"/>
      <c r="P6" s="99"/>
      <c r="Q6" s="99"/>
      <c r="R6" s="99"/>
    </row>
    <row r="7" spans="1:16" ht="12.75">
      <c r="A7" s="100" t="s">
        <v>24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1:18" ht="12.75">
      <c r="A8" s="45" t="s">
        <v>3</v>
      </c>
      <c r="B8" s="45"/>
      <c r="C8" s="68" t="s">
        <v>68</v>
      </c>
      <c r="D8" s="46">
        <f aca="true" t="shared" si="0" ref="D8:J8">D9+D11+D12+D13+D15+D16+D18+D20+D14+D21+D17+D19+D10</f>
        <v>723280.9</v>
      </c>
      <c r="E8" s="46">
        <f t="shared" si="0"/>
        <v>767174.6000000001</v>
      </c>
      <c r="F8" s="46">
        <f t="shared" si="0"/>
        <v>570108.7999999998</v>
      </c>
      <c r="G8" s="46">
        <f t="shared" si="0"/>
        <v>208612.00000000003</v>
      </c>
      <c r="H8" s="46">
        <f t="shared" si="0"/>
        <v>198285.7</v>
      </c>
      <c r="I8" s="46">
        <f t="shared" si="0"/>
        <v>163211.1</v>
      </c>
      <c r="J8" s="46">
        <f t="shared" si="0"/>
        <v>182322.09999999998</v>
      </c>
      <c r="K8" s="46">
        <f>K9+K11+K12+K13+K15+K16+K18+K20+K14+K21+K17+K19+K10</f>
        <v>659856.3</v>
      </c>
      <c r="L8" s="46" t="e">
        <f>L9+L11+L12+L13+L15+L16+L18+L20+L14+L21+L17+L19</f>
        <v>#REF!</v>
      </c>
      <c r="M8" s="46">
        <f aca="true" t="shared" si="1" ref="M8:M20">K8/I8*100</f>
        <v>404.2962151471316</v>
      </c>
      <c r="N8" s="71"/>
      <c r="O8" s="71"/>
      <c r="P8" s="46">
        <f>K8*100/J8</f>
        <v>361.9178914679022</v>
      </c>
      <c r="Q8" s="46">
        <f>K8*100/D8</f>
        <v>91.23098646736005</v>
      </c>
      <c r="R8" s="32">
        <f>K8*100/E8</f>
        <v>86.01122873463224</v>
      </c>
    </row>
    <row r="9" spans="1:18" ht="12.75">
      <c r="A9" s="19" t="s">
        <v>23</v>
      </c>
      <c r="B9" s="19"/>
      <c r="C9" s="47" t="s">
        <v>22</v>
      </c>
      <c r="D9" s="76">
        <v>545313.8</v>
      </c>
      <c r="E9" s="76">
        <v>553217.7</v>
      </c>
      <c r="F9" s="76">
        <f>G9+H9+I9</f>
        <v>403611.39999999997</v>
      </c>
      <c r="G9" s="76">
        <v>132197.3</v>
      </c>
      <c r="H9" s="76">
        <v>148858.8</v>
      </c>
      <c r="I9" s="28">
        <v>122555.3</v>
      </c>
      <c r="J9" s="48">
        <v>141702.4</v>
      </c>
      <c r="K9" s="48">
        <v>469184.4</v>
      </c>
      <c r="L9" s="28" t="e">
        <f>K9/#REF!*100</f>
        <v>#REF!</v>
      </c>
      <c r="M9" s="28">
        <f t="shared" si="1"/>
        <v>382.8348508795621</v>
      </c>
      <c r="N9" s="69"/>
      <c r="O9" s="69"/>
      <c r="P9" s="28">
        <f aca="true" t="shared" si="2" ref="P9:P80">K9*100/J9</f>
        <v>331.1054717492435</v>
      </c>
      <c r="Q9" s="24">
        <f aca="true" t="shared" si="3" ref="Q9:Q27">K9*100/D9</f>
        <v>86.03934101796067</v>
      </c>
      <c r="R9" s="25">
        <f aca="true" t="shared" si="4" ref="R9:R27">K9*100/E9</f>
        <v>84.810084709871</v>
      </c>
    </row>
    <row r="10" spans="1:18" ht="12.75">
      <c r="A10" s="19" t="s">
        <v>70</v>
      </c>
      <c r="B10" s="19"/>
      <c r="C10" s="36" t="s">
        <v>71</v>
      </c>
      <c r="D10" s="73">
        <v>2315</v>
      </c>
      <c r="E10" s="73">
        <v>2075.4</v>
      </c>
      <c r="F10" s="76">
        <f aca="true" t="shared" si="5" ref="F10:F26">G10+H10+I10</f>
        <v>1735.6999999999998</v>
      </c>
      <c r="G10" s="73">
        <v>578.6</v>
      </c>
      <c r="H10" s="73">
        <v>578.5</v>
      </c>
      <c r="I10" s="24">
        <v>578.6</v>
      </c>
      <c r="J10" s="25">
        <v>579.3</v>
      </c>
      <c r="K10" s="25">
        <v>1552.3</v>
      </c>
      <c r="L10" s="28"/>
      <c r="M10" s="28"/>
      <c r="N10" s="69"/>
      <c r="O10" s="69"/>
      <c r="P10" s="24"/>
      <c r="Q10" s="24">
        <f t="shared" si="3"/>
        <v>67.05399568034558</v>
      </c>
      <c r="R10" s="25">
        <f t="shared" si="4"/>
        <v>74.79522019851595</v>
      </c>
    </row>
    <row r="11" spans="1:18" ht="12.75">
      <c r="A11" s="19" t="s">
        <v>8</v>
      </c>
      <c r="B11" s="19"/>
      <c r="C11" s="36" t="s">
        <v>5</v>
      </c>
      <c r="D11" s="73">
        <v>36159.5</v>
      </c>
      <c r="E11" s="73">
        <v>40782.8</v>
      </c>
      <c r="F11" s="76">
        <f t="shared" si="5"/>
        <v>28451.3</v>
      </c>
      <c r="G11" s="73">
        <v>10163</v>
      </c>
      <c r="H11" s="73">
        <v>10168.3</v>
      </c>
      <c r="I11" s="24">
        <v>8120</v>
      </c>
      <c r="J11" s="25">
        <v>7809.7</v>
      </c>
      <c r="K11" s="25">
        <v>39923.7</v>
      </c>
      <c r="L11" s="28" t="e">
        <f>K11/#REF!*100</f>
        <v>#REF!</v>
      </c>
      <c r="M11" s="28">
        <f t="shared" si="1"/>
        <v>491.67118226600985</v>
      </c>
      <c r="N11" s="69"/>
      <c r="O11" s="69"/>
      <c r="P11" s="24">
        <f t="shared" si="2"/>
        <v>511.20657643699496</v>
      </c>
      <c r="Q11" s="24">
        <f t="shared" si="3"/>
        <v>110.40998907617637</v>
      </c>
      <c r="R11" s="25">
        <f t="shared" si="4"/>
        <v>97.89347470011866</v>
      </c>
    </row>
    <row r="12" spans="1:18" ht="12.75">
      <c r="A12" s="19" t="s">
        <v>9</v>
      </c>
      <c r="B12" s="19"/>
      <c r="C12" s="36" t="s">
        <v>6</v>
      </c>
      <c r="D12" s="73">
        <v>3935</v>
      </c>
      <c r="E12" s="73">
        <v>4819.4</v>
      </c>
      <c r="F12" s="76">
        <f t="shared" si="5"/>
        <v>2748.3</v>
      </c>
      <c r="G12" s="73">
        <v>947.6</v>
      </c>
      <c r="H12" s="73">
        <v>900.7</v>
      </c>
      <c r="I12" s="24">
        <v>900</v>
      </c>
      <c r="J12" s="25">
        <v>1236.7</v>
      </c>
      <c r="K12" s="25">
        <v>4991.2</v>
      </c>
      <c r="L12" s="28" t="e">
        <f>K12/#REF!*100</f>
        <v>#REF!</v>
      </c>
      <c r="M12" s="28">
        <f t="shared" si="1"/>
        <v>554.5777777777778</v>
      </c>
      <c r="N12" s="69"/>
      <c r="O12" s="69"/>
      <c r="P12" s="24">
        <f t="shared" si="2"/>
        <v>403.5901997250748</v>
      </c>
      <c r="Q12" s="24">
        <f t="shared" si="3"/>
        <v>126.84116899618806</v>
      </c>
      <c r="R12" s="25">
        <f t="shared" si="4"/>
        <v>103.564759098643</v>
      </c>
    </row>
    <row r="13" spans="1:18" ht="12.75">
      <c r="A13" s="19" t="s">
        <v>10</v>
      </c>
      <c r="B13" s="19"/>
      <c r="C13" s="36" t="s">
        <v>21</v>
      </c>
      <c r="D13" s="73">
        <v>3305</v>
      </c>
      <c r="E13" s="73">
        <v>3505</v>
      </c>
      <c r="F13" s="76">
        <f t="shared" si="5"/>
        <v>2479</v>
      </c>
      <c r="G13" s="73">
        <v>826</v>
      </c>
      <c r="H13" s="73">
        <v>826</v>
      </c>
      <c r="I13" s="24">
        <v>827</v>
      </c>
      <c r="J13" s="25">
        <v>826</v>
      </c>
      <c r="K13" s="25">
        <v>2804.5</v>
      </c>
      <c r="L13" s="28" t="e">
        <f>K13/#REF!*100</f>
        <v>#REF!</v>
      </c>
      <c r="M13" s="28">
        <f t="shared" si="1"/>
        <v>339.1172914147521</v>
      </c>
      <c r="N13" s="69"/>
      <c r="O13" s="69"/>
      <c r="P13" s="24">
        <f t="shared" si="2"/>
        <v>339.5278450363196</v>
      </c>
      <c r="Q13" s="24">
        <f t="shared" si="3"/>
        <v>84.85627836611195</v>
      </c>
      <c r="R13" s="25">
        <f t="shared" si="4"/>
        <v>80.01426533523538</v>
      </c>
    </row>
    <row r="14" spans="1:18" ht="21.75" customHeight="1" hidden="1">
      <c r="A14" s="19" t="s">
        <v>37</v>
      </c>
      <c r="B14" s="19"/>
      <c r="C14" s="36" t="s">
        <v>38</v>
      </c>
      <c r="D14" s="73"/>
      <c r="E14" s="73">
        <f>G14+H14+I14+J14</f>
        <v>0</v>
      </c>
      <c r="F14" s="76">
        <f t="shared" si="5"/>
        <v>0</v>
      </c>
      <c r="G14" s="73"/>
      <c r="H14" s="73"/>
      <c r="I14" s="24"/>
      <c r="J14" s="25"/>
      <c r="K14" s="25"/>
      <c r="L14" s="28" t="e">
        <f>K14/#REF!*100</f>
        <v>#REF!</v>
      </c>
      <c r="M14" s="28"/>
      <c r="N14" s="69"/>
      <c r="O14" s="69"/>
      <c r="P14" s="24" t="e">
        <f t="shared" si="2"/>
        <v>#DIV/0!</v>
      </c>
      <c r="Q14" s="24" t="e">
        <f t="shared" si="3"/>
        <v>#DIV/0!</v>
      </c>
      <c r="R14" s="25" t="e">
        <f t="shared" si="4"/>
        <v>#DIV/0!</v>
      </c>
    </row>
    <row r="15" spans="1:18" ht="24">
      <c r="A15" s="20" t="s">
        <v>11</v>
      </c>
      <c r="B15" s="20"/>
      <c r="C15" s="36" t="s">
        <v>17</v>
      </c>
      <c r="D15" s="73">
        <v>84057.5</v>
      </c>
      <c r="E15" s="73">
        <v>96397.9</v>
      </c>
      <c r="F15" s="76">
        <f t="shared" si="5"/>
        <v>63083.200000000004</v>
      </c>
      <c r="G15" s="73">
        <v>20907.1</v>
      </c>
      <c r="H15" s="73">
        <v>20905.2</v>
      </c>
      <c r="I15" s="24">
        <v>21270.9</v>
      </c>
      <c r="J15" s="25">
        <v>20989.3</v>
      </c>
      <c r="K15" s="25">
        <v>81286</v>
      </c>
      <c r="L15" s="28" t="e">
        <f>K15/#REF!*100</f>
        <v>#REF!</v>
      </c>
      <c r="M15" s="28">
        <f t="shared" si="1"/>
        <v>382.14650061821544</v>
      </c>
      <c r="N15" s="69"/>
      <c r="O15" s="69"/>
      <c r="P15" s="24">
        <f t="shared" si="2"/>
        <v>387.27351555316284</v>
      </c>
      <c r="Q15" s="24">
        <f t="shared" si="3"/>
        <v>96.7028522142581</v>
      </c>
      <c r="R15" s="25">
        <f t="shared" si="4"/>
        <v>84.323413684323</v>
      </c>
    </row>
    <row r="16" spans="1:18" ht="12.75">
      <c r="A16" s="37" t="s">
        <v>14</v>
      </c>
      <c r="B16" s="37"/>
      <c r="C16" s="36" t="s">
        <v>13</v>
      </c>
      <c r="D16" s="73">
        <v>12245.1</v>
      </c>
      <c r="E16" s="73">
        <v>5286.5</v>
      </c>
      <c r="F16" s="76">
        <f t="shared" si="5"/>
        <v>6072.5</v>
      </c>
      <c r="G16" s="73">
        <v>1658.6</v>
      </c>
      <c r="H16" s="73">
        <v>2597.9</v>
      </c>
      <c r="I16" s="24">
        <v>1816</v>
      </c>
      <c r="J16" s="25">
        <v>1815.9</v>
      </c>
      <c r="K16" s="25">
        <v>6199.5</v>
      </c>
      <c r="L16" s="28" t="e">
        <f>K16/#REF!*100</f>
        <v>#REF!</v>
      </c>
      <c r="M16" s="28">
        <f t="shared" si="1"/>
        <v>341.3821585903084</v>
      </c>
      <c r="N16" s="69"/>
      <c r="O16" s="69"/>
      <c r="P16" s="24">
        <f t="shared" si="2"/>
        <v>341.4009582025442</v>
      </c>
      <c r="Q16" s="24">
        <f t="shared" si="3"/>
        <v>50.628414631158584</v>
      </c>
      <c r="R16" s="25">
        <f t="shared" si="4"/>
        <v>117.27040575049655</v>
      </c>
    </row>
    <row r="17" spans="1:18" ht="24">
      <c r="A17" s="38" t="s">
        <v>42</v>
      </c>
      <c r="B17" s="38"/>
      <c r="C17" s="36" t="s">
        <v>43</v>
      </c>
      <c r="D17" s="73">
        <v>9788</v>
      </c>
      <c r="E17" s="73">
        <v>16349.9</v>
      </c>
      <c r="F17" s="76">
        <f t="shared" si="5"/>
        <v>8331.5</v>
      </c>
      <c r="G17" s="73">
        <v>3400.2</v>
      </c>
      <c r="H17" s="73">
        <v>2510.6</v>
      </c>
      <c r="I17" s="24">
        <v>2420.7</v>
      </c>
      <c r="J17" s="25">
        <v>2628.5</v>
      </c>
      <c r="K17" s="25">
        <v>14175.9</v>
      </c>
      <c r="L17" s="28" t="e">
        <f>K17/#REF!*100</f>
        <v>#REF!</v>
      </c>
      <c r="M17" s="28">
        <f t="shared" si="1"/>
        <v>585.6115999504276</v>
      </c>
      <c r="N17" s="69"/>
      <c r="O17" s="69"/>
      <c r="P17" s="24">
        <f t="shared" si="2"/>
        <v>539.3151987825756</v>
      </c>
      <c r="Q17" s="24">
        <f t="shared" si="3"/>
        <v>144.8293829178586</v>
      </c>
      <c r="R17" s="25">
        <f t="shared" si="4"/>
        <v>86.70328258888433</v>
      </c>
    </row>
    <row r="18" spans="1:18" ht="12.75">
      <c r="A18" s="38" t="s">
        <v>18</v>
      </c>
      <c r="B18" s="38"/>
      <c r="C18" s="36" t="s">
        <v>15</v>
      </c>
      <c r="D18" s="73">
        <v>22114.5</v>
      </c>
      <c r="E18" s="73">
        <v>30320.8</v>
      </c>
      <c r="F18" s="76">
        <f t="shared" si="5"/>
        <v>42369</v>
      </c>
      <c r="G18" s="73">
        <v>30063</v>
      </c>
      <c r="H18" s="73">
        <v>8403</v>
      </c>
      <c r="I18" s="24">
        <v>3903</v>
      </c>
      <c r="J18" s="25">
        <v>3905.5</v>
      </c>
      <c r="K18" s="25">
        <v>24408.8</v>
      </c>
      <c r="L18" s="28" t="e">
        <f>K18/#REF!*100</f>
        <v>#REF!</v>
      </c>
      <c r="M18" s="28">
        <f t="shared" si="1"/>
        <v>625.3856008198821</v>
      </c>
      <c r="N18" s="69"/>
      <c r="O18" s="69"/>
      <c r="P18" s="24">
        <f t="shared" si="2"/>
        <v>624.9852771732172</v>
      </c>
      <c r="Q18" s="24">
        <f t="shared" si="3"/>
        <v>110.37464107259943</v>
      </c>
      <c r="R18" s="25">
        <f t="shared" si="4"/>
        <v>80.50183372470383</v>
      </c>
    </row>
    <row r="19" spans="1:18" ht="12.75">
      <c r="A19" s="38" t="s">
        <v>60</v>
      </c>
      <c r="B19" s="38"/>
      <c r="C19" s="36" t="s">
        <v>61</v>
      </c>
      <c r="D19" s="73">
        <v>5</v>
      </c>
      <c r="E19" s="73">
        <v>6.2</v>
      </c>
      <c r="F19" s="76">
        <f t="shared" si="5"/>
        <v>5.2</v>
      </c>
      <c r="G19" s="73">
        <v>4.2</v>
      </c>
      <c r="H19" s="73">
        <v>1</v>
      </c>
      <c r="I19" s="24"/>
      <c r="J19" s="25"/>
      <c r="K19" s="25">
        <v>6.2</v>
      </c>
      <c r="L19" s="28" t="e">
        <f>K19/#REF!*100</f>
        <v>#REF!</v>
      </c>
      <c r="M19" s="28" t="e">
        <f t="shared" si="1"/>
        <v>#DIV/0!</v>
      </c>
      <c r="N19" s="69"/>
      <c r="O19" s="69"/>
      <c r="P19" s="24" t="e">
        <f t="shared" si="2"/>
        <v>#DIV/0!</v>
      </c>
      <c r="Q19" s="24">
        <f t="shared" si="3"/>
        <v>124</v>
      </c>
      <c r="R19" s="25">
        <f t="shared" si="4"/>
        <v>100</v>
      </c>
    </row>
    <row r="20" spans="1:18" ht="12.75">
      <c r="A20" s="29" t="s">
        <v>12</v>
      </c>
      <c r="B20" s="29"/>
      <c r="C20" s="36" t="s">
        <v>7</v>
      </c>
      <c r="D20" s="73">
        <v>4042.5</v>
      </c>
      <c r="E20" s="73">
        <v>14413</v>
      </c>
      <c r="F20" s="76">
        <f t="shared" si="5"/>
        <v>11221.699999999999</v>
      </c>
      <c r="G20" s="73">
        <v>7866.4</v>
      </c>
      <c r="H20" s="73">
        <v>2535.7</v>
      </c>
      <c r="I20" s="24">
        <v>819.6</v>
      </c>
      <c r="J20" s="25">
        <v>828.8</v>
      </c>
      <c r="K20" s="25">
        <v>14853.2</v>
      </c>
      <c r="L20" s="28" t="e">
        <f>K20/#REF!*100</f>
        <v>#REF!</v>
      </c>
      <c r="M20" s="28">
        <f t="shared" si="1"/>
        <v>1812.249877989263</v>
      </c>
      <c r="N20" s="69"/>
      <c r="O20" s="69"/>
      <c r="P20" s="24">
        <f t="shared" si="2"/>
        <v>1792.1332046332047</v>
      </c>
      <c r="Q20" s="24">
        <f t="shared" si="3"/>
        <v>367.426097711812</v>
      </c>
      <c r="R20" s="25">
        <f t="shared" si="4"/>
        <v>103.05418719211822</v>
      </c>
    </row>
    <row r="21" spans="1:18" ht="12.75">
      <c r="A21" s="39" t="s">
        <v>39</v>
      </c>
      <c r="B21" s="40"/>
      <c r="C21" s="23" t="s">
        <v>40</v>
      </c>
      <c r="D21" s="89">
        <v>0</v>
      </c>
      <c r="E21" s="73">
        <f>G21+H21+I21+J21</f>
        <v>0</v>
      </c>
      <c r="F21" s="76">
        <f t="shared" si="5"/>
        <v>0</v>
      </c>
      <c r="G21" s="73"/>
      <c r="H21" s="73"/>
      <c r="I21" s="24"/>
      <c r="J21" s="25"/>
      <c r="K21" s="25">
        <v>470.6</v>
      </c>
      <c r="L21" s="28"/>
      <c r="M21" s="28"/>
      <c r="N21" s="69"/>
      <c r="O21" s="69"/>
      <c r="P21" s="24"/>
      <c r="Q21" s="24"/>
      <c r="R21" s="25"/>
    </row>
    <row r="22" spans="1:18" ht="12.75">
      <c r="A22" s="33" t="s">
        <v>1</v>
      </c>
      <c r="B22" s="33"/>
      <c r="C22" s="41" t="s">
        <v>0</v>
      </c>
      <c r="D22" s="90">
        <f>D23+D24+D26</f>
        <v>2614355.8</v>
      </c>
      <c r="E22" s="42">
        <f>E23+E24+E26+E25+0.1</f>
        <v>2819494.6</v>
      </c>
      <c r="F22" s="42">
        <f aca="true" t="shared" si="6" ref="F22:K22">F23+F24+F26+F25</f>
        <v>2210457.2</v>
      </c>
      <c r="G22" s="42">
        <f t="shared" si="6"/>
        <v>637157.2000000001</v>
      </c>
      <c r="H22" s="42">
        <f t="shared" si="6"/>
        <v>873460.7</v>
      </c>
      <c r="I22" s="42">
        <f t="shared" si="6"/>
        <v>699839.3</v>
      </c>
      <c r="J22" s="42">
        <f t="shared" si="6"/>
        <v>604225.2</v>
      </c>
      <c r="K22" s="42">
        <f t="shared" si="6"/>
        <v>2103140.0999999996</v>
      </c>
      <c r="L22" s="35" t="e">
        <f>K22/#REF!*100</f>
        <v>#REF!</v>
      </c>
      <c r="M22" s="35">
        <f aca="true" t="shared" si="7" ref="M22:M27">K22/I22*100</f>
        <v>300.5175759635104</v>
      </c>
      <c r="N22" s="69"/>
      <c r="O22" s="69"/>
      <c r="P22" s="46">
        <f t="shared" si="2"/>
        <v>348.07222538881194</v>
      </c>
      <c r="Q22" s="46">
        <f t="shared" si="3"/>
        <v>80.44582531574316</v>
      </c>
      <c r="R22" s="32">
        <f t="shared" si="4"/>
        <v>74.59280468208733</v>
      </c>
    </row>
    <row r="23" spans="1:18" ht="24">
      <c r="A23" s="21" t="s">
        <v>67</v>
      </c>
      <c r="B23" s="19"/>
      <c r="C23" s="43" t="s">
        <v>20</v>
      </c>
      <c r="D23" s="49">
        <v>2594355.8</v>
      </c>
      <c r="E23" s="73">
        <v>2768940.6</v>
      </c>
      <c r="F23" s="76">
        <f t="shared" si="5"/>
        <v>2153786.9000000004</v>
      </c>
      <c r="G23" s="73">
        <f>555225.5+108567.9</f>
        <v>663793.4</v>
      </c>
      <c r="H23" s="73">
        <v>830154.2</v>
      </c>
      <c r="I23" s="25">
        <f>659358.5+480.8</f>
        <v>659839.3</v>
      </c>
      <c r="J23" s="25">
        <f>581206.5+18.7</f>
        <v>581225.2</v>
      </c>
      <c r="K23" s="25">
        <v>2053720.6</v>
      </c>
      <c r="L23" s="28" t="e">
        <f>K23/#REF!*100</f>
        <v>#REF!</v>
      </c>
      <c r="M23" s="28">
        <f t="shared" si="7"/>
        <v>311.2455714595963</v>
      </c>
      <c r="N23" s="69"/>
      <c r="O23" s="69"/>
      <c r="P23" s="24">
        <f t="shared" si="2"/>
        <v>353.343351251804</v>
      </c>
      <c r="Q23" s="24">
        <f t="shared" si="3"/>
        <v>79.1611004165273</v>
      </c>
      <c r="R23" s="25">
        <f t="shared" si="4"/>
        <v>74.16990454760929</v>
      </c>
    </row>
    <row r="24" spans="1:18" ht="13.5" customHeight="1">
      <c r="A24" s="21" t="s">
        <v>2</v>
      </c>
      <c r="B24" s="21"/>
      <c r="C24" s="44" t="s">
        <v>19</v>
      </c>
      <c r="D24" s="74">
        <v>20000</v>
      </c>
      <c r="E24" s="73">
        <v>83250</v>
      </c>
      <c r="F24" s="76">
        <f t="shared" si="5"/>
        <v>60000</v>
      </c>
      <c r="G24" s="74">
        <v>20000</v>
      </c>
      <c r="H24" s="74">
        <v>20000</v>
      </c>
      <c r="I24" s="25">
        <v>20000</v>
      </c>
      <c r="J24" s="25">
        <v>23000</v>
      </c>
      <c r="K24" s="25">
        <v>82887.3</v>
      </c>
      <c r="L24" s="28" t="e">
        <f>K24/#REF!*100</f>
        <v>#REF!</v>
      </c>
      <c r="M24" s="28">
        <f t="shared" si="7"/>
        <v>414.4365</v>
      </c>
      <c r="N24" s="69"/>
      <c r="O24" s="69"/>
      <c r="P24" s="24">
        <f t="shared" si="2"/>
        <v>360.3795652173913</v>
      </c>
      <c r="Q24" s="24">
        <f t="shared" si="3"/>
        <v>414.4365</v>
      </c>
      <c r="R24" s="25">
        <f t="shared" si="4"/>
        <v>99.56432432432432</v>
      </c>
    </row>
    <row r="25" spans="1:18" ht="27" customHeight="1">
      <c r="A25" s="21" t="s">
        <v>65</v>
      </c>
      <c r="B25" s="22" t="s">
        <v>64</v>
      </c>
      <c r="C25" s="23" t="s">
        <v>64</v>
      </c>
      <c r="D25" s="85"/>
      <c r="E25" s="73">
        <v>6.3</v>
      </c>
      <c r="F25" s="76">
        <f t="shared" si="5"/>
        <v>0</v>
      </c>
      <c r="G25" s="73"/>
      <c r="H25" s="73"/>
      <c r="I25" s="25"/>
      <c r="J25" s="25"/>
      <c r="K25" s="25">
        <v>6.3</v>
      </c>
      <c r="L25" s="28" t="e">
        <f>K25/#REF!*100</f>
        <v>#REF!</v>
      </c>
      <c r="M25" s="28"/>
      <c r="N25" s="69"/>
      <c r="O25" s="69"/>
      <c r="P25" s="24" t="e">
        <f t="shared" si="2"/>
        <v>#DIV/0!</v>
      </c>
      <c r="Q25" s="24"/>
      <c r="R25" s="25">
        <f t="shared" si="4"/>
        <v>100</v>
      </c>
    </row>
    <row r="26" spans="1:18" ht="27.75" customHeight="1">
      <c r="A26" s="21" t="s">
        <v>66</v>
      </c>
      <c r="B26" s="26"/>
      <c r="C26" s="27" t="s">
        <v>63</v>
      </c>
      <c r="D26" s="86"/>
      <c r="E26" s="73">
        <v>-32702.4</v>
      </c>
      <c r="F26" s="76">
        <f t="shared" si="5"/>
        <v>-3329.699999999997</v>
      </c>
      <c r="G26" s="75">
        <v>-46636.2</v>
      </c>
      <c r="H26" s="75">
        <v>23306.5</v>
      </c>
      <c r="I26" s="25">
        <v>20000</v>
      </c>
      <c r="J26" s="25"/>
      <c r="K26" s="25">
        <v>-33474.1</v>
      </c>
      <c r="L26" s="28" t="e">
        <f>K26/#REF!*100</f>
        <v>#REF!</v>
      </c>
      <c r="M26" s="28"/>
      <c r="N26" s="69"/>
      <c r="O26" s="69"/>
      <c r="P26" s="24" t="e">
        <f t="shared" si="2"/>
        <v>#DIV/0!</v>
      </c>
      <c r="Q26" s="24"/>
      <c r="R26" s="25">
        <f t="shared" si="4"/>
        <v>102.35976564411175</v>
      </c>
    </row>
    <row r="27" spans="1:18" ht="12.75">
      <c r="A27" s="29"/>
      <c r="B27" s="30"/>
      <c r="C27" s="31" t="s">
        <v>4</v>
      </c>
      <c r="D27" s="32">
        <f aca="true" t="shared" si="8" ref="D27:K27">D22+D8</f>
        <v>3337636.6999999997</v>
      </c>
      <c r="E27" s="32">
        <f t="shared" si="8"/>
        <v>3586669.2</v>
      </c>
      <c r="F27" s="32">
        <f t="shared" si="8"/>
        <v>2780566</v>
      </c>
      <c r="G27" s="32">
        <f t="shared" si="8"/>
        <v>845769.2000000001</v>
      </c>
      <c r="H27" s="32">
        <f t="shared" si="8"/>
        <v>1071746.4</v>
      </c>
      <c r="I27" s="32">
        <f t="shared" si="8"/>
        <v>863050.4</v>
      </c>
      <c r="J27" s="32">
        <f t="shared" si="8"/>
        <v>786547.2999999999</v>
      </c>
      <c r="K27" s="32">
        <f t="shared" si="8"/>
        <v>2762996.3999999994</v>
      </c>
      <c r="L27" s="35" t="e">
        <f>K27/#REF!*100</f>
        <v>#REF!</v>
      </c>
      <c r="M27" s="35">
        <f t="shared" si="7"/>
        <v>320.14311099328603</v>
      </c>
      <c r="N27" s="69"/>
      <c r="O27" s="70" t="e">
        <f>J27+#REF!+#REF!</f>
        <v>#REF!</v>
      </c>
      <c r="P27" s="46">
        <f t="shared" si="2"/>
        <v>351.2816584584296</v>
      </c>
      <c r="Q27" s="46">
        <f t="shared" si="3"/>
        <v>82.78301829555025</v>
      </c>
      <c r="R27" s="32">
        <f t="shared" si="4"/>
        <v>77.03516120193073</v>
      </c>
    </row>
    <row r="28" spans="1:18" ht="12.75">
      <c r="A28" s="101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3"/>
      <c r="N28" s="69"/>
      <c r="O28" s="69"/>
      <c r="P28" s="67"/>
      <c r="Q28" s="35"/>
      <c r="R28" s="32"/>
    </row>
    <row r="29" spans="1:18" ht="12.75">
      <c r="A29" s="104" t="s">
        <v>25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35"/>
      <c r="R29" s="32"/>
    </row>
    <row r="30" spans="1:18" ht="12.75">
      <c r="A30" s="33" t="s">
        <v>3</v>
      </c>
      <c r="B30" s="33"/>
      <c r="C30" s="34" t="s">
        <v>68</v>
      </c>
      <c r="D30" s="35">
        <f>D31+D33+D35+D37+D34+D36+D39+D32+D38</f>
        <v>17033</v>
      </c>
      <c r="E30" s="35">
        <f>E31+E33+E35+E37+E34+E36+E39+E32+E38</f>
        <v>17039.3</v>
      </c>
      <c r="F30" s="35">
        <f aca="true" t="shared" si="9" ref="F30:K30">F31+F33+F35+F37+F34+F36+F39+F32+F38</f>
        <v>12781.199999999997</v>
      </c>
      <c r="G30" s="35">
        <f t="shared" si="9"/>
        <v>4258.400000000001</v>
      </c>
      <c r="H30" s="35">
        <f t="shared" si="9"/>
        <v>4264.400000000001</v>
      </c>
      <c r="I30" s="35">
        <f t="shared" si="9"/>
        <v>4258.400000000001</v>
      </c>
      <c r="J30" s="35">
        <f t="shared" si="9"/>
        <v>4258.099999999999</v>
      </c>
      <c r="K30" s="35">
        <f t="shared" si="9"/>
        <v>15223.799999999997</v>
      </c>
      <c r="L30" s="35" t="e">
        <f>K30/#REF!*100</f>
        <v>#REF!</v>
      </c>
      <c r="M30" s="35">
        <f aca="true" t="shared" si="10" ref="M30:M37">K30/I30*100</f>
        <v>357.5004696599661</v>
      </c>
      <c r="N30" s="69"/>
      <c r="O30" s="69"/>
      <c r="P30" s="35">
        <f t="shared" si="2"/>
        <v>357.52565698316147</v>
      </c>
      <c r="Q30" s="46">
        <f>K30*100/D30</f>
        <v>89.3782657194857</v>
      </c>
      <c r="R30" s="32">
        <f>K30*100/E30</f>
        <v>89.34521958061657</v>
      </c>
    </row>
    <row r="31" spans="1:18" ht="12.75">
      <c r="A31" s="19" t="s">
        <v>23</v>
      </c>
      <c r="B31" s="19"/>
      <c r="C31" s="47" t="s">
        <v>22</v>
      </c>
      <c r="D31" s="76">
        <v>11900</v>
      </c>
      <c r="E31" s="73">
        <v>12220.4</v>
      </c>
      <c r="F31" s="76">
        <f>G31+H31+I31</f>
        <v>8925.8</v>
      </c>
      <c r="G31" s="76">
        <v>2975</v>
      </c>
      <c r="H31" s="76">
        <v>2975.8</v>
      </c>
      <c r="I31" s="24">
        <v>2975</v>
      </c>
      <c r="J31" s="25">
        <v>2975</v>
      </c>
      <c r="K31" s="48">
        <v>11081.4</v>
      </c>
      <c r="L31" s="28" t="e">
        <f>K31/#REF!*100</f>
        <v>#REF!</v>
      </c>
      <c r="M31" s="28">
        <f t="shared" si="10"/>
        <v>372.4840336134454</v>
      </c>
      <c r="N31" s="69"/>
      <c r="O31" s="69"/>
      <c r="P31" s="24">
        <f t="shared" si="2"/>
        <v>372.4840336134454</v>
      </c>
      <c r="Q31" s="24">
        <f aca="true" t="shared" si="11" ref="Q31:Q43">K31*100/D31</f>
        <v>93.12100840336134</v>
      </c>
      <c r="R31" s="25">
        <f aca="true" t="shared" si="12" ref="R31:R43">K31*100/E31</f>
        <v>90.67951949199698</v>
      </c>
    </row>
    <row r="32" spans="1:18" ht="12.75">
      <c r="A32" s="19" t="s">
        <v>70</v>
      </c>
      <c r="B32" s="19"/>
      <c r="C32" s="36" t="s">
        <v>71</v>
      </c>
      <c r="D32" s="73">
        <v>2083</v>
      </c>
      <c r="E32" s="73">
        <v>1622.2</v>
      </c>
      <c r="F32" s="76">
        <f aca="true" t="shared" si="13" ref="F32:F39">G32+H32+I32</f>
        <v>1562.3</v>
      </c>
      <c r="G32" s="76">
        <v>520.8</v>
      </c>
      <c r="H32" s="76">
        <v>520.7</v>
      </c>
      <c r="I32" s="24">
        <v>520.8</v>
      </c>
      <c r="J32" s="25">
        <v>520.7</v>
      </c>
      <c r="K32" s="48">
        <v>1397</v>
      </c>
      <c r="L32" s="28"/>
      <c r="M32" s="28"/>
      <c r="N32" s="69"/>
      <c r="O32" s="69"/>
      <c r="P32" s="24"/>
      <c r="Q32" s="24">
        <f t="shared" si="11"/>
        <v>67.0667306769083</v>
      </c>
      <c r="R32" s="25">
        <f t="shared" si="12"/>
        <v>86.11761804956232</v>
      </c>
    </row>
    <row r="33" spans="1:18" ht="12.75">
      <c r="A33" s="19" t="s">
        <v>9</v>
      </c>
      <c r="B33" s="19"/>
      <c r="C33" s="36" t="s">
        <v>6</v>
      </c>
      <c r="D33" s="73">
        <v>590</v>
      </c>
      <c r="E33" s="73">
        <v>607.2</v>
      </c>
      <c r="F33" s="76">
        <f t="shared" si="13"/>
        <v>414.8</v>
      </c>
      <c r="G33" s="73">
        <v>147.5</v>
      </c>
      <c r="H33" s="73">
        <v>119.8</v>
      </c>
      <c r="I33" s="24">
        <v>147.5</v>
      </c>
      <c r="J33" s="25">
        <v>147.5</v>
      </c>
      <c r="K33" s="25">
        <v>416.8</v>
      </c>
      <c r="L33" s="28" t="e">
        <f>K33/#REF!*100</f>
        <v>#REF!</v>
      </c>
      <c r="M33" s="28">
        <f t="shared" si="10"/>
        <v>282.57627118644064</v>
      </c>
      <c r="N33" s="69"/>
      <c r="O33" s="69"/>
      <c r="P33" s="24">
        <f t="shared" si="2"/>
        <v>282.5762711864407</v>
      </c>
      <c r="Q33" s="24">
        <f t="shared" si="11"/>
        <v>70.64406779661017</v>
      </c>
      <c r="R33" s="25">
        <f t="shared" si="12"/>
        <v>68.64295125164689</v>
      </c>
    </row>
    <row r="34" spans="1:18" ht="12.75">
      <c r="A34" s="19" t="s">
        <v>10</v>
      </c>
      <c r="B34" s="19"/>
      <c r="C34" s="36" t="s">
        <v>21</v>
      </c>
      <c r="D34" s="73">
        <v>24</v>
      </c>
      <c r="E34" s="73">
        <f>G34+H34+I34+J34</f>
        <v>24</v>
      </c>
      <c r="F34" s="76">
        <f t="shared" si="13"/>
        <v>18</v>
      </c>
      <c r="G34" s="73">
        <v>6</v>
      </c>
      <c r="H34" s="73">
        <v>6</v>
      </c>
      <c r="I34" s="24">
        <v>6</v>
      </c>
      <c r="J34" s="25">
        <v>6</v>
      </c>
      <c r="K34" s="25">
        <v>23</v>
      </c>
      <c r="L34" s="28" t="e">
        <f>K34/#REF!*100</f>
        <v>#REF!</v>
      </c>
      <c r="M34" s="28">
        <f t="shared" si="10"/>
        <v>383.33333333333337</v>
      </c>
      <c r="N34" s="69"/>
      <c r="O34" s="69"/>
      <c r="P34" s="24">
        <f t="shared" si="2"/>
        <v>383.3333333333333</v>
      </c>
      <c r="Q34" s="24">
        <f t="shared" si="11"/>
        <v>95.83333333333333</v>
      </c>
      <c r="R34" s="25">
        <f t="shared" si="12"/>
        <v>95.83333333333333</v>
      </c>
    </row>
    <row r="35" spans="1:18" ht="24">
      <c r="A35" s="20" t="s">
        <v>11</v>
      </c>
      <c r="B35" s="20"/>
      <c r="C35" s="36" t="s">
        <v>17</v>
      </c>
      <c r="D35" s="73">
        <v>1755</v>
      </c>
      <c r="E35" s="73">
        <v>1789.1</v>
      </c>
      <c r="F35" s="76">
        <f t="shared" si="13"/>
        <v>1338.2</v>
      </c>
      <c r="G35" s="73">
        <v>438.8</v>
      </c>
      <c r="H35" s="73">
        <v>460.6</v>
      </c>
      <c r="I35" s="24">
        <v>438.8</v>
      </c>
      <c r="J35" s="25">
        <v>438.7</v>
      </c>
      <c r="K35" s="25">
        <v>1535.1</v>
      </c>
      <c r="L35" s="28" t="e">
        <f>K35/#REF!*100</f>
        <v>#REF!</v>
      </c>
      <c r="M35" s="28">
        <f t="shared" si="10"/>
        <v>349.84047402005467</v>
      </c>
      <c r="N35" s="69"/>
      <c r="O35" s="69"/>
      <c r="P35" s="24">
        <f t="shared" si="2"/>
        <v>349.9202188283565</v>
      </c>
      <c r="Q35" s="24">
        <f t="shared" si="11"/>
        <v>87.47008547008546</v>
      </c>
      <c r="R35" s="25">
        <f t="shared" si="12"/>
        <v>85.80291766810129</v>
      </c>
    </row>
    <row r="36" spans="1:18" ht="15" customHeight="1">
      <c r="A36" s="38" t="s">
        <v>42</v>
      </c>
      <c r="B36" s="38"/>
      <c r="C36" s="36" t="s">
        <v>43</v>
      </c>
      <c r="D36" s="73">
        <v>616</v>
      </c>
      <c r="E36" s="73">
        <v>632.3</v>
      </c>
      <c r="F36" s="76">
        <f t="shared" si="13"/>
        <v>468.3</v>
      </c>
      <c r="G36" s="73">
        <v>154</v>
      </c>
      <c r="H36" s="73">
        <v>160.3</v>
      </c>
      <c r="I36" s="24">
        <v>154</v>
      </c>
      <c r="J36" s="25">
        <v>154</v>
      </c>
      <c r="K36" s="25">
        <v>603.3</v>
      </c>
      <c r="L36" s="28"/>
      <c r="M36" s="28">
        <f t="shared" si="10"/>
        <v>391.75324675324674</v>
      </c>
      <c r="N36" s="69"/>
      <c r="O36" s="69"/>
      <c r="P36" s="24">
        <f t="shared" si="2"/>
        <v>391.7532467532467</v>
      </c>
      <c r="Q36" s="24">
        <f t="shared" si="11"/>
        <v>97.93831168831167</v>
      </c>
      <c r="R36" s="25">
        <f t="shared" si="12"/>
        <v>95.41356950814486</v>
      </c>
    </row>
    <row r="37" spans="1:18" ht="12.75">
      <c r="A37" s="37" t="s">
        <v>18</v>
      </c>
      <c r="B37" s="37"/>
      <c r="C37" s="36" t="s">
        <v>15</v>
      </c>
      <c r="D37" s="73">
        <v>65</v>
      </c>
      <c r="E37" s="73">
        <v>80</v>
      </c>
      <c r="F37" s="76">
        <f t="shared" si="13"/>
        <v>53.8</v>
      </c>
      <c r="G37" s="73">
        <v>16.3</v>
      </c>
      <c r="H37" s="73">
        <v>21.2</v>
      </c>
      <c r="I37" s="24">
        <v>16.3</v>
      </c>
      <c r="J37" s="25">
        <v>16.2</v>
      </c>
      <c r="K37" s="25">
        <v>102.3</v>
      </c>
      <c r="L37" s="28" t="e">
        <f>K37/#REF!*100</f>
        <v>#REF!</v>
      </c>
      <c r="M37" s="28">
        <f t="shared" si="10"/>
        <v>627.6073619631902</v>
      </c>
      <c r="N37" s="69"/>
      <c r="O37" s="69"/>
      <c r="P37" s="24">
        <f t="shared" si="2"/>
        <v>631.4814814814815</v>
      </c>
      <c r="Q37" s="24">
        <f t="shared" si="11"/>
        <v>157.3846153846154</v>
      </c>
      <c r="R37" s="25">
        <f t="shared" si="12"/>
        <v>127.875</v>
      </c>
    </row>
    <row r="38" spans="1:18" ht="12.75">
      <c r="A38" s="29" t="s">
        <v>12</v>
      </c>
      <c r="B38" s="29"/>
      <c r="C38" s="36" t="s">
        <v>7</v>
      </c>
      <c r="D38" s="89"/>
      <c r="E38" s="73">
        <v>64.1</v>
      </c>
      <c r="F38" s="76"/>
      <c r="G38" s="73"/>
      <c r="H38" s="73"/>
      <c r="I38" s="24"/>
      <c r="J38" s="25"/>
      <c r="K38" s="25">
        <v>64.1</v>
      </c>
      <c r="L38" s="28"/>
      <c r="M38" s="28"/>
      <c r="N38" s="69"/>
      <c r="O38" s="69"/>
      <c r="P38" s="24"/>
      <c r="Q38" s="24"/>
      <c r="R38" s="25">
        <f t="shared" si="12"/>
        <v>100</v>
      </c>
    </row>
    <row r="39" spans="1:18" ht="15.75" customHeight="1">
      <c r="A39" s="39" t="s">
        <v>39</v>
      </c>
      <c r="B39" s="40"/>
      <c r="C39" s="23" t="s">
        <v>40</v>
      </c>
      <c r="D39" s="89"/>
      <c r="E39" s="36"/>
      <c r="F39" s="76">
        <f t="shared" si="13"/>
        <v>0</v>
      </c>
      <c r="G39" s="73"/>
      <c r="H39" s="73"/>
      <c r="I39" s="24"/>
      <c r="J39" s="25"/>
      <c r="K39" s="25">
        <v>0.8</v>
      </c>
      <c r="L39" s="28"/>
      <c r="M39" s="28"/>
      <c r="N39" s="69"/>
      <c r="O39" s="69"/>
      <c r="P39" s="24" t="e">
        <f t="shared" si="2"/>
        <v>#DIV/0!</v>
      </c>
      <c r="Q39" s="24"/>
      <c r="R39" s="25"/>
    </row>
    <row r="40" spans="1:18" ht="12.75">
      <c r="A40" s="33" t="s">
        <v>1</v>
      </c>
      <c r="B40" s="33"/>
      <c r="C40" s="41" t="s">
        <v>0</v>
      </c>
      <c r="D40" s="42">
        <f>D41+D42</f>
        <v>16878</v>
      </c>
      <c r="E40" s="42">
        <f>E41+E42</f>
        <v>19712.5</v>
      </c>
      <c r="F40" s="42">
        <f aca="true" t="shared" si="14" ref="F40:K40">F41+F42</f>
        <v>15669.400000000001</v>
      </c>
      <c r="G40" s="42">
        <f t="shared" si="14"/>
        <v>4108.3</v>
      </c>
      <c r="H40" s="42">
        <f t="shared" si="14"/>
        <v>7287.6</v>
      </c>
      <c r="I40" s="42">
        <f t="shared" si="14"/>
        <v>4273.5</v>
      </c>
      <c r="J40" s="42">
        <f t="shared" si="14"/>
        <v>4219.5</v>
      </c>
      <c r="K40" s="42">
        <f t="shared" si="14"/>
        <v>15782</v>
      </c>
      <c r="L40" s="42" t="e">
        <f>L41</f>
        <v>#REF!</v>
      </c>
      <c r="M40" s="35">
        <f>K40/I40*100</f>
        <v>369.2991692991693</v>
      </c>
      <c r="N40" s="69"/>
      <c r="O40" s="69"/>
      <c r="P40" s="46">
        <f t="shared" si="2"/>
        <v>374.0253584547932</v>
      </c>
      <c r="Q40" s="46">
        <f t="shared" si="11"/>
        <v>93.5063396136983</v>
      </c>
      <c r="R40" s="32">
        <f t="shared" si="12"/>
        <v>80.06087507926442</v>
      </c>
    </row>
    <row r="41" spans="1:18" ht="24">
      <c r="A41" s="21" t="s">
        <v>67</v>
      </c>
      <c r="B41" s="19"/>
      <c r="C41" s="43" t="s">
        <v>20</v>
      </c>
      <c r="D41" s="49">
        <v>16878</v>
      </c>
      <c r="E41" s="73">
        <v>19718.8</v>
      </c>
      <c r="F41" s="76">
        <f>G41+H41+I41</f>
        <v>15675.7</v>
      </c>
      <c r="G41" s="49">
        <f>4062.5+45.8</f>
        <v>4108.3</v>
      </c>
      <c r="H41" s="49">
        <v>7287.6</v>
      </c>
      <c r="I41" s="24">
        <f>4219.5+60.3</f>
        <v>4279.8</v>
      </c>
      <c r="J41" s="49">
        <v>4219.5</v>
      </c>
      <c r="K41" s="25">
        <v>15788.3</v>
      </c>
      <c r="L41" s="28" t="e">
        <f>K41/#REF!*100</f>
        <v>#REF!</v>
      </c>
      <c r="M41" s="28">
        <f>K41/I41*100</f>
        <v>368.90275246506843</v>
      </c>
      <c r="N41" s="69"/>
      <c r="O41" s="69"/>
      <c r="P41" s="24">
        <f t="shared" si="2"/>
        <v>374.1746652446972</v>
      </c>
      <c r="Q41" s="24">
        <f t="shared" si="11"/>
        <v>93.5436663111743</v>
      </c>
      <c r="R41" s="25">
        <f t="shared" si="12"/>
        <v>80.06724547132686</v>
      </c>
    </row>
    <row r="42" spans="1:18" ht="24.75" customHeight="1">
      <c r="A42" s="21" t="s">
        <v>66</v>
      </c>
      <c r="B42" s="26"/>
      <c r="C42" s="27" t="s">
        <v>63</v>
      </c>
      <c r="D42" s="49"/>
      <c r="E42" s="73">
        <f>G42+H42+I42+J42</f>
        <v>-6.3</v>
      </c>
      <c r="F42" s="76">
        <f>G42+H42+I42</f>
        <v>-6.3</v>
      </c>
      <c r="G42" s="49"/>
      <c r="H42" s="49"/>
      <c r="I42" s="24">
        <v>-6.3</v>
      </c>
      <c r="J42" s="49"/>
      <c r="K42" s="25">
        <v>-6.3</v>
      </c>
      <c r="L42" s="28"/>
      <c r="M42" s="28">
        <f>K42/I42*100</f>
        <v>100</v>
      </c>
      <c r="N42" s="69"/>
      <c r="O42" s="69"/>
      <c r="P42" s="24"/>
      <c r="Q42" s="24"/>
      <c r="R42" s="25">
        <f t="shared" si="12"/>
        <v>100</v>
      </c>
    </row>
    <row r="43" spans="1:18" ht="12.75">
      <c r="A43" s="29"/>
      <c r="B43" s="30"/>
      <c r="C43" s="31" t="s">
        <v>4</v>
      </c>
      <c r="D43" s="32">
        <f aca="true" t="shared" si="15" ref="D43:J43">D40+D30</f>
        <v>33911</v>
      </c>
      <c r="E43" s="32">
        <f t="shared" si="15"/>
        <v>36751.8</v>
      </c>
      <c r="F43" s="32">
        <f t="shared" si="15"/>
        <v>28450.6</v>
      </c>
      <c r="G43" s="32">
        <f t="shared" si="15"/>
        <v>8366.7</v>
      </c>
      <c r="H43" s="32">
        <f t="shared" si="15"/>
        <v>11552</v>
      </c>
      <c r="I43" s="32">
        <f t="shared" si="15"/>
        <v>8531.900000000001</v>
      </c>
      <c r="J43" s="32">
        <f t="shared" si="15"/>
        <v>8477.599999999999</v>
      </c>
      <c r="K43" s="32">
        <f>K40+K30</f>
        <v>31005.799999999996</v>
      </c>
      <c r="L43" s="35" t="e">
        <f>K43/#REF!*100</f>
        <v>#REF!</v>
      </c>
      <c r="M43" s="35">
        <f>K43/I43*100</f>
        <v>363.41026031716257</v>
      </c>
      <c r="N43" s="69"/>
      <c r="O43" s="70" t="e">
        <f>J43+#REF!+#REF!</f>
        <v>#REF!</v>
      </c>
      <c r="P43" s="46">
        <f t="shared" si="2"/>
        <v>365.73794470133055</v>
      </c>
      <c r="Q43" s="46">
        <f t="shared" si="11"/>
        <v>91.43286839078763</v>
      </c>
      <c r="R43" s="32">
        <f t="shared" si="12"/>
        <v>84.36539162707675</v>
      </c>
    </row>
    <row r="44" spans="1:18" ht="12.75">
      <c r="A44" s="50"/>
      <c r="B44" s="51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6"/>
      <c r="N44" s="69"/>
      <c r="O44" s="69"/>
      <c r="P44" s="67"/>
      <c r="Q44" s="35"/>
      <c r="R44" s="32"/>
    </row>
    <row r="45" spans="1:18" ht="12.75">
      <c r="A45" s="104" t="s">
        <v>26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35"/>
      <c r="R45" s="32"/>
    </row>
    <row r="46" spans="1:18" ht="12.75">
      <c r="A46" s="33" t="s">
        <v>3</v>
      </c>
      <c r="B46" s="33"/>
      <c r="C46" s="34" t="s">
        <v>68</v>
      </c>
      <c r="D46" s="35">
        <f aca="true" t="shared" si="16" ref="D46:K46">D47+D50+D52+D53+D54+D55+D51+D49+D48</f>
        <v>19510.6</v>
      </c>
      <c r="E46" s="35">
        <f t="shared" si="16"/>
        <v>19710.6</v>
      </c>
      <c r="F46" s="35">
        <f t="shared" si="16"/>
        <v>14802.099999999999</v>
      </c>
      <c r="G46" s="35">
        <f t="shared" si="16"/>
        <v>5067.4</v>
      </c>
      <c r="H46" s="35">
        <f t="shared" si="16"/>
        <v>4867.299999999999</v>
      </c>
      <c r="I46" s="35">
        <f t="shared" si="16"/>
        <v>4867.4</v>
      </c>
      <c r="J46" s="35">
        <f t="shared" si="16"/>
        <v>4908.5</v>
      </c>
      <c r="K46" s="35">
        <f t="shared" si="16"/>
        <v>15257.500000000002</v>
      </c>
      <c r="L46" s="35" t="e">
        <f>K46/#REF!*100</f>
        <v>#REF!</v>
      </c>
      <c r="M46" s="35">
        <f>K46/I46*100</f>
        <v>313.4630398159182</v>
      </c>
      <c r="N46" s="69"/>
      <c r="O46" s="69"/>
      <c r="P46" s="35">
        <f t="shared" si="2"/>
        <v>310.83834165223595</v>
      </c>
      <c r="Q46" s="46">
        <f>K46*100/D46</f>
        <v>78.20108043832585</v>
      </c>
      <c r="R46" s="32">
        <f>K46*100/E46</f>
        <v>77.40758779539945</v>
      </c>
    </row>
    <row r="47" spans="1:18" ht="12.75">
      <c r="A47" s="29" t="s">
        <v>23</v>
      </c>
      <c r="B47" s="19"/>
      <c r="C47" s="47" t="s">
        <v>22</v>
      </c>
      <c r="D47" s="76">
        <v>12300</v>
      </c>
      <c r="E47" s="73">
        <f aca="true" t="shared" si="17" ref="E47:E59">G47+H47+I47+J47</f>
        <v>12300</v>
      </c>
      <c r="F47" s="76">
        <f>G47+H47+I47</f>
        <v>9225</v>
      </c>
      <c r="G47" s="73">
        <v>3075</v>
      </c>
      <c r="H47" s="73">
        <v>3075</v>
      </c>
      <c r="I47" s="24">
        <v>3075</v>
      </c>
      <c r="J47" s="25">
        <v>3075</v>
      </c>
      <c r="K47" s="48">
        <v>9318</v>
      </c>
      <c r="L47" s="28" t="e">
        <f>K47/#REF!*100</f>
        <v>#REF!</v>
      </c>
      <c r="M47" s="28">
        <f>K47/I47*100</f>
        <v>303.0243902439024</v>
      </c>
      <c r="N47" s="69"/>
      <c r="O47" s="69"/>
      <c r="P47" s="24">
        <f t="shared" si="2"/>
        <v>303.0243902439024</v>
      </c>
      <c r="Q47" s="24">
        <f aca="true" t="shared" si="18" ref="Q47:Q60">K47*100/D47</f>
        <v>75.7560975609756</v>
      </c>
      <c r="R47" s="25">
        <f aca="true" t="shared" si="19" ref="R47:R60">K47*100/E47</f>
        <v>75.7560975609756</v>
      </c>
    </row>
    <row r="48" spans="1:18" ht="12.75">
      <c r="A48" s="19" t="s">
        <v>70</v>
      </c>
      <c r="B48" s="19"/>
      <c r="C48" s="36" t="s">
        <v>71</v>
      </c>
      <c r="D48" s="73">
        <v>4056.1</v>
      </c>
      <c r="E48" s="73">
        <f t="shared" si="17"/>
        <v>4056.0999999999995</v>
      </c>
      <c r="F48" s="76">
        <f aca="true" t="shared" si="20" ref="F48:F55">G48+H48+I48</f>
        <v>3011.3999999999996</v>
      </c>
      <c r="G48" s="73">
        <v>1003.8</v>
      </c>
      <c r="H48" s="73">
        <v>1003.8</v>
      </c>
      <c r="I48" s="24">
        <v>1003.8</v>
      </c>
      <c r="J48" s="25">
        <v>1044.7</v>
      </c>
      <c r="K48" s="48">
        <v>2720.6</v>
      </c>
      <c r="L48" s="28"/>
      <c r="M48" s="28"/>
      <c r="N48" s="69"/>
      <c r="O48" s="69"/>
      <c r="P48" s="24"/>
      <c r="Q48" s="24">
        <f t="shared" si="18"/>
        <v>67.07428317842262</v>
      </c>
      <c r="R48" s="25">
        <f t="shared" si="19"/>
        <v>67.07428317842263</v>
      </c>
    </row>
    <row r="49" spans="1:18" ht="12.75">
      <c r="A49" s="19" t="s">
        <v>8</v>
      </c>
      <c r="B49" s="19"/>
      <c r="C49" s="36" t="s">
        <v>5</v>
      </c>
      <c r="D49" s="73">
        <v>17</v>
      </c>
      <c r="E49" s="73">
        <f t="shared" si="17"/>
        <v>17</v>
      </c>
      <c r="F49" s="76">
        <f t="shared" si="20"/>
        <v>12.600000000000001</v>
      </c>
      <c r="G49" s="73">
        <v>4.2</v>
      </c>
      <c r="H49" s="73">
        <v>4.2</v>
      </c>
      <c r="I49" s="24">
        <v>4.2</v>
      </c>
      <c r="J49" s="25">
        <v>4.4</v>
      </c>
      <c r="K49" s="48">
        <v>13.5</v>
      </c>
      <c r="L49" s="28" t="e">
        <f>K49/#REF!*100</f>
        <v>#REF!</v>
      </c>
      <c r="M49" s="28">
        <f>K49/I49*100</f>
        <v>321.4285714285714</v>
      </c>
      <c r="N49" s="69"/>
      <c r="O49" s="69"/>
      <c r="P49" s="24">
        <f t="shared" si="2"/>
        <v>306.8181818181818</v>
      </c>
      <c r="Q49" s="24">
        <f t="shared" si="18"/>
        <v>79.41176470588235</v>
      </c>
      <c r="R49" s="25">
        <f t="shared" si="19"/>
        <v>79.41176470588235</v>
      </c>
    </row>
    <row r="50" spans="1:18" ht="14.25" customHeight="1">
      <c r="A50" s="19" t="s">
        <v>9</v>
      </c>
      <c r="B50" s="19"/>
      <c r="C50" s="36" t="s">
        <v>6</v>
      </c>
      <c r="D50" s="73">
        <v>2280</v>
      </c>
      <c r="E50" s="73">
        <f t="shared" si="17"/>
        <v>2280</v>
      </c>
      <c r="F50" s="76">
        <f t="shared" si="20"/>
        <v>1710</v>
      </c>
      <c r="G50" s="73">
        <v>570</v>
      </c>
      <c r="H50" s="73">
        <v>570</v>
      </c>
      <c r="I50" s="24">
        <v>570</v>
      </c>
      <c r="J50" s="25">
        <v>570</v>
      </c>
      <c r="K50" s="25">
        <v>1658.1</v>
      </c>
      <c r="L50" s="28" t="e">
        <f>K50/#REF!*100</f>
        <v>#REF!</v>
      </c>
      <c r="M50" s="28">
        <f>K50/I50*100</f>
        <v>290.8947368421052</v>
      </c>
      <c r="N50" s="69"/>
      <c r="O50" s="69"/>
      <c r="P50" s="24">
        <f t="shared" si="2"/>
        <v>290.89473684210526</v>
      </c>
      <c r="Q50" s="24">
        <f t="shared" si="18"/>
        <v>72.72368421052632</v>
      </c>
      <c r="R50" s="25">
        <f t="shared" si="19"/>
        <v>72.72368421052632</v>
      </c>
    </row>
    <row r="51" spans="1:18" ht="18" customHeight="1">
      <c r="A51" s="19" t="s">
        <v>10</v>
      </c>
      <c r="B51" s="19"/>
      <c r="C51" s="36" t="s">
        <v>21</v>
      </c>
      <c r="D51" s="73">
        <v>0</v>
      </c>
      <c r="E51" s="73">
        <f t="shared" si="17"/>
        <v>0</v>
      </c>
      <c r="F51" s="76">
        <f t="shared" si="20"/>
        <v>0</v>
      </c>
      <c r="G51" s="73"/>
      <c r="H51" s="73"/>
      <c r="I51" s="24"/>
      <c r="J51" s="25"/>
      <c r="K51" s="25">
        <v>1.6</v>
      </c>
      <c r="L51" s="28"/>
      <c r="M51" s="28"/>
      <c r="N51" s="69"/>
      <c r="O51" s="69"/>
      <c r="P51" s="24" t="e">
        <f t="shared" si="2"/>
        <v>#DIV/0!</v>
      </c>
      <c r="Q51" s="24"/>
      <c r="R51" s="25"/>
    </row>
    <row r="52" spans="1:18" ht="24">
      <c r="A52" s="20" t="s">
        <v>11</v>
      </c>
      <c r="B52" s="20"/>
      <c r="C52" s="36" t="s">
        <v>17</v>
      </c>
      <c r="D52" s="73">
        <v>632.5</v>
      </c>
      <c r="E52" s="73">
        <f t="shared" si="17"/>
        <v>832.5</v>
      </c>
      <c r="F52" s="76">
        <f t="shared" si="20"/>
        <v>674.3000000000001</v>
      </c>
      <c r="G52" s="73">
        <f>158.1+200</f>
        <v>358.1</v>
      </c>
      <c r="H52" s="73">
        <v>158.1</v>
      </c>
      <c r="I52" s="24">
        <v>158.1</v>
      </c>
      <c r="J52" s="25">
        <v>158.2</v>
      </c>
      <c r="K52" s="25">
        <v>872.7</v>
      </c>
      <c r="L52" s="28" t="e">
        <f>K52/#REF!*100</f>
        <v>#REF!</v>
      </c>
      <c r="M52" s="28">
        <f>K52/I52*100</f>
        <v>551.9924098671727</v>
      </c>
      <c r="N52" s="69"/>
      <c r="O52" s="69"/>
      <c r="P52" s="24">
        <f t="shared" si="2"/>
        <v>551.6434892541088</v>
      </c>
      <c r="Q52" s="24">
        <f t="shared" si="18"/>
        <v>137.97628458498025</v>
      </c>
      <c r="R52" s="25">
        <f t="shared" si="19"/>
        <v>104.82882882882883</v>
      </c>
    </row>
    <row r="53" spans="1:18" ht="12.75">
      <c r="A53" s="38" t="s">
        <v>18</v>
      </c>
      <c r="B53" s="38"/>
      <c r="C53" s="36" t="s">
        <v>15</v>
      </c>
      <c r="D53" s="73">
        <v>225</v>
      </c>
      <c r="E53" s="73">
        <f t="shared" si="17"/>
        <v>225</v>
      </c>
      <c r="F53" s="76">
        <f t="shared" si="20"/>
        <v>168.8</v>
      </c>
      <c r="G53" s="73">
        <v>56.3</v>
      </c>
      <c r="H53" s="73">
        <v>56.2</v>
      </c>
      <c r="I53" s="24">
        <v>56.3</v>
      </c>
      <c r="J53" s="25">
        <v>56.2</v>
      </c>
      <c r="K53" s="25">
        <v>341.9</v>
      </c>
      <c r="L53" s="28" t="e">
        <f>K53/#REF!*100</f>
        <v>#REF!</v>
      </c>
      <c r="M53" s="28">
        <f>K53/I53*100</f>
        <v>607.2824156305506</v>
      </c>
      <c r="N53" s="69"/>
      <c r="O53" s="69"/>
      <c r="P53" s="24">
        <f t="shared" si="2"/>
        <v>608.3629893238434</v>
      </c>
      <c r="Q53" s="24">
        <f t="shared" si="18"/>
        <v>151.95555555555555</v>
      </c>
      <c r="R53" s="25">
        <f t="shared" si="19"/>
        <v>151.95555555555555</v>
      </c>
    </row>
    <row r="54" spans="1:18" ht="17.25" customHeight="1" hidden="1">
      <c r="A54" s="29" t="s">
        <v>12</v>
      </c>
      <c r="B54" s="29"/>
      <c r="C54" s="36" t="s">
        <v>7</v>
      </c>
      <c r="D54" s="73"/>
      <c r="E54" s="73">
        <f t="shared" si="17"/>
        <v>0</v>
      </c>
      <c r="F54" s="76">
        <f t="shared" si="20"/>
        <v>0</v>
      </c>
      <c r="G54" s="73"/>
      <c r="H54" s="73"/>
      <c r="I54" s="24"/>
      <c r="J54" s="25"/>
      <c r="K54" s="25"/>
      <c r="L54" s="28" t="e">
        <f>K54/#REF!*100</f>
        <v>#REF!</v>
      </c>
      <c r="M54" s="28"/>
      <c r="N54" s="69"/>
      <c r="O54" s="69"/>
      <c r="P54" s="24" t="e">
        <f t="shared" si="2"/>
        <v>#DIV/0!</v>
      </c>
      <c r="Q54" s="24" t="e">
        <f t="shared" si="18"/>
        <v>#DIV/0!</v>
      </c>
      <c r="R54" s="25" t="e">
        <f t="shared" si="19"/>
        <v>#DIV/0!</v>
      </c>
    </row>
    <row r="55" spans="1:18" ht="14.25" customHeight="1">
      <c r="A55" s="52" t="s">
        <v>39</v>
      </c>
      <c r="B55" s="40"/>
      <c r="C55" s="23" t="s">
        <v>40</v>
      </c>
      <c r="D55" s="89">
        <v>0</v>
      </c>
      <c r="E55" s="73">
        <f t="shared" si="17"/>
        <v>0</v>
      </c>
      <c r="F55" s="76">
        <f t="shared" si="20"/>
        <v>0</v>
      </c>
      <c r="G55" s="73"/>
      <c r="H55" s="73"/>
      <c r="I55" s="24"/>
      <c r="J55" s="25"/>
      <c r="K55" s="25">
        <v>331.1</v>
      </c>
      <c r="L55" s="28"/>
      <c r="M55" s="28"/>
      <c r="N55" s="69"/>
      <c r="O55" s="69"/>
      <c r="P55" s="24" t="e">
        <f t="shared" si="2"/>
        <v>#DIV/0!</v>
      </c>
      <c r="Q55" s="24"/>
      <c r="R55" s="25"/>
    </row>
    <row r="56" spans="1:18" ht="12.75">
      <c r="A56" s="45" t="s">
        <v>1</v>
      </c>
      <c r="B56" s="45"/>
      <c r="C56" s="41" t="s">
        <v>0</v>
      </c>
      <c r="D56" s="42">
        <f>D57+D59+D58</f>
        <v>24457</v>
      </c>
      <c r="E56" s="42">
        <f>E57+E59+E58</f>
        <v>39623.5</v>
      </c>
      <c r="F56" s="42">
        <f aca="true" t="shared" si="21" ref="F56:P56">F57+F59+F58</f>
        <v>32239</v>
      </c>
      <c r="G56" s="42">
        <f t="shared" si="21"/>
        <v>17820.1</v>
      </c>
      <c r="H56" s="42">
        <f t="shared" si="21"/>
        <v>6661.5</v>
      </c>
      <c r="I56" s="42">
        <f t="shared" si="21"/>
        <v>7757.4</v>
      </c>
      <c r="J56" s="42">
        <f t="shared" si="21"/>
        <v>6114.3</v>
      </c>
      <c r="K56" s="42">
        <f t="shared" si="21"/>
        <v>34673.7</v>
      </c>
      <c r="L56" s="42" t="e">
        <f t="shared" si="21"/>
        <v>#REF!</v>
      </c>
      <c r="M56" s="42">
        <f t="shared" si="21"/>
        <v>446.97579085776164</v>
      </c>
      <c r="N56" s="42">
        <f t="shared" si="21"/>
        <v>0.1</v>
      </c>
      <c r="O56" s="42">
        <f t="shared" si="21"/>
        <v>0</v>
      </c>
      <c r="P56" s="42" t="e">
        <f t="shared" si="21"/>
        <v>#DIV/0!</v>
      </c>
      <c r="Q56" s="46">
        <f t="shared" si="18"/>
        <v>141.77413419470906</v>
      </c>
      <c r="R56" s="32">
        <f t="shared" si="19"/>
        <v>87.50791828081819</v>
      </c>
    </row>
    <row r="57" spans="1:18" ht="24">
      <c r="A57" s="21" t="s">
        <v>67</v>
      </c>
      <c r="B57" s="19"/>
      <c r="C57" s="43" t="s">
        <v>20</v>
      </c>
      <c r="D57" s="87">
        <v>24457</v>
      </c>
      <c r="E57" s="73">
        <v>39623.5</v>
      </c>
      <c r="F57" s="76">
        <f>G57+H57+I57</f>
        <v>32239</v>
      </c>
      <c r="G57" s="49">
        <f>17770.1+50</f>
        <v>17820.1</v>
      </c>
      <c r="H57" s="49">
        <v>6661.5</v>
      </c>
      <c r="I57" s="24">
        <f>6114.3+1643.1</f>
        <v>7757.4</v>
      </c>
      <c r="J57" s="24">
        <v>6114.3</v>
      </c>
      <c r="K57" s="25">
        <v>34673.7</v>
      </c>
      <c r="L57" s="28" t="e">
        <f>K57/#REF!*100</f>
        <v>#REF!</v>
      </c>
      <c r="M57" s="28">
        <f>K57/I57*100</f>
        <v>446.97579085776164</v>
      </c>
      <c r="N57" s="69">
        <v>0.1</v>
      </c>
      <c r="O57" s="69"/>
      <c r="P57" s="24">
        <f t="shared" si="2"/>
        <v>567.0918993179921</v>
      </c>
      <c r="Q57" s="24">
        <f t="shared" si="18"/>
        <v>141.77413419470906</v>
      </c>
      <c r="R57" s="25">
        <f t="shared" si="19"/>
        <v>87.50791828081819</v>
      </c>
    </row>
    <row r="58" spans="1:18" ht="12.75" hidden="1">
      <c r="A58" s="21" t="s">
        <v>2</v>
      </c>
      <c r="B58" s="21"/>
      <c r="C58" s="44" t="s">
        <v>19</v>
      </c>
      <c r="D58" s="44"/>
      <c r="E58" s="73">
        <f>G58+H58+I58+J58</f>
        <v>0</v>
      </c>
      <c r="F58" s="73">
        <f>G58</f>
        <v>0</v>
      </c>
      <c r="G58" s="49"/>
      <c r="H58" s="49"/>
      <c r="I58" s="24"/>
      <c r="J58" s="67"/>
      <c r="K58" s="25"/>
      <c r="L58" s="28"/>
      <c r="M58" s="28"/>
      <c r="N58" s="69"/>
      <c r="O58" s="69"/>
      <c r="P58" s="24"/>
      <c r="Q58" s="46" t="e">
        <f t="shared" si="18"/>
        <v>#DIV/0!</v>
      </c>
      <c r="R58" s="32" t="e">
        <f t="shared" si="19"/>
        <v>#DIV/0!</v>
      </c>
    </row>
    <row r="59" spans="1:18" ht="24" hidden="1">
      <c r="A59" s="21" t="s">
        <v>66</v>
      </c>
      <c r="B59" s="26"/>
      <c r="C59" s="27" t="s">
        <v>63</v>
      </c>
      <c r="D59" s="27"/>
      <c r="E59" s="73">
        <f t="shared" si="17"/>
        <v>0</v>
      </c>
      <c r="F59" s="73">
        <f>G59</f>
        <v>0</v>
      </c>
      <c r="G59" s="77"/>
      <c r="H59" s="77"/>
      <c r="I59" s="24"/>
      <c r="J59" s="67"/>
      <c r="K59" s="25"/>
      <c r="L59" s="28" t="e">
        <f>K59/#REF!*100</f>
        <v>#REF!</v>
      </c>
      <c r="M59" s="28"/>
      <c r="N59" s="69"/>
      <c r="O59" s="69"/>
      <c r="P59" s="24" t="e">
        <f t="shared" si="2"/>
        <v>#DIV/0!</v>
      </c>
      <c r="Q59" s="46" t="e">
        <f t="shared" si="18"/>
        <v>#DIV/0!</v>
      </c>
      <c r="R59" s="32" t="e">
        <f t="shared" si="19"/>
        <v>#DIV/0!</v>
      </c>
    </row>
    <row r="60" spans="1:18" ht="12.75">
      <c r="A60" s="20"/>
      <c r="B60" s="53"/>
      <c r="C60" s="54" t="s">
        <v>4</v>
      </c>
      <c r="D60" s="55">
        <f aca="true" t="shared" si="22" ref="D60:K60">D56+D46</f>
        <v>43967.6</v>
      </c>
      <c r="E60" s="55">
        <f t="shared" si="22"/>
        <v>59334.1</v>
      </c>
      <c r="F60" s="55">
        <f t="shared" si="22"/>
        <v>47041.1</v>
      </c>
      <c r="G60" s="55">
        <v>17820.1</v>
      </c>
      <c r="H60" s="55">
        <f t="shared" si="22"/>
        <v>11528.8</v>
      </c>
      <c r="I60" s="55">
        <f t="shared" si="22"/>
        <v>12624.8</v>
      </c>
      <c r="J60" s="55">
        <f t="shared" si="22"/>
        <v>11022.8</v>
      </c>
      <c r="K60" s="55">
        <f t="shared" si="22"/>
        <v>49931.2</v>
      </c>
      <c r="L60" s="35" t="e">
        <f>K60/#REF!*100</f>
        <v>#REF!</v>
      </c>
      <c r="M60" s="35">
        <f>K60/I60*100</f>
        <v>395.5009188264369</v>
      </c>
      <c r="N60" s="69"/>
      <c r="O60" s="70" t="e">
        <f>J60+#REF!+#REF!</f>
        <v>#REF!</v>
      </c>
      <c r="P60" s="46">
        <f t="shared" si="2"/>
        <v>452.98109373298985</v>
      </c>
      <c r="Q60" s="46">
        <f t="shared" si="18"/>
        <v>113.563624123218</v>
      </c>
      <c r="R60" s="32">
        <f t="shared" si="19"/>
        <v>84.15262049984747</v>
      </c>
    </row>
    <row r="61" spans="1:18" ht="12.75">
      <c r="A61" s="101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3"/>
      <c r="N61" s="69"/>
      <c r="O61" s="69"/>
      <c r="P61" s="67"/>
      <c r="Q61" s="35"/>
      <c r="R61" s="32"/>
    </row>
    <row r="62" spans="1:18" ht="12.75">
      <c r="A62" s="104" t="s">
        <v>27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35"/>
      <c r="R62" s="32"/>
    </row>
    <row r="63" spans="1:18" ht="12.75">
      <c r="A63" s="45" t="s">
        <v>3</v>
      </c>
      <c r="B63" s="45"/>
      <c r="C63" s="68" t="s">
        <v>68</v>
      </c>
      <c r="D63" s="46">
        <f>D64+D67+D69+D71+D68+D73+D72+D66+D70+D65</f>
        <v>40329</v>
      </c>
      <c r="E63" s="46">
        <f>E64+E67+E69+E71+E68+E73+E72+E66+E70+E65</f>
        <v>45165.2</v>
      </c>
      <c r="F63" s="46">
        <f>F64+F67+F69+F71+F68+F73+F72+F66+F70+F65</f>
        <v>30066</v>
      </c>
      <c r="G63" s="46">
        <f aca="true" t="shared" si="23" ref="G63:P63">G64+G67+G69+G71+G68+G73+G72+G66+G70+G65</f>
        <v>8510.3</v>
      </c>
      <c r="H63" s="46">
        <f t="shared" si="23"/>
        <v>12873.2</v>
      </c>
      <c r="I63" s="46">
        <f t="shared" si="23"/>
        <v>8682.5</v>
      </c>
      <c r="J63" s="46">
        <f t="shared" si="23"/>
        <v>12743</v>
      </c>
      <c r="K63" s="46">
        <f t="shared" si="23"/>
        <v>37891.700000000004</v>
      </c>
      <c r="L63" s="46" t="e">
        <f t="shared" si="23"/>
        <v>#REF!</v>
      </c>
      <c r="M63" s="46" t="e">
        <f t="shared" si="23"/>
        <v>#DIV/0!</v>
      </c>
      <c r="N63" s="46">
        <f t="shared" si="23"/>
        <v>0</v>
      </c>
      <c r="O63" s="46">
        <f t="shared" si="23"/>
        <v>0</v>
      </c>
      <c r="P63" s="46" t="e">
        <f t="shared" si="23"/>
        <v>#DIV/0!</v>
      </c>
      <c r="Q63" s="46">
        <f>K63*100/D63</f>
        <v>93.95645813186542</v>
      </c>
      <c r="R63" s="32">
        <f>K63*100/E63</f>
        <v>83.89578702186641</v>
      </c>
    </row>
    <row r="64" spans="1:18" ht="12.75">
      <c r="A64" s="19" t="s">
        <v>23</v>
      </c>
      <c r="B64" s="19"/>
      <c r="C64" s="47" t="s">
        <v>22</v>
      </c>
      <c r="D64" s="76">
        <v>18800</v>
      </c>
      <c r="E64" s="73">
        <f>G64+H64+I64+J64</f>
        <v>18880</v>
      </c>
      <c r="F64" s="76">
        <f>G64+H64+I64</f>
        <v>13481.2</v>
      </c>
      <c r="G64" s="78">
        <v>3743</v>
      </c>
      <c r="H64" s="78">
        <v>5687</v>
      </c>
      <c r="I64" s="28">
        <v>4051.2</v>
      </c>
      <c r="J64" s="28">
        <v>5398.8</v>
      </c>
      <c r="K64" s="28">
        <v>14461.3</v>
      </c>
      <c r="L64" s="28" t="e">
        <f>K64/#REF!*100</f>
        <v>#REF!</v>
      </c>
      <c r="M64" s="28">
        <f aca="true" t="shared" si="24" ref="M64:M71">K64/I64*100</f>
        <v>356.963368878357</v>
      </c>
      <c r="N64" s="69"/>
      <c r="O64" s="69"/>
      <c r="P64" s="28">
        <f t="shared" si="2"/>
        <v>267.8613766022079</v>
      </c>
      <c r="Q64" s="24">
        <f aca="true" t="shared" si="25" ref="Q64:Q77">K64*100/D64</f>
        <v>76.9218085106383</v>
      </c>
      <c r="R64" s="25">
        <f aca="true" t="shared" si="26" ref="R64:R77">K64*100/E64</f>
        <v>76.59586864406779</v>
      </c>
    </row>
    <row r="65" spans="1:18" ht="12.75">
      <c r="A65" s="19" t="s">
        <v>70</v>
      </c>
      <c r="B65" s="19"/>
      <c r="C65" s="36" t="s">
        <v>71</v>
      </c>
      <c r="D65" s="73">
        <v>6809</v>
      </c>
      <c r="E65" s="73">
        <f>G65+H65+I65+J65</f>
        <v>6809</v>
      </c>
      <c r="F65" s="76">
        <f aca="true" t="shared" si="27" ref="F65:F73">G65+H65+I65</f>
        <v>5101.5</v>
      </c>
      <c r="G65" s="78">
        <v>1705.5</v>
      </c>
      <c r="H65" s="78">
        <v>1689.5</v>
      </c>
      <c r="I65" s="28">
        <v>1706.5</v>
      </c>
      <c r="J65" s="28">
        <v>1707.5</v>
      </c>
      <c r="K65" s="28">
        <v>4567</v>
      </c>
      <c r="L65" s="28"/>
      <c r="M65" s="28"/>
      <c r="N65" s="69"/>
      <c r="O65" s="69"/>
      <c r="P65" s="28"/>
      <c r="Q65" s="24">
        <f t="shared" si="25"/>
        <v>67.07299162872668</v>
      </c>
      <c r="R65" s="25">
        <f t="shared" si="26"/>
        <v>67.07299162872668</v>
      </c>
    </row>
    <row r="66" spans="1:18" ht="12.75">
      <c r="A66" s="19" t="s">
        <v>8</v>
      </c>
      <c r="B66" s="19"/>
      <c r="C66" s="36" t="s">
        <v>5</v>
      </c>
      <c r="D66" s="73">
        <v>33</v>
      </c>
      <c r="E66" s="73">
        <f>G66+H66+I66+J66</f>
        <v>67</v>
      </c>
      <c r="F66" s="76">
        <f t="shared" si="27"/>
        <v>67</v>
      </c>
      <c r="G66" s="49">
        <v>25</v>
      </c>
      <c r="H66" s="49">
        <v>42</v>
      </c>
      <c r="I66" s="24"/>
      <c r="J66" s="24"/>
      <c r="K66" s="24">
        <v>67.4</v>
      </c>
      <c r="L66" s="28" t="e">
        <f>K66/#REF!*100</f>
        <v>#REF!</v>
      </c>
      <c r="M66" s="28" t="e">
        <f t="shared" si="24"/>
        <v>#DIV/0!</v>
      </c>
      <c r="N66" s="69"/>
      <c r="O66" s="69"/>
      <c r="P66" s="24" t="e">
        <f t="shared" si="2"/>
        <v>#DIV/0!</v>
      </c>
      <c r="Q66" s="24">
        <f t="shared" si="25"/>
        <v>204.24242424242428</v>
      </c>
      <c r="R66" s="25">
        <f t="shared" si="26"/>
        <v>100.59701492537314</v>
      </c>
    </row>
    <row r="67" spans="1:18" ht="12.75">
      <c r="A67" s="19" t="s">
        <v>9</v>
      </c>
      <c r="B67" s="19"/>
      <c r="C67" s="36" t="s">
        <v>6</v>
      </c>
      <c r="D67" s="73">
        <v>7220</v>
      </c>
      <c r="E67" s="73">
        <v>10220</v>
      </c>
      <c r="F67" s="76">
        <f t="shared" si="27"/>
        <v>5462</v>
      </c>
      <c r="G67" s="49">
        <v>1229</v>
      </c>
      <c r="H67" s="49">
        <v>3176</v>
      </c>
      <c r="I67" s="24">
        <v>1057</v>
      </c>
      <c r="J67" s="24">
        <v>3758</v>
      </c>
      <c r="K67" s="24">
        <v>9189.1</v>
      </c>
      <c r="L67" s="28" t="e">
        <f>K67/#REF!*100</f>
        <v>#REF!</v>
      </c>
      <c r="M67" s="28">
        <f t="shared" si="24"/>
        <v>869.356669820246</v>
      </c>
      <c r="N67" s="69"/>
      <c r="O67" s="69"/>
      <c r="P67" s="24">
        <f t="shared" si="2"/>
        <v>244.52102182011708</v>
      </c>
      <c r="Q67" s="24">
        <f t="shared" si="25"/>
        <v>127.27285318559557</v>
      </c>
      <c r="R67" s="25">
        <f t="shared" si="26"/>
        <v>89.91291585127202</v>
      </c>
    </row>
    <row r="68" spans="1:18" ht="18.75" customHeight="1">
      <c r="A68" s="19" t="s">
        <v>10</v>
      </c>
      <c r="B68" s="19"/>
      <c r="C68" s="36" t="s">
        <v>21</v>
      </c>
      <c r="D68" s="73">
        <v>7</v>
      </c>
      <c r="E68" s="73">
        <v>23.2</v>
      </c>
      <c r="F68" s="76">
        <f t="shared" si="27"/>
        <v>23</v>
      </c>
      <c r="G68" s="49">
        <v>3</v>
      </c>
      <c r="H68" s="49">
        <v>19</v>
      </c>
      <c r="I68" s="24">
        <v>1</v>
      </c>
      <c r="J68" s="24"/>
      <c r="K68" s="24">
        <v>49.8</v>
      </c>
      <c r="L68" s="28"/>
      <c r="M68" s="28">
        <f t="shared" si="24"/>
        <v>4980</v>
      </c>
      <c r="N68" s="69"/>
      <c r="O68" s="69"/>
      <c r="P68" s="24" t="e">
        <f t="shared" si="2"/>
        <v>#DIV/0!</v>
      </c>
      <c r="Q68" s="24">
        <f t="shared" si="25"/>
        <v>711.4285714285714</v>
      </c>
      <c r="R68" s="25">
        <f t="shared" si="26"/>
        <v>214.6551724137931</v>
      </c>
    </row>
    <row r="69" spans="1:18" ht="24">
      <c r="A69" s="20" t="s">
        <v>11</v>
      </c>
      <c r="B69" s="20"/>
      <c r="C69" s="36" t="s">
        <v>17</v>
      </c>
      <c r="D69" s="73">
        <v>7275</v>
      </c>
      <c r="E69" s="73">
        <v>8403.8</v>
      </c>
      <c r="F69" s="76">
        <f t="shared" si="27"/>
        <v>5691.3</v>
      </c>
      <c r="G69" s="49">
        <v>1758.8</v>
      </c>
      <c r="H69" s="49">
        <v>2111.7</v>
      </c>
      <c r="I69" s="24">
        <v>1820.8</v>
      </c>
      <c r="J69" s="24">
        <v>1833.7</v>
      </c>
      <c r="K69" s="24">
        <v>8509.6</v>
      </c>
      <c r="L69" s="28" t="e">
        <f>K69/#REF!*100</f>
        <v>#REF!</v>
      </c>
      <c r="M69" s="28">
        <f t="shared" si="24"/>
        <v>467.35500878734626</v>
      </c>
      <c r="N69" s="69"/>
      <c r="O69" s="69"/>
      <c r="P69" s="24">
        <f t="shared" si="2"/>
        <v>464.0671865626874</v>
      </c>
      <c r="Q69" s="24">
        <f t="shared" si="25"/>
        <v>116.97044673539519</v>
      </c>
      <c r="R69" s="25">
        <f t="shared" si="26"/>
        <v>101.25895428258646</v>
      </c>
    </row>
    <row r="70" spans="1:18" ht="16.5" customHeight="1">
      <c r="A70" s="38" t="s">
        <v>42</v>
      </c>
      <c r="B70" s="38"/>
      <c r="C70" s="36" t="s">
        <v>43</v>
      </c>
      <c r="D70" s="73"/>
      <c r="E70" s="73">
        <v>186.5</v>
      </c>
      <c r="F70" s="76">
        <f t="shared" si="27"/>
        <v>0</v>
      </c>
      <c r="G70" s="49"/>
      <c r="H70" s="49"/>
      <c r="I70" s="24"/>
      <c r="J70" s="24"/>
      <c r="K70" s="24">
        <v>186.5</v>
      </c>
      <c r="L70" s="28" t="e">
        <f>K70/#REF!*100</f>
        <v>#REF!</v>
      </c>
      <c r="M70" s="28"/>
      <c r="N70" s="69"/>
      <c r="O70" s="69"/>
      <c r="P70" s="24" t="e">
        <f t="shared" si="2"/>
        <v>#DIV/0!</v>
      </c>
      <c r="Q70" s="24"/>
      <c r="R70" s="25">
        <f t="shared" si="26"/>
        <v>100</v>
      </c>
    </row>
    <row r="71" spans="1:18" ht="12.75">
      <c r="A71" s="37" t="s">
        <v>18</v>
      </c>
      <c r="B71" s="37"/>
      <c r="C71" s="36" t="s">
        <v>15</v>
      </c>
      <c r="D71" s="73">
        <v>185</v>
      </c>
      <c r="E71" s="73">
        <v>540.5</v>
      </c>
      <c r="F71" s="76">
        <f t="shared" si="27"/>
        <v>240</v>
      </c>
      <c r="G71" s="49">
        <v>46</v>
      </c>
      <c r="H71" s="49">
        <v>148</v>
      </c>
      <c r="I71" s="24">
        <v>46</v>
      </c>
      <c r="J71" s="24">
        <v>45</v>
      </c>
      <c r="K71" s="24">
        <v>663.6</v>
      </c>
      <c r="L71" s="28" t="e">
        <f>K71/#REF!*100</f>
        <v>#REF!</v>
      </c>
      <c r="M71" s="28">
        <f t="shared" si="24"/>
        <v>1442.608695652174</v>
      </c>
      <c r="N71" s="69"/>
      <c r="O71" s="69"/>
      <c r="P71" s="24">
        <f t="shared" si="2"/>
        <v>1474.6666666666667</v>
      </c>
      <c r="Q71" s="24">
        <f t="shared" si="25"/>
        <v>358.7027027027027</v>
      </c>
      <c r="R71" s="25">
        <f t="shared" si="26"/>
        <v>122.77520814061054</v>
      </c>
    </row>
    <row r="72" spans="1:18" ht="12" customHeight="1">
      <c r="A72" s="29" t="s">
        <v>12</v>
      </c>
      <c r="B72" s="29"/>
      <c r="C72" s="36" t="s">
        <v>7</v>
      </c>
      <c r="D72" s="73"/>
      <c r="E72" s="73">
        <v>35.2</v>
      </c>
      <c r="F72" s="76">
        <f t="shared" si="27"/>
        <v>0</v>
      </c>
      <c r="G72" s="49"/>
      <c r="H72" s="49"/>
      <c r="I72" s="24"/>
      <c r="J72" s="24"/>
      <c r="K72" s="24">
        <v>196.5</v>
      </c>
      <c r="L72" s="28"/>
      <c r="M72" s="28"/>
      <c r="N72" s="69"/>
      <c r="O72" s="69"/>
      <c r="P72" s="24" t="e">
        <f t="shared" si="2"/>
        <v>#DIV/0!</v>
      </c>
      <c r="Q72" s="24"/>
      <c r="R72" s="25">
        <f t="shared" si="26"/>
        <v>558.2386363636364</v>
      </c>
    </row>
    <row r="73" spans="1:18" ht="12.75">
      <c r="A73" s="39" t="s">
        <v>39</v>
      </c>
      <c r="B73" s="40"/>
      <c r="C73" s="23" t="s">
        <v>40</v>
      </c>
      <c r="D73" s="89">
        <v>0</v>
      </c>
      <c r="E73" s="73">
        <f>G73+H73+I73+J73</f>
        <v>0</v>
      </c>
      <c r="F73" s="76">
        <f t="shared" si="27"/>
        <v>0</v>
      </c>
      <c r="G73" s="49"/>
      <c r="H73" s="49"/>
      <c r="I73" s="24"/>
      <c r="J73" s="24"/>
      <c r="K73" s="24">
        <v>0.9</v>
      </c>
      <c r="L73" s="28"/>
      <c r="M73" s="28"/>
      <c r="N73" s="69"/>
      <c r="O73" s="69"/>
      <c r="P73" s="24" t="e">
        <f t="shared" si="2"/>
        <v>#DIV/0!</v>
      </c>
      <c r="Q73" s="24"/>
      <c r="R73" s="25"/>
    </row>
    <row r="74" spans="1:18" ht="12.75">
      <c r="A74" s="33" t="s">
        <v>1</v>
      </c>
      <c r="B74" s="33"/>
      <c r="C74" s="41" t="s">
        <v>0</v>
      </c>
      <c r="D74" s="42">
        <f aca="true" t="shared" si="28" ref="D74:K74">D75+D76</f>
        <v>23265.9</v>
      </c>
      <c r="E74" s="42">
        <f t="shared" si="28"/>
        <v>35629.8</v>
      </c>
      <c r="F74" s="42">
        <f t="shared" si="28"/>
        <v>29462.8</v>
      </c>
      <c r="G74" s="42">
        <f t="shared" si="28"/>
        <v>4930.3</v>
      </c>
      <c r="H74" s="42">
        <f t="shared" si="28"/>
        <v>16790.7</v>
      </c>
      <c r="I74" s="42">
        <f t="shared" si="28"/>
        <v>7741.8</v>
      </c>
      <c r="J74" s="42">
        <f t="shared" si="28"/>
        <v>5420.1</v>
      </c>
      <c r="K74" s="42">
        <f t="shared" si="28"/>
        <v>25374.6</v>
      </c>
      <c r="L74" s="35" t="e">
        <f>K74/#REF!*100</f>
        <v>#REF!</v>
      </c>
      <c r="M74" s="35">
        <f>K74/I74*100</f>
        <v>327.7609858172518</v>
      </c>
      <c r="N74" s="69"/>
      <c r="O74" s="69"/>
      <c r="P74" s="46">
        <f t="shared" si="2"/>
        <v>468.1574140698511</v>
      </c>
      <c r="Q74" s="46">
        <f t="shared" si="25"/>
        <v>109.06347916908436</v>
      </c>
      <c r="R74" s="32">
        <f t="shared" si="26"/>
        <v>71.21735176734082</v>
      </c>
    </row>
    <row r="75" spans="1:18" ht="24">
      <c r="A75" s="21" t="s">
        <v>67</v>
      </c>
      <c r="B75" s="19"/>
      <c r="C75" s="43" t="s">
        <v>20</v>
      </c>
      <c r="D75" s="49">
        <v>23265.9</v>
      </c>
      <c r="E75" s="73">
        <v>35524.8</v>
      </c>
      <c r="F75" s="76">
        <f>G75+H75+I75</f>
        <v>29407.8</v>
      </c>
      <c r="G75" s="49">
        <v>4930.3</v>
      </c>
      <c r="H75" s="49">
        <v>16735.7</v>
      </c>
      <c r="I75" s="24">
        <f>6326.6+1415.2</f>
        <v>7741.8</v>
      </c>
      <c r="J75" s="25">
        <v>5420.1</v>
      </c>
      <c r="K75" s="25">
        <v>25269.6</v>
      </c>
      <c r="L75" s="28" t="e">
        <f>K75/#REF!*100</f>
        <v>#REF!</v>
      </c>
      <c r="M75" s="28">
        <f>K75/I75*100</f>
        <v>326.4047120824614</v>
      </c>
      <c r="N75" s="69"/>
      <c r="O75" s="69"/>
      <c r="P75" s="24">
        <f t="shared" si="2"/>
        <v>466.22018043947526</v>
      </c>
      <c r="Q75" s="24">
        <f t="shared" si="25"/>
        <v>108.61217489974598</v>
      </c>
      <c r="R75" s="25">
        <f t="shared" si="26"/>
        <v>71.13227942169976</v>
      </c>
    </row>
    <row r="76" spans="1:18" ht="13.5" customHeight="1">
      <c r="A76" s="21" t="s">
        <v>66</v>
      </c>
      <c r="B76" s="26"/>
      <c r="C76" s="27" t="s">
        <v>63</v>
      </c>
      <c r="D76" s="27"/>
      <c r="E76" s="73">
        <v>105</v>
      </c>
      <c r="F76" s="76">
        <f>G76+H76+I76</f>
        <v>55</v>
      </c>
      <c r="G76" s="77"/>
      <c r="H76" s="77">
        <v>55</v>
      </c>
      <c r="I76" s="24"/>
      <c r="J76" s="25"/>
      <c r="K76" s="25">
        <v>105</v>
      </c>
      <c r="L76" s="28" t="e">
        <f>K76/#REF!*100</f>
        <v>#REF!</v>
      </c>
      <c r="M76" s="28"/>
      <c r="N76" s="69"/>
      <c r="O76" s="69"/>
      <c r="P76" s="24" t="e">
        <f t="shared" si="2"/>
        <v>#DIV/0!</v>
      </c>
      <c r="Q76" s="24"/>
      <c r="R76" s="25">
        <f t="shared" si="26"/>
        <v>100</v>
      </c>
    </row>
    <row r="77" spans="1:18" ht="12.75">
      <c r="A77" s="29"/>
      <c r="B77" s="30"/>
      <c r="C77" s="31" t="s">
        <v>4</v>
      </c>
      <c r="D77" s="32">
        <f aca="true" t="shared" si="29" ref="D77:L77">D74+D63</f>
        <v>63594.9</v>
      </c>
      <c r="E77" s="32">
        <f t="shared" si="29"/>
        <v>80795</v>
      </c>
      <c r="F77" s="32">
        <f t="shared" si="29"/>
        <v>59528.8</v>
      </c>
      <c r="G77" s="32">
        <f t="shared" si="29"/>
        <v>13440.599999999999</v>
      </c>
      <c r="H77" s="32">
        <f t="shared" si="29"/>
        <v>29663.9</v>
      </c>
      <c r="I77" s="32">
        <f t="shared" si="29"/>
        <v>16424.3</v>
      </c>
      <c r="J77" s="32">
        <f t="shared" si="29"/>
        <v>18163.1</v>
      </c>
      <c r="K77" s="32">
        <f t="shared" si="29"/>
        <v>63266.3</v>
      </c>
      <c r="L77" s="32" t="e">
        <f t="shared" si="29"/>
        <v>#REF!</v>
      </c>
      <c r="M77" s="35">
        <f>K77/I77*100</f>
        <v>385.19936922730346</v>
      </c>
      <c r="N77" s="69"/>
      <c r="O77" s="70" t="e">
        <f>J77+#REF!+#REF!</f>
        <v>#REF!</v>
      </c>
      <c r="P77" s="46">
        <f t="shared" si="2"/>
        <v>348.3232487846238</v>
      </c>
      <c r="Q77" s="46">
        <f t="shared" si="25"/>
        <v>99.48329189919318</v>
      </c>
      <c r="R77" s="32">
        <f t="shared" si="26"/>
        <v>78.30472182684572</v>
      </c>
    </row>
    <row r="78" spans="1:18" ht="12.75">
      <c r="A78" s="101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3"/>
      <c r="N78" s="69"/>
      <c r="O78" s="69"/>
      <c r="P78" s="67"/>
      <c r="Q78" s="35"/>
      <c r="R78" s="32"/>
    </row>
    <row r="79" spans="1:19" ht="12.75">
      <c r="A79" s="104" t="s">
        <v>28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35"/>
      <c r="R79" s="93"/>
      <c r="S79" s="95"/>
    </row>
    <row r="80" spans="1:19" ht="12.75">
      <c r="A80" s="33" t="s">
        <v>3</v>
      </c>
      <c r="B80" s="33"/>
      <c r="C80" s="34" t="s">
        <v>68</v>
      </c>
      <c r="D80" s="35">
        <f aca="true" t="shared" si="30" ref="D80:K80">D81+D83+D84+D85+D86+D87+D88+D89+D90+D82</f>
        <v>30672.1</v>
      </c>
      <c r="E80" s="35">
        <f t="shared" si="30"/>
        <v>33411.5</v>
      </c>
      <c r="F80" s="35">
        <f t="shared" si="30"/>
        <v>23464.300000000003</v>
      </c>
      <c r="G80" s="35">
        <f t="shared" si="30"/>
        <v>7614.900000000001</v>
      </c>
      <c r="H80" s="35">
        <f t="shared" si="30"/>
        <v>8398.6</v>
      </c>
      <c r="I80" s="35">
        <f t="shared" si="30"/>
        <v>7450.8</v>
      </c>
      <c r="J80" s="35">
        <f t="shared" si="30"/>
        <v>7679.4</v>
      </c>
      <c r="K80" s="35">
        <f t="shared" si="30"/>
        <v>31488.999999999996</v>
      </c>
      <c r="L80" s="35" t="e">
        <f>K80/#REF!*100</f>
        <v>#REF!</v>
      </c>
      <c r="M80" s="35">
        <f>K80/I80*100</f>
        <v>422.62575830783265</v>
      </c>
      <c r="N80" s="69"/>
      <c r="O80" s="69"/>
      <c r="P80" s="35">
        <f t="shared" si="2"/>
        <v>410.0450556033023</v>
      </c>
      <c r="Q80" s="46">
        <f>K80*100/D80</f>
        <v>102.66333247478978</v>
      </c>
      <c r="R80" s="93">
        <f>K80*100/E80</f>
        <v>94.24599314607245</v>
      </c>
      <c r="S80" s="96"/>
    </row>
    <row r="81" spans="1:19" ht="13.5" customHeight="1">
      <c r="A81" s="29" t="s">
        <v>23</v>
      </c>
      <c r="B81" s="29"/>
      <c r="C81" s="36" t="s">
        <v>22</v>
      </c>
      <c r="D81" s="73">
        <v>16600</v>
      </c>
      <c r="E81" s="73">
        <v>18800</v>
      </c>
      <c r="F81" s="76">
        <f>G81+H81+I81</f>
        <v>12404</v>
      </c>
      <c r="G81" s="49">
        <v>4270</v>
      </c>
      <c r="H81" s="49">
        <v>4316</v>
      </c>
      <c r="I81" s="24">
        <v>3818</v>
      </c>
      <c r="J81" s="24">
        <v>4196</v>
      </c>
      <c r="K81" s="25">
        <v>18450.1</v>
      </c>
      <c r="L81" s="28" t="e">
        <f>K81/#REF!*100</f>
        <v>#REF!</v>
      </c>
      <c r="M81" s="28">
        <f>K81/I81*100</f>
        <v>483.239916186485</v>
      </c>
      <c r="N81" s="69"/>
      <c r="O81" s="69"/>
      <c r="P81" s="24">
        <f aca="true" t="shared" si="31" ref="P81:P153">K81*100/J81</f>
        <v>439.7068636796949</v>
      </c>
      <c r="Q81" s="24">
        <f aca="true" t="shared" si="32" ref="Q81:Q95">K81*100/D81</f>
        <v>111.14518072289155</v>
      </c>
      <c r="R81" s="94">
        <f aca="true" t="shared" si="33" ref="R81:R95">K81*100/E81</f>
        <v>98.13882978723403</v>
      </c>
      <c r="S81" s="96"/>
    </row>
    <row r="82" spans="1:19" ht="15.75" customHeight="1">
      <c r="A82" s="19" t="s">
        <v>70</v>
      </c>
      <c r="B82" s="19"/>
      <c r="C82" s="36" t="s">
        <v>71</v>
      </c>
      <c r="D82" s="73">
        <v>5713</v>
      </c>
      <c r="E82" s="73">
        <v>4813</v>
      </c>
      <c r="F82" s="76">
        <f aca="true" t="shared" si="34" ref="F82:F90">G82+H82+I82</f>
        <v>4264.9</v>
      </c>
      <c r="G82" s="49">
        <v>1127</v>
      </c>
      <c r="H82" s="49">
        <v>1485.4</v>
      </c>
      <c r="I82" s="24">
        <v>1652.5</v>
      </c>
      <c r="J82" s="24">
        <v>1448.1</v>
      </c>
      <c r="K82" s="25">
        <v>3831.7</v>
      </c>
      <c r="L82" s="28"/>
      <c r="M82" s="28"/>
      <c r="N82" s="69"/>
      <c r="O82" s="69"/>
      <c r="P82" s="24"/>
      <c r="Q82" s="24">
        <f t="shared" si="32"/>
        <v>67.06984071416069</v>
      </c>
      <c r="R82" s="94">
        <f t="shared" si="33"/>
        <v>79.61146893829212</v>
      </c>
      <c r="S82" s="96"/>
    </row>
    <row r="83" spans="1:19" ht="15" customHeight="1" hidden="1">
      <c r="A83" s="19" t="s">
        <v>8</v>
      </c>
      <c r="B83" s="19"/>
      <c r="C83" s="36" t="s">
        <v>5</v>
      </c>
      <c r="D83" s="73"/>
      <c r="E83" s="73">
        <f>G83+H83+I83+J83</f>
        <v>0</v>
      </c>
      <c r="F83" s="76">
        <f t="shared" si="34"/>
        <v>0</v>
      </c>
      <c r="G83" s="49"/>
      <c r="H83" s="49"/>
      <c r="I83" s="24"/>
      <c r="J83" s="24"/>
      <c r="K83" s="25"/>
      <c r="L83" s="28"/>
      <c r="M83" s="28"/>
      <c r="N83" s="69"/>
      <c r="O83" s="69"/>
      <c r="P83" s="24" t="e">
        <f t="shared" si="31"/>
        <v>#DIV/0!</v>
      </c>
      <c r="Q83" s="24" t="e">
        <f t="shared" si="32"/>
        <v>#DIV/0!</v>
      </c>
      <c r="R83" s="94" t="e">
        <f t="shared" si="33"/>
        <v>#DIV/0!</v>
      </c>
      <c r="S83" s="96"/>
    </row>
    <row r="84" spans="1:19" ht="12.75">
      <c r="A84" s="19" t="s">
        <v>9</v>
      </c>
      <c r="B84" s="19"/>
      <c r="C84" s="36" t="s">
        <v>6</v>
      </c>
      <c r="D84" s="73">
        <v>1640</v>
      </c>
      <c r="E84" s="73">
        <v>1985.2</v>
      </c>
      <c r="F84" s="76">
        <f t="shared" si="34"/>
        <v>1222.7</v>
      </c>
      <c r="G84" s="49">
        <v>416.1</v>
      </c>
      <c r="H84" s="49">
        <v>467.4</v>
      </c>
      <c r="I84" s="24">
        <v>339.2</v>
      </c>
      <c r="J84" s="24">
        <v>417.3</v>
      </c>
      <c r="K84" s="25">
        <v>1916.3</v>
      </c>
      <c r="L84" s="28" t="e">
        <f>K84/#REF!*100</f>
        <v>#REF!</v>
      </c>
      <c r="M84" s="28">
        <f>K84/I84*100</f>
        <v>564.9469339622642</v>
      </c>
      <c r="N84" s="69"/>
      <c r="O84" s="69"/>
      <c r="P84" s="24">
        <f t="shared" si="31"/>
        <v>459.2139947280134</v>
      </c>
      <c r="Q84" s="24">
        <f t="shared" si="32"/>
        <v>116.84756097560975</v>
      </c>
      <c r="R84" s="94">
        <f t="shared" si="33"/>
        <v>96.52931694539593</v>
      </c>
      <c r="S84" s="96"/>
    </row>
    <row r="85" spans="1:19" ht="12.75" hidden="1">
      <c r="A85" s="19" t="s">
        <v>10</v>
      </c>
      <c r="B85" s="19"/>
      <c r="C85" s="36" t="s">
        <v>21</v>
      </c>
      <c r="D85" s="73"/>
      <c r="E85" s="73">
        <f>G85+H85+I85+J85</f>
        <v>0</v>
      </c>
      <c r="F85" s="76">
        <f t="shared" si="34"/>
        <v>0</v>
      </c>
      <c r="G85" s="49"/>
      <c r="H85" s="49"/>
      <c r="I85" s="24"/>
      <c r="J85" s="24"/>
      <c r="K85" s="25"/>
      <c r="L85" s="28"/>
      <c r="M85" s="28"/>
      <c r="N85" s="69"/>
      <c r="O85" s="69"/>
      <c r="P85" s="24" t="e">
        <f t="shared" si="31"/>
        <v>#DIV/0!</v>
      </c>
      <c r="Q85" s="24" t="e">
        <f t="shared" si="32"/>
        <v>#DIV/0!</v>
      </c>
      <c r="R85" s="94" t="e">
        <f t="shared" si="33"/>
        <v>#DIV/0!</v>
      </c>
      <c r="S85" s="96"/>
    </row>
    <row r="86" spans="1:19" ht="24">
      <c r="A86" s="20" t="s">
        <v>11</v>
      </c>
      <c r="B86" s="20"/>
      <c r="C86" s="36" t="s">
        <v>17</v>
      </c>
      <c r="D86" s="73">
        <v>6122.6</v>
      </c>
      <c r="E86" s="73">
        <v>6317.6</v>
      </c>
      <c r="F86" s="76">
        <f t="shared" si="34"/>
        <v>4692.6</v>
      </c>
      <c r="G86" s="49">
        <v>1540</v>
      </c>
      <c r="H86" s="49">
        <v>1552.6</v>
      </c>
      <c r="I86" s="24">
        <v>1600</v>
      </c>
      <c r="J86" s="24">
        <v>1430</v>
      </c>
      <c r="K86" s="25">
        <v>5850.3</v>
      </c>
      <c r="L86" s="28" t="e">
        <f>K86/#REF!*100</f>
        <v>#REF!</v>
      </c>
      <c r="M86" s="28">
        <f>K86/I86*100</f>
        <v>365.64375</v>
      </c>
      <c r="N86" s="69"/>
      <c r="O86" s="69"/>
      <c r="P86" s="24">
        <f t="shared" si="31"/>
        <v>409.1118881118881</v>
      </c>
      <c r="Q86" s="24">
        <f t="shared" si="32"/>
        <v>95.55254303727175</v>
      </c>
      <c r="R86" s="94">
        <f t="shared" si="33"/>
        <v>92.60320374825882</v>
      </c>
      <c r="S86" s="96"/>
    </row>
    <row r="87" spans="1:19" ht="24">
      <c r="A87" s="38" t="s">
        <v>42</v>
      </c>
      <c r="B87" s="38"/>
      <c r="C87" s="36" t="s">
        <v>43</v>
      </c>
      <c r="D87" s="73">
        <v>479</v>
      </c>
      <c r="E87" s="73">
        <v>895.3</v>
      </c>
      <c r="F87" s="76">
        <f t="shared" si="34"/>
        <v>291</v>
      </c>
      <c r="G87" s="49">
        <v>144.3</v>
      </c>
      <c r="H87" s="49">
        <v>105.6</v>
      </c>
      <c r="I87" s="24">
        <v>41.1</v>
      </c>
      <c r="J87" s="24">
        <v>188</v>
      </c>
      <c r="K87" s="25">
        <v>699.3</v>
      </c>
      <c r="L87" s="28" t="e">
        <f>K87/#REF!*100</f>
        <v>#REF!</v>
      </c>
      <c r="M87" s="28">
        <f>K87/I87*100</f>
        <v>1701.4598540145982</v>
      </c>
      <c r="N87" s="69"/>
      <c r="O87" s="69"/>
      <c r="P87" s="24">
        <f t="shared" si="31"/>
        <v>371.968085106383</v>
      </c>
      <c r="Q87" s="24">
        <f t="shared" si="32"/>
        <v>145.99164926931107</v>
      </c>
      <c r="R87" s="94">
        <f t="shared" si="33"/>
        <v>78.1078967943706</v>
      </c>
      <c r="S87" s="96"/>
    </row>
    <row r="88" spans="1:19" ht="12.75">
      <c r="A88" s="37" t="s">
        <v>18</v>
      </c>
      <c r="B88" s="37"/>
      <c r="C88" s="36" t="s">
        <v>15</v>
      </c>
      <c r="D88" s="73">
        <v>117.5</v>
      </c>
      <c r="E88" s="73">
        <v>597.5</v>
      </c>
      <c r="F88" s="76">
        <f t="shared" si="34"/>
        <v>586.3</v>
      </c>
      <c r="G88" s="49">
        <v>117.5</v>
      </c>
      <c r="H88" s="49">
        <v>468.8</v>
      </c>
      <c r="I88" s="24"/>
      <c r="J88" s="24"/>
      <c r="K88" s="25">
        <v>737.2</v>
      </c>
      <c r="L88" s="28" t="e">
        <f>K88/#REF!*100</f>
        <v>#REF!</v>
      </c>
      <c r="M88" s="28" t="e">
        <f>K88/I88*100</f>
        <v>#DIV/0!</v>
      </c>
      <c r="N88" s="69"/>
      <c r="O88" s="69"/>
      <c r="P88" s="24" t="e">
        <f t="shared" si="31"/>
        <v>#DIV/0!</v>
      </c>
      <c r="Q88" s="24">
        <f t="shared" si="32"/>
        <v>627.4042553191489</v>
      </c>
      <c r="R88" s="94">
        <f t="shared" si="33"/>
        <v>123.38075313807532</v>
      </c>
      <c r="S88" s="96"/>
    </row>
    <row r="89" spans="1:19" ht="13.5" customHeight="1">
      <c r="A89" s="29" t="s">
        <v>12</v>
      </c>
      <c r="B89" s="29"/>
      <c r="C89" s="36" t="s">
        <v>7</v>
      </c>
      <c r="D89" s="73">
        <v>0</v>
      </c>
      <c r="E89" s="73">
        <f>G89+H89+I89+J89</f>
        <v>1</v>
      </c>
      <c r="F89" s="76">
        <f t="shared" si="34"/>
        <v>1</v>
      </c>
      <c r="G89" s="49"/>
      <c r="H89" s="49">
        <v>1</v>
      </c>
      <c r="I89" s="24"/>
      <c r="J89" s="24"/>
      <c r="K89" s="25">
        <v>1</v>
      </c>
      <c r="L89" s="35"/>
      <c r="M89" s="35" t="e">
        <f>K89/I89*100</f>
        <v>#DIV/0!</v>
      </c>
      <c r="N89" s="69"/>
      <c r="O89" s="69"/>
      <c r="P89" s="24" t="e">
        <f t="shared" si="31"/>
        <v>#DIV/0!</v>
      </c>
      <c r="Q89" s="24"/>
      <c r="R89" s="94">
        <f t="shared" si="33"/>
        <v>100</v>
      </c>
      <c r="S89" s="96"/>
    </row>
    <row r="90" spans="1:19" ht="12.75">
      <c r="A90" s="39" t="s">
        <v>39</v>
      </c>
      <c r="B90" s="40"/>
      <c r="C90" s="23" t="s">
        <v>40</v>
      </c>
      <c r="D90" s="89">
        <v>0</v>
      </c>
      <c r="E90" s="73">
        <v>1.9</v>
      </c>
      <c r="F90" s="76">
        <f t="shared" si="34"/>
        <v>1.8</v>
      </c>
      <c r="G90" s="49"/>
      <c r="H90" s="49">
        <v>1.8</v>
      </c>
      <c r="I90" s="24"/>
      <c r="J90" s="24"/>
      <c r="K90" s="25">
        <v>3.1</v>
      </c>
      <c r="L90" s="35"/>
      <c r="M90" s="35" t="e">
        <f>K90/I90*100</f>
        <v>#DIV/0!</v>
      </c>
      <c r="N90" s="69"/>
      <c r="O90" s="69"/>
      <c r="P90" s="24" t="e">
        <f t="shared" si="31"/>
        <v>#DIV/0!</v>
      </c>
      <c r="Q90" s="24"/>
      <c r="R90" s="94">
        <f t="shared" si="33"/>
        <v>163.1578947368421</v>
      </c>
      <c r="S90" s="96"/>
    </row>
    <row r="91" spans="1:19" ht="12.75" hidden="1">
      <c r="A91" s="39" t="s">
        <v>44</v>
      </c>
      <c r="B91" s="40"/>
      <c r="C91" s="23" t="s">
        <v>45</v>
      </c>
      <c r="D91" s="23"/>
      <c r="E91" s="23"/>
      <c r="F91" s="23"/>
      <c r="G91" s="49"/>
      <c r="H91" s="49"/>
      <c r="I91" s="24" t="e">
        <f>J91+#REF!+#REF!+#REF!</f>
        <v>#REF!</v>
      </c>
      <c r="J91" s="24"/>
      <c r="K91" s="25"/>
      <c r="L91" s="35"/>
      <c r="M91" s="35"/>
      <c r="N91" s="69"/>
      <c r="O91" s="69"/>
      <c r="P91" s="24" t="e">
        <f t="shared" si="31"/>
        <v>#DIV/0!</v>
      </c>
      <c r="Q91" s="46" t="e">
        <f t="shared" si="32"/>
        <v>#DIV/0!</v>
      </c>
      <c r="R91" s="32" t="e">
        <f t="shared" si="33"/>
        <v>#DIV/0!</v>
      </c>
      <c r="S91" s="2"/>
    </row>
    <row r="92" spans="1:19" ht="12.75">
      <c r="A92" s="33" t="s">
        <v>1</v>
      </c>
      <c r="B92" s="33"/>
      <c r="C92" s="41" t="s">
        <v>0</v>
      </c>
      <c r="D92" s="42">
        <f aca="true" t="shared" si="35" ref="D92:K92">D93+D94</f>
        <v>55769.2</v>
      </c>
      <c r="E92" s="42">
        <f t="shared" si="35"/>
        <v>65490.9</v>
      </c>
      <c r="F92" s="79">
        <f t="shared" si="35"/>
        <v>46514.7</v>
      </c>
      <c r="G92" s="42">
        <f t="shared" si="35"/>
        <v>11185.2</v>
      </c>
      <c r="H92" s="42">
        <f t="shared" si="35"/>
        <v>16088</v>
      </c>
      <c r="I92" s="42">
        <f t="shared" si="35"/>
        <v>19241.5</v>
      </c>
      <c r="J92" s="42">
        <f t="shared" si="35"/>
        <v>11413.3</v>
      </c>
      <c r="K92" s="42">
        <f t="shared" si="35"/>
        <v>51461.8</v>
      </c>
      <c r="L92" s="35" t="e">
        <f>K92/#REF!*100</f>
        <v>#REF!</v>
      </c>
      <c r="M92" s="35">
        <f>K92/I92*100</f>
        <v>267.45212171608244</v>
      </c>
      <c r="N92" s="69"/>
      <c r="O92" s="69"/>
      <c r="P92" s="46">
        <f t="shared" si="31"/>
        <v>450.89325611348164</v>
      </c>
      <c r="Q92" s="46">
        <f t="shared" si="32"/>
        <v>92.27638194559005</v>
      </c>
      <c r="R92" s="32">
        <f t="shared" si="33"/>
        <v>78.57855060779437</v>
      </c>
      <c r="S92" s="2"/>
    </row>
    <row r="93" spans="1:19" ht="24">
      <c r="A93" s="21" t="s">
        <v>67</v>
      </c>
      <c r="B93" s="19"/>
      <c r="C93" s="43" t="s">
        <v>20</v>
      </c>
      <c r="D93" s="49">
        <v>55769.2</v>
      </c>
      <c r="E93" s="73">
        <v>65414</v>
      </c>
      <c r="F93" s="76">
        <f>G93+H93+I93</f>
        <v>46495.7</v>
      </c>
      <c r="G93" s="49">
        <v>11180.2</v>
      </c>
      <c r="H93" s="49">
        <v>16074</v>
      </c>
      <c r="I93" s="24">
        <f>19089.6+151.9</f>
        <v>19241.5</v>
      </c>
      <c r="J93" s="24">
        <v>11413.3</v>
      </c>
      <c r="K93" s="25">
        <v>51384.9</v>
      </c>
      <c r="L93" s="28" t="e">
        <f>K93/#REF!*100</f>
        <v>#REF!</v>
      </c>
      <c r="M93" s="28">
        <f>K93/I93*100</f>
        <v>267.05246472468366</v>
      </c>
      <c r="N93" s="69"/>
      <c r="O93" s="69"/>
      <c r="P93" s="24">
        <f t="shared" si="31"/>
        <v>450.2194807811939</v>
      </c>
      <c r="Q93" s="24">
        <f t="shared" si="32"/>
        <v>92.13849221434053</v>
      </c>
      <c r="R93" s="25">
        <f t="shared" si="33"/>
        <v>78.55336778059743</v>
      </c>
      <c r="S93" s="2"/>
    </row>
    <row r="94" spans="1:19" ht="13.5" customHeight="1">
      <c r="A94" s="21" t="s">
        <v>2</v>
      </c>
      <c r="B94" s="21"/>
      <c r="C94" s="44" t="s">
        <v>19</v>
      </c>
      <c r="D94" s="80">
        <v>0</v>
      </c>
      <c r="E94" s="73">
        <v>76.9</v>
      </c>
      <c r="F94" s="76">
        <f>G94+H94+I94</f>
        <v>19</v>
      </c>
      <c r="G94" s="80">
        <v>5</v>
      </c>
      <c r="H94" s="80">
        <v>14</v>
      </c>
      <c r="I94" s="24"/>
      <c r="J94" s="24"/>
      <c r="K94" s="25">
        <v>76.9</v>
      </c>
      <c r="L94" s="28" t="e">
        <f>K94/#REF!*100</f>
        <v>#REF!</v>
      </c>
      <c r="M94" s="28"/>
      <c r="N94" s="69"/>
      <c r="O94" s="69"/>
      <c r="P94" s="24" t="e">
        <f t="shared" si="31"/>
        <v>#DIV/0!</v>
      </c>
      <c r="Q94" s="24"/>
      <c r="R94" s="25">
        <f t="shared" si="33"/>
        <v>100</v>
      </c>
      <c r="S94" s="2"/>
    </row>
    <row r="95" spans="1:19" ht="12.75">
      <c r="A95" s="29"/>
      <c r="B95" s="30"/>
      <c r="C95" s="31" t="s">
        <v>4</v>
      </c>
      <c r="D95" s="32">
        <f aca="true" t="shared" si="36" ref="D95:K95">D92+D80</f>
        <v>86441.29999999999</v>
      </c>
      <c r="E95" s="32">
        <f t="shared" si="36"/>
        <v>98902.4</v>
      </c>
      <c r="F95" s="32">
        <f t="shared" si="36"/>
        <v>69979</v>
      </c>
      <c r="G95" s="32">
        <f t="shared" si="36"/>
        <v>18800.100000000002</v>
      </c>
      <c r="H95" s="32">
        <f t="shared" si="36"/>
        <v>24486.6</v>
      </c>
      <c r="I95" s="32">
        <f t="shared" si="36"/>
        <v>26692.3</v>
      </c>
      <c r="J95" s="32">
        <f t="shared" si="36"/>
        <v>19092.699999999997</v>
      </c>
      <c r="K95" s="32">
        <f t="shared" si="36"/>
        <v>82950.8</v>
      </c>
      <c r="L95" s="35" t="e">
        <f>K95/#REF!*100</f>
        <v>#REF!</v>
      </c>
      <c r="M95" s="35">
        <f>K95/I95*100</f>
        <v>310.7667754371111</v>
      </c>
      <c r="N95" s="69"/>
      <c r="O95" s="70" t="e">
        <f>J95+#REF!+#REF!</f>
        <v>#REF!</v>
      </c>
      <c r="P95" s="46">
        <f t="shared" si="31"/>
        <v>434.46343366836544</v>
      </c>
      <c r="Q95" s="46">
        <f t="shared" si="32"/>
        <v>95.96199964600255</v>
      </c>
      <c r="R95" s="32">
        <f t="shared" si="33"/>
        <v>83.87137218105931</v>
      </c>
      <c r="S95" s="2"/>
    </row>
    <row r="96" spans="1:18" ht="12.75">
      <c r="A96" s="101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3"/>
      <c r="N96" s="69"/>
      <c r="O96" s="69"/>
      <c r="P96" s="67"/>
      <c r="Q96" s="35"/>
      <c r="R96" s="32"/>
    </row>
    <row r="97" spans="1:18" ht="12.75">
      <c r="A97" s="104" t="s">
        <v>29</v>
      </c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35"/>
      <c r="R97" s="32"/>
    </row>
    <row r="98" spans="1:18" ht="12.75">
      <c r="A98" s="33" t="s">
        <v>3</v>
      </c>
      <c r="B98" s="33"/>
      <c r="C98" s="34" t="s">
        <v>68</v>
      </c>
      <c r="D98" s="35">
        <f aca="true" t="shared" si="37" ref="D98:K98">D99+D102+D106+D103+D104+D107+D105+D101+D100</f>
        <v>7435</v>
      </c>
      <c r="E98" s="35">
        <f t="shared" si="37"/>
        <v>7435</v>
      </c>
      <c r="F98" s="35">
        <f t="shared" si="37"/>
        <v>5576.8</v>
      </c>
      <c r="G98" s="35">
        <f t="shared" si="37"/>
        <v>1858.3</v>
      </c>
      <c r="H98" s="35">
        <f t="shared" si="37"/>
        <v>1859.2</v>
      </c>
      <c r="I98" s="35">
        <f t="shared" si="37"/>
        <v>1859.3</v>
      </c>
      <c r="J98" s="35">
        <f t="shared" si="37"/>
        <v>1858.2</v>
      </c>
      <c r="K98" s="35">
        <f t="shared" si="37"/>
        <v>5215.5</v>
      </c>
      <c r="L98" s="35" t="e">
        <f>K98/#REF!*100</f>
        <v>#REF!</v>
      </c>
      <c r="M98" s="35">
        <f>K98/I98*100</f>
        <v>280.50879363201204</v>
      </c>
      <c r="N98" s="69"/>
      <c r="O98" s="69"/>
      <c r="P98" s="35">
        <f t="shared" si="31"/>
        <v>280.67484662576686</v>
      </c>
      <c r="Q98" s="46">
        <f>K98*100/D98</f>
        <v>70.14794889038332</v>
      </c>
      <c r="R98" s="32">
        <f>K98*100/E98</f>
        <v>70.14794889038332</v>
      </c>
    </row>
    <row r="99" spans="1:18" ht="12.75">
      <c r="A99" s="29" t="s">
        <v>23</v>
      </c>
      <c r="B99" s="29"/>
      <c r="C99" s="36" t="s">
        <v>22</v>
      </c>
      <c r="D99" s="73">
        <v>1150</v>
      </c>
      <c r="E99" s="73">
        <f>G99+H99+I99+J99</f>
        <v>1150</v>
      </c>
      <c r="F99" s="76">
        <f>G99+H99+I99</f>
        <v>862.5</v>
      </c>
      <c r="G99" s="49">
        <v>287.5</v>
      </c>
      <c r="H99" s="49">
        <v>287.5</v>
      </c>
      <c r="I99" s="24">
        <v>287.5</v>
      </c>
      <c r="J99" s="25">
        <v>287.5</v>
      </c>
      <c r="K99" s="25">
        <v>912.8</v>
      </c>
      <c r="L99" s="28"/>
      <c r="M99" s="28"/>
      <c r="N99" s="70"/>
      <c r="O99" s="69"/>
      <c r="P99" s="24">
        <f t="shared" si="31"/>
        <v>317.495652173913</v>
      </c>
      <c r="Q99" s="24">
        <f aca="true" t="shared" si="38" ref="Q99:Q111">K99*100/D99</f>
        <v>79.37391304347825</v>
      </c>
      <c r="R99" s="25">
        <f aca="true" t="shared" si="39" ref="R99:R111">K99*100/E99</f>
        <v>79.37391304347825</v>
      </c>
    </row>
    <row r="100" spans="1:18" ht="12.75">
      <c r="A100" s="19" t="s">
        <v>70</v>
      </c>
      <c r="B100" s="19"/>
      <c r="C100" s="36" t="s">
        <v>71</v>
      </c>
      <c r="D100" s="73">
        <v>6170</v>
      </c>
      <c r="E100" s="73">
        <f>G100+H100+I100+J100</f>
        <v>6170</v>
      </c>
      <c r="F100" s="76">
        <f aca="true" t="shared" si="40" ref="F100:F107">G100+H100+I100</f>
        <v>4627.5</v>
      </c>
      <c r="G100" s="49">
        <v>1542.5</v>
      </c>
      <c r="H100" s="49">
        <v>1542.5</v>
      </c>
      <c r="I100" s="24">
        <v>1542.5</v>
      </c>
      <c r="J100" s="25">
        <v>1542.5</v>
      </c>
      <c r="K100" s="25">
        <v>4138</v>
      </c>
      <c r="L100" s="28"/>
      <c r="M100" s="28"/>
      <c r="N100" s="70"/>
      <c r="O100" s="69"/>
      <c r="P100" s="24"/>
      <c r="Q100" s="24">
        <f t="shared" si="38"/>
        <v>67.06645056726094</v>
      </c>
      <c r="R100" s="25">
        <f t="shared" si="39"/>
        <v>67.06645056726094</v>
      </c>
    </row>
    <row r="101" spans="1:18" ht="12.75" hidden="1">
      <c r="A101" s="19" t="s">
        <v>8</v>
      </c>
      <c r="B101" s="19"/>
      <c r="C101" s="36" t="s">
        <v>5</v>
      </c>
      <c r="D101" s="73"/>
      <c r="E101" s="73">
        <f>G101+H101+I101+J101</f>
        <v>0</v>
      </c>
      <c r="F101" s="76">
        <f t="shared" si="40"/>
        <v>0</v>
      </c>
      <c r="G101" s="49"/>
      <c r="H101" s="49"/>
      <c r="I101" s="24"/>
      <c r="J101" s="25"/>
      <c r="K101" s="25"/>
      <c r="L101" s="28"/>
      <c r="M101" s="28"/>
      <c r="N101" s="70"/>
      <c r="O101" s="69"/>
      <c r="P101" s="24"/>
      <c r="Q101" s="24" t="e">
        <f t="shared" si="38"/>
        <v>#DIV/0!</v>
      </c>
      <c r="R101" s="25" t="e">
        <f t="shared" si="39"/>
        <v>#DIV/0!</v>
      </c>
    </row>
    <row r="102" spans="1:18" ht="12.75">
      <c r="A102" s="19" t="s">
        <v>9</v>
      </c>
      <c r="B102" s="19"/>
      <c r="C102" s="36" t="s">
        <v>6</v>
      </c>
      <c r="D102" s="73">
        <v>62</v>
      </c>
      <c r="E102" s="73">
        <f aca="true" t="shared" si="41" ref="E102:E110">G102+H102+I102+J102</f>
        <v>62</v>
      </c>
      <c r="F102" s="76">
        <f t="shared" si="40"/>
        <v>47.3</v>
      </c>
      <c r="G102" s="49">
        <v>15.8</v>
      </c>
      <c r="H102" s="49">
        <v>15.7</v>
      </c>
      <c r="I102" s="24">
        <v>15.8</v>
      </c>
      <c r="J102" s="25">
        <v>14.7</v>
      </c>
      <c r="K102" s="25">
        <v>76.9</v>
      </c>
      <c r="L102" s="28"/>
      <c r="M102" s="28"/>
      <c r="N102" s="70"/>
      <c r="O102" s="69"/>
      <c r="P102" s="24">
        <f t="shared" si="31"/>
        <v>523.1292517006804</v>
      </c>
      <c r="Q102" s="24">
        <f t="shared" si="38"/>
        <v>124.03225806451614</v>
      </c>
      <c r="R102" s="25">
        <f t="shared" si="39"/>
        <v>124.03225806451614</v>
      </c>
    </row>
    <row r="103" spans="1:18" ht="12.75">
      <c r="A103" s="19" t="s">
        <v>10</v>
      </c>
      <c r="B103" s="19"/>
      <c r="C103" s="36" t="s">
        <v>21</v>
      </c>
      <c r="D103" s="73">
        <v>11</v>
      </c>
      <c r="E103" s="73">
        <f t="shared" si="41"/>
        <v>11</v>
      </c>
      <c r="F103" s="76">
        <f t="shared" si="40"/>
        <v>8</v>
      </c>
      <c r="G103" s="49">
        <v>2</v>
      </c>
      <c r="H103" s="49">
        <v>3</v>
      </c>
      <c r="I103" s="24">
        <v>3</v>
      </c>
      <c r="J103" s="25">
        <v>3</v>
      </c>
      <c r="K103" s="25">
        <v>3</v>
      </c>
      <c r="L103" s="28"/>
      <c r="M103" s="28"/>
      <c r="N103" s="69"/>
      <c r="O103" s="69"/>
      <c r="P103" s="24">
        <f t="shared" si="31"/>
        <v>100</v>
      </c>
      <c r="Q103" s="24">
        <f t="shared" si="38"/>
        <v>27.272727272727273</v>
      </c>
      <c r="R103" s="25">
        <f t="shared" si="39"/>
        <v>27.272727272727273</v>
      </c>
    </row>
    <row r="104" spans="1:18" ht="24">
      <c r="A104" s="20" t="s">
        <v>11</v>
      </c>
      <c r="B104" s="20"/>
      <c r="C104" s="36" t="s">
        <v>17</v>
      </c>
      <c r="D104" s="73">
        <v>12</v>
      </c>
      <c r="E104" s="73">
        <f t="shared" si="41"/>
        <v>12</v>
      </c>
      <c r="F104" s="76">
        <f t="shared" si="40"/>
        <v>9</v>
      </c>
      <c r="G104" s="49">
        <v>3</v>
      </c>
      <c r="H104" s="49">
        <v>3</v>
      </c>
      <c r="I104" s="24">
        <v>3</v>
      </c>
      <c r="J104" s="25">
        <v>3</v>
      </c>
      <c r="K104" s="25">
        <v>23.7</v>
      </c>
      <c r="L104" s="28"/>
      <c r="M104" s="28"/>
      <c r="N104" s="69"/>
      <c r="O104" s="69"/>
      <c r="P104" s="24">
        <f t="shared" si="31"/>
        <v>790</v>
      </c>
      <c r="Q104" s="24">
        <f t="shared" si="38"/>
        <v>197.5</v>
      </c>
      <c r="R104" s="25">
        <f t="shared" si="39"/>
        <v>197.5</v>
      </c>
    </row>
    <row r="105" spans="1:18" ht="24">
      <c r="A105" s="38" t="s">
        <v>42</v>
      </c>
      <c r="B105" s="38"/>
      <c r="C105" s="36" t="s">
        <v>43</v>
      </c>
      <c r="D105" s="73">
        <v>30</v>
      </c>
      <c r="E105" s="73">
        <f t="shared" si="41"/>
        <v>30</v>
      </c>
      <c r="F105" s="76">
        <f t="shared" si="40"/>
        <v>22.5</v>
      </c>
      <c r="G105" s="49">
        <v>7.5</v>
      </c>
      <c r="H105" s="49">
        <v>7.5</v>
      </c>
      <c r="I105" s="24">
        <v>7.5</v>
      </c>
      <c r="J105" s="25">
        <v>7.5</v>
      </c>
      <c r="K105" s="25">
        <v>61.1</v>
      </c>
      <c r="L105" s="28"/>
      <c r="M105" s="28"/>
      <c r="N105" s="69"/>
      <c r="O105" s="69"/>
      <c r="P105" s="24">
        <f t="shared" si="31"/>
        <v>814.6666666666666</v>
      </c>
      <c r="Q105" s="24">
        <f t="shared" si="38"/>
        <v>203.66666666666666</v>
      </c>
      <c r="R105" s="25">
        <f t="shared" si="39"/>
        <v>203.66666666666666</v>
      </c>
    </row>
    <row r="106" spans="1:18" ht="12.75" hidden="1">
      <c r="A106" s="38" t="s">
        <v>18</v>
      </c>
      <c r="B106" s="38"/>
      <c r="C106" s="36" t="s">
        <v>15</v>
      </c>
      <c r="D106" s="73"/>
      <c r="E106" s="73">
        <f t="shared" si="41"/>
        <v>0</v>
      </c>
      <c r="F106" s="76">
        <f t="shared" si="40"/>
        <v>0</v>
      </c>
      <c r="G106" s="49"/>
      <c r="H106" s="49"/>
      <c r="I106" s="24"/>
      <c r="J106" s="25"/>
      <c r="K106" s="25"/>
      <c r="L106" s="28"/>
      <c r="M106" s="28" t="e">
        <f>K106/I106*100</f>
        <v>#DIV/0!</v>
      </c>
      <c r="N106" s="69"/>
      <c r="O106" s="69"/>
      <c r="P106" s="24" t="e">
        <f t="shared" si="31"/>
        <v>#DIV/0!</v>
      </c>
      <c r="Q106" s="24" t="e">
        <f t="shared" si="38"/>
        <v>#DIV/0!</v>
      </c>
      <c r="R106" s="25" t="e">
        <f t="shared" si="39"/>
        <v>#DIV/0!</v>
      </c>
    </row>
    <row r="107" spans="1:18" ht="16.5" customHeight="1">
      <c r="A107" s="38" t="s">
        <v>39</v>
      </c>
      <c r="B107" s="56"/>
      <c r="C107" s="23" t="s">
        <v>40</v>
      </c>
      <c r="D107" s="89"/>
      <c r="E107" s="73">
        <f t="shared" si="41"/>
        <v>0</v>
      </c>
      <c r="F107" s="76">
        <f t="shared" si="40"/>
        <v>0</v>
      </c>
      <c r="G107" s="49"/>
      <c r="H107" s="49"/>
      <c r="I107" s="24"/>
      <c r="J107" s="25"/>
      <c r="K107" s="25"/>
      <c r="L107" s="35"/>
      <c r="M107" s="28" t="e">
        <f>K107/I107*100</f>
        <v>#DIV/0!</v>
      </c>
      <c r="N107" s="69"/>
      <c r="O107" s="69"/>
      <c r="P107" s="24" t="e">
        <f t="shared" si="31"/>
        <v>#DIV/0!</v>
      </c>
      <c r="Q107" s="24"/>
      <c r="R107" s="25"/>
    </row>
    <row r="108" spans="1:18" ht="12.75">
      <c r="A108" s="45" t="s">
        <v>1</v>
      </c>
      <c r="B108" s="45"/>
      <c r="C108" s="41" t="s">
        <v>0</v>
      </c>
      <c r="D108" s="42">
        <f aca="true" t="shared" si="42" ref="D108:L108">D109+D110</f>
        <v>20691.2</v>
      </c>
      <c r="E108" s="42">
        <f t="shared" si="42"/>
        <v>27558.8</v>
      </c>
      <c r="F108" s="42">
        <f t="shared" si="42"/>
        <v>19882.4</v>
      </c>
      <c r="G108" s="42">
        <f t="shared" si="42"/>
        <v>8954.5</v>
      </c>
      <c r="H108" s="42">
        <f t="shared" si="42"/>
        <v>5666.2</v>
      </c>
      <c r="I108" s="42">
        <f t="shared" si="42"/>
        <v>5261.7</v>
      </c>
      <c r="J108" s="42">
        <f t="shared" si="42"/>
        <v>5172.8</v>
      </c>
      <c r="K108" s="42">
        <f t="shared" si="42"/>
        <v>23678.5</v>
      </c>
      <c r="L108" s="42">
        <f t="shared" si="42"/>
        <v>0</v>
      </c>
      <c r="M108" s="35">
        <f>K108/I108*100</f>
        <v>450.0161544747895</v>
      </c>
      <c r="N108" s="69"/>
      <c r="O108" s="69"/>
      <c r="P108" s="46">
        <f t="shared" si="31"/>
        <v>457.75015465511905</v>
      </c>
      <c r="Q108" s="46">
        <f t="shared" si="38"/>
        <v>114.43753866377976</v>
      </c>
      <c r="R108" s="32">
        <f t="shared" si="39"/>
        <v>85.9199239444388</v>
      </c>
    </row>
    <row r="109" spans="1:18" ht="24">
      <c r="A109" s="21" t="s">
        <v>67</v>
      </c>
      <c r="B109" s="19"/>
      <c r="C109" s="43" t="s">
        <v>20</v>
      </c>
      <c r="D109" s="49">
        <v>20691.2</v>
      </c>
      <c r="E109" s="73">
        <v>27558.8</v>
      </c>
      <c r="F109" s="76">
        <f>G109+H109+I109</f>
        <v>19882.4</v>
      </c>
      <c r="G109" s="49">
        <v>8954.5</v>
      </c>
      <c r="H109" s="49">
        <v>5666.2</v>
      </c>
      <c r="I109" s="24">
        <f>5172.8+88.9</f>
        <v>5261.7</v>
      </c>
      <c r="J109" s="25">
        <v>5172.8</v>
      </c>
      <c r="K109" s="25">
        <v>23678.5</v>
      </c>
      <c r="L109" s="28"/>
      <c r="M109" s="28">
        <f>K109/I109*100</f>
        <v>450.0161544747895</v>
      </c>
      <c r="N109" s="69"/>
      <c r="O109" s="69"/>
      <c r="P109" s="24">
        <f t="shared" si="31"/>
        <v>457.75015465511905</v>
      </c>
      <c r="Q109" s="24">
        <f t="shared" si="38"/>
        <v>114.43753866377976</v>
      </c>
      <c r="R109" s="25">
        <f t="shared" si="39"/>
        <v>85.9199239444388</v>
      </c>
    </row>
    <row r="110" spans="1:18" ht="12.75" hidden="1">
      <c r="A110" s="21" t="s">
        <v>2</v>
      </c>
      <c r="B110" s="21"/>
      <c r="C110" s="44" t="s">
        <v>19</v>
      </c>
      <c r="D110" s="44"/>
      <c r="E110" s="73">
        <f t="shared" si="41"/>
        <v>0</v>
      </c>
      <c r="F110" s="73">
        <f>G110+H110</f>
        <v>0</v>
      </c>
      <c r="G110" s="80"/>
      <c r="H110" s="80"/>
      <c r="I110" s="24"/>
      <c r="J110" s="25"/>
      <c r="K110" s="25"/>
      <c r="L110" s="28"/>
      <c r="M110" s="28"/>
      <c r="N110" s="69"/>
      <c r="O110" s="69"/>
      <c r="P110" s="24" t="e">
        <f t="shared" si="31"/>
        <v>#DIV/0!</v>
      </c>
      <c r="Q110" s="46" t="e">
        <f t="shared" si="38"/>
        <v>#DIV/0!</v>
      </c>
      <c r="R110" s="32" t="e">
        <f t="shared" si="39"/>
        <v>#DIV/0!</v>
      </c>
    </row>
    <row r="111" spans="1:18" ht="12.75">
      <c r="A111" s="29"/>
      <c r="B111" s="30"/>
      <c r="C111" s="31" t="s">
        <v>4</v>
      </c>
      <c r="D111" s="32">
        <f aca="true" t="shared" si="43" ref="D111:L111">D108+D98</f>
        <v>28126.2</v>
      </c>
      <c r="E111" s="32">
        <f t="shared" si="43"/>
        <v>34993.8</v>
      </c>
      <c r="F111" s="46">
        <f t="shared" si="43"/>
        <v>25459.2</v>
      </c>
      <c r="G111" s="46">
        <f t="shared" si="43"/>
        <v>10812.8</v>
      </c>
      <c r="H111" s="46">
        <f>H108+H98</f>
        <v>7525.4</v>
      </c>
      <c r="I111" s="32">
        <f t="shared" si="43"/>
        <v>7121</v>
      </c>
      <c r="J111" s="32">
        <f t="shared" si="43"/>
        <v>7031</v>
      </c>
      <c r="K111" s="32">
        <f t="shared" si="43"/>
        <v>28894</v>
      </c>
      <c r="L111" s="32" t="e">
        <f t="shared" si="43"/>
        <v>#REF!</v>
      </c>
      <c r="M111" s="35">
        <f>K111/I111*100</f>
        <v>405.7576183120348</v>
      </c>
      <c r="N111" s="69"/>
      <c r="O111" s="70" t="e">
        <f>J111+#REF!+#REF!</f>
        <v>#REF!</v>
      </c>
      <c r="P111" s="46">
        <f t="shared" si="31"/>
        <v>410.95150049779545</v>
      </c>
      <c r="Q111" s="46">
        <f t="shared" si="38"/>
        <v>102.72983908242136</v>
      </c>
      <c r="R111" s="32">
        <f t="shared" si="39"/>
        <v>82.56891220730529</v>
      </c>
    </row>
    <row r="112" spans="1:18" ht="12.75">
      <c r="A112" s="101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3"/>
      <c r="N112" s="69"/>
      <c r="O112" s="69"/>
      <c r="P112" s="67"/>
      <c r="Q112" s="35"/>
      <c r="R112" s="32"/>
    </row>
    <row r="113" spans="1:18" ht="12.75">
      <c r="A113" s="104" t="s">
        <v>30</v>
      </c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35"/>
      <c r="R113" s="32"/>
    </row>
    <row r="114" spans="1:18" ht="12.75">
      <c r="A114" s="33" t="s">
        <v>3</v>
      </c>
      <c r="B114" s="33"/>
      <c r="C114" s="34" t="s">
        <v>68</v>
      </c>
      <c r="D114" s="35">
        <f aca="true" t="shared" si="44" ref="D114:J114">D115+D119+D123+D120+D121+D124+D122+D125+D116+D117</f>
        <v>5048</v>
      </c>
      <c r="E114" s="35">
        <f t="shared" si="44"/>
        <v>5217.4</v>
      </c>
      <c r="F114" s="35">
        <f t="shared" si="44"/>
        <v>3735.5</v>
      </c>
      <c r="G114" s="35">
        <f t="shared" si="44"/>
        <v>1202.9</v>
      </c>
      <c r="H114" s="35">
        <f t="shared" si="44"/>
        <v>1278.6</v>
      </c>
      <c r="I114" s="35">
        <f t="shared" si="44"/>
        <v>1254</v>
      </c>
      <c r="J114" s="35">
        <f t="shared" si="44"/>
        <v>1312.5</v>
      </c>
      <c r="K114" s="35">
        <f>K115+K119+K123+K120+K121+K124+K122+K125+K116+K117+K118</f>
        <v>4694.8</v>
      </c>
      <c r="L114" s="35" t="e">
        <f>K114/#REF!*100</f>
        <v>#REF!</v>
      </c>
      <c r="M114" s="35">
        <f aca="true" t="shared" si="45" ref="M114:M123">K114/I114*100</f>
        <v>374.3859649122807</v>
      </c>
      <c r="N114" s="69"/>
      <c r="O114" s="69"/>
      <c r="P114" s="35">
        <f t="shared" si="31"/>
        <v>357.69904761904763</v>
      </c>
      <c r="Q114" s="46">
        <f>K114*100/D114</f>
        <v>93.00316957210777</v>
      </c>
      <c r="R114" s="32">
        <f>K114*100/E114</f>
        <v>89.98351669413886</v>
      </c>
    </row>
    <row r="115" spans="1:18" ht="12.75">
      <c r="A115" s="29" t="s">
        <v>23</v>
      </c>
      <c r="B115" s="29"/>
      <c r="C115" s="36" t="s">
        <v>22</v>
      </c>
      <c r="D115" s="73">
        <v>1310</v>
      </c>
      <c r="E115" s="73">
        <v>2000.1</v>
      </c>
      <c r="F115" s="76">
        <f>G115+H115+I115</f>
        <v>989.1</v>
      </c>
      <c r="G115" s="73">
        <v>286.3</v>
      </c>
      <c r="H115" s="73">
        <v>363.7</v>
      </c>
      <c r="I115" s="25">
        <v>339.1</v>
      </c>
      <c r="J115" s="25">
        <v>320.9</v>
      </c>
      <c r="K115" s="25">
        <v>1986.3</v>
      </c>
      <c r="L115" s="28" t="e">
        <f>K115/#REF!*100</f>
        <v>#REF!</v>
      </c>
      <c r="M115" s="28">
        <f t="shared" si="45"/>
        <v>585.7564140371571</v>
      </c>
      <c r="N115" s="69"/>
      <c r="O115" s="69"/>
      <c r="P115" s="24">
        <f t="shared" si="31"/>
        <v>618.9778747273294</v>
      </c>
      <c r="Q115" s="24">
        <f aca="true" t="shared" si="46" ref="Q115:Q128">K115*100/D115</f>
        <v>151.6259541984733</v>
      </c>
      <c r="R115" s="25">
        <f aca="true" t="shared" si="47" ref="R115:R128">K115*100/E115</f>
        <v>99.31003449827509</v>
      </c>
    </row>
    <row r="116" spans="1:18" ht="14.25" customHeight="1" hidden="1">
      <c r="A116" s="19" t="s">
        <v>8</v>
      </c>
      <c r="B116" s="19"/>
      <c r="C116" s="36" t="s">
        <v>5</v>
      </c>
      <c r="D116" s="73"/>
      <c r="E116" s="73">
        <f>G116+H116+I116+J116</f>
        <v>0</v>
      </c>
      <c r="F116" s="76">
        <f aca="true" t="shared" si="48" ref="F116:F125">G116+H116+I116</f>
        <v>0</v>
      </c>
      <c r="G116" s="73"/>
      <c r="H116" s="73"/>
      <c r="I116" s="25"/>
      <c r="J116" s="25"/>
      <c r="K116" s="25"/>
      <c r="L116" s="28"/>
      <c r="M116" s="28"/>
      <c r="N116" s="69"/>
      <c r="O116" s="69"/>
      <c r="P116" s="24"/>
      <c r="Q116" s="24" t="e">
        <f t="shared" si="46"/>
        <v>#DIV/0!</v>
      </c>
      <c r="R116" s="25" t="e">
        <f t="shared" si="47"/>
        <v>#DIV/0!</v>
      </c>
    </row>
    <row r="117" spans="1:18" ht="12.75">
      <c r="A117" s="19" t="s">
        <v>70</v>
      </c>
      <c r="B117" s="19"/>
      <c r="C117" s="36" t="s">
        <v>71</v>
      </c>
      <c r="D117" s="73">
        <v>3271</v>
      </c>
      <c r="E117" s="73">
        <v>2571</v>
      </c>
      <c r="F117" s="76">
        <f t="shared" si="48"/>
        <v>2452.5</v>
      </c>
      <c r="G117" s="73">
        <v>817.5</v>
      </c>
      <c r="H117" s="73">
        <v>817.5</v>
      </c>
      <c r="I117" s="25">
        <v>817.5</v>
      </c>
      <c r="J117" s="25">
        <v>818.5</v>
      </c>
      <c r="K117" s="25">
        <v>2193.6</v>
      </c>
      <c r="L117" s="28"/>
      <c r="M117" s="28"/>
      <c r="N117" s="69"/>
      <c r="O117" s="69"/>
      <c r="P117" s="24"/>
      <c r="Q117" s="24">
        <f t="shared" si="46"/>
        <v>67.06206053194742</v>
      </c>
      <c r="R117" s="25">
        <f t="shared" si="47"/>
        <v>85.32088681446908</v>
      </c>
    </row>
    <row r="118" spans="1:18" ht="12.75">
      <c r="A118" s="19" t="s">
        <v>8</v>
      </c>
      <c r="B118" s="19"/>
      <c r="C118" s="36" t="s">
        <v>5</v>
      </c>
      <c r="D118" s="73"/>
      <c r="E118" s="73"/>
      <c r="F118" s="76"/>
      <c r="G118" s="73"/>
      <c r="H118" s="73"/>
      <c r="I118" s="25"/>
      <c r="J118" s="25"/>
      <c r="K118" s="25">
        <v>0.5</v>
      </c>
      <c r="L118" s="28"/>
      <c r="M118" s="28"/>
      <c r="N118" s="69"/>
      <c r="O118" s="69"/>
      <c r="P118" s="24"/>
      <c r="Q118" s="24"/>
      <c r="R118" s="25"/>
    </row>
    <row r="119" spans="1:18" ht="12.75">
      <c r="A119" s="19" t="s">
        <v>9</v>
      </c>
      <c r="B119" s="19"/>
      <c r="C119" s="36" t="s">
        <v>6</v>
      </c>
      <c r="D119" s="73">
        <v>77</v>
      </c>
      <c r="E119" s="73">
        <v>104</v>
      </c>
      <c r="F119" s="76">
        <f t="shared" si="48"/>
        <v>1.5</v>
      </c>
      <c r="G119" s="73">
        <v>1.5</v>
      </c>
      <c r="H119" s="73"/>
      <c r="I119" s="25"/>
      <c r="J119" s="25">
        <v>75.5</v>
      </c>
      <c r="K119" s="25">
        <v>113.7</v>
      </c>
      <c r="L119" s="28" t="e">
        <f>K119/#REF!*100</f>
        <v>#REF!</v>
      </c>
      <c r="M119" s="28" t="e">
        <f t="shared" si="45"/>
        <v>#DIV/0!</v>
      </c>
      <c r="N119" s="69"/>
      <c r="O119" s="69"/>
      <c r="P119" s="24">
        <f t="shared" si="31"/>
        <v>150.59602649006624</v>
      </c>
      <c r="Q119" s="24">
        <f t="shared" si="46"/>
        <v>147.66233766233765</v>
      </c>
      <c r="R119" s="25">
        <f t="shared" si="47"/>
        <v>109.32692307692308</v>
      </c>
    </row>
    <row r="120" spans="1:18" ht="12.75">
      <c r="A120" s="19" t="s">
        <v>10</v>
      </c>
      <c r="B120" s="19"/>
      <c r="C120" s="36" t="s">
        <v>21</v>
      </c>
      <c r="D120" s="73">
        <v>30</v>
      </c>
      <c r="E120" s="73">
        <v>11</v>
      </c>
      <c r="F120" s="76">
        <f t="shared" si="48"/>
        <v>22.5</v>
      </c>
      <c r="G120" s="73">
        <v>7.5</v>
      </c>
      <c r="H120" s="73">
        <v>7.5</v>
      </c>
      <c r="I120" s="25">
        <v>7.5</v>
      </c>
      <c r="J120" s="25">
        <v>7.5</v>
      </c>
      <c r="K120" s="25">
        <v>8.8</v>
      </c>
      <c r="L120" s="28" t="e">
        <f>K120/#REF!*100</f>
        <v>#REF!</v>
      </c>
      <c r="M120" s="28">
        <f t="shared" si="45"/>
        <v>117.33333333333333</v>
      </c>
      <c r="N120" s="69"/>
      <c r="O120" s="69"/>
      <c r="P120" s="24">
        <f t="shared" si="31"/>
        <v>117.33333333333334</v>
      </c>
      <c r="Q120" s="24">
        <f t="shared" si="46"/>
        <v>29.333333333333336</v>
      </c>
      <c r="R120" s="25">
        <f t="shared" si="47"/>
        <v>80.00000000000001</v>
      </c>
    </row>
    <row r="121" spans="1:18" ht="24">
      <c r="A121" s="20" t="s">
        <v>11</v>
      </c>
      <c r="B121" s="20"/>
      <c r="C121" s="36" t="s">
        <v>17</v>
      </c>
      <c r="D121" s="73">
        <v>250</v>
      </c>
      <c r="E121" s="73">
        <v>280.2</v>
      </c>
      <c r="F121" s="76">
        <f t="shared" si="48"/>
        <v>187.4</v>
      </c>
      <c r="G121" s="73">
        <v>62.6</v>
      </c>
      <c r="H121" s="73">
        <v>62.4</v>
      </c>
      <c r="I121" s="25">
        <v>62.4</v>
      </c>
      <c r="J121" s="25">
        <v>62.6</v>
      </c>
      <c r="K121" s="25">
        <v>192.8</v>
      </c>
      <c r="L121" s="28" t="e">
        <f>K121/#REF!*100</f>
        <v>#REF!</v>
      </c>
      <c r="M121" s="28">
        <f t="shared" si="45"/>
        <v>308.974358974359</v>
      </c>
      <c r="N121" s="69"/>
      <c r="O121" s="69"/>
      <c r="P121" s="24">
        <f t="shared" si="31"/>
        <v>307.98722044728436</v>
      </c>
      <c r="Q121" s="24">
        <f t="shared" si="46"/>
        <v>77.12</v>
      </c>
      <c r="R121" s="25">
        <f t="shared" si="47"/>
        <v>68.807994289793</v>
      </c>
    </row>
    <row r="122" spans="1:18" ht="24">
      <c r="A122" s="38" t="s">
        <v>42</v>
      </c>
      <c r="B122" s="38"/>
      <c r="C122" s="36" t="s">
        <v>43</v>
      </c>
      <c r="D122" s="73">
        <v>110</v>
      </c>
      <c r="E122" s="73">
        <f>G122+H122+I122+J122</f>
        <v>110</v>
      </c>
      <c r="F122" s="76">
        <f t="shared" si="48"/>
        <v>82.5</v>
      </c>
      <c r="G122" s="73">
        <v>27.5</v>
      </c>
      <c r="H122" s="73">
        <v>27.5</v>
      </c>
      <c r="I122" s="25">
        <v>27.5</v>
      </c>
      <c r="J122" s="25">
        <v>27.5</v>
      </c>
      <c r="K122" s="25">
        <v>83</v>
      </c>
      <c r="L122" s="28" t="e">
        <f>K122/#REF!*100</f>
        <v>#REF!</v>
      </c>
      <c r="M122" s="28">
        <f t="shared" si="45"/>
        <v>301.8181818181818</v>
      </c>
      <c r="N122" s="69"/>
      <c r="O122" s="69"/>
      <c r="P122" s="24">
        <f t="shared" si="31"/>
        <v>301.8181818181818</v>
      </c>
      <c r="Q122" s="24">
        <f t="shared" si="46"/>
        <v>75.45454545454545</v>
      </c>
      <c r="R122" s="25">
        <f t="shared" si="47"/>
        <v>75.45454545454545</v>
      </c>
    </row>
    <row r="123" spans="1:18" ht="21" customHeight="1">
      <c r="A123" s="37" t="s">
        <v>18</v>
      </c>
      <c r="B123" s="37"/>
      <c r="C123" s="36" t="s">
        <v>15</v>
      </c>
      <c r="D123" s="73"/>
      <c r="E123" s="73">
        <v>106</v>
      </c>
      <c r="F123" s="76">
        <f t="shared" si="48"/>
        <v>0</v>
      </c>
      <c r="G123" s="73"/>
      <c r="H123" s="73"/>
      <c r="I123" s="25"/>
      <c r="J123" s="25"/>
      <c r="K123" s="25">
        <v>81</v>
      </c>
      <c r="L123" s="28" t="e">
        <f>K123/#REF!*100</f>
        <v>#REF!</v>
      </c>
      <c r="M123" s="28" t="e">
        <f t="shared" si="45"/>
        <v>#DIV/0!</v>
      </c>
      <c r="N123" s="69"/>
      <c r="O123" s="69"/>
      <c r="P123" s="24" t="e">
        <f t="shared" si="31"/>
        <v>#DIV/0!</v>
      </c>
      <c r="Q123" s="24"/>
      <c r="R123" s="25">
        <f t="shared" si="47"/>
        <v>76.41509433962264</v>
      </c>
    </row>
    <row r="124" spans="1:18" ht="18.75" customHeight="1" hidden="1">
      <c r="A124" s="29" t="s">
        <v>12</v>
      </c>
      <c r="B124" s="29"/>
      <c r="C124" s="36" t="s">
        <v>7</v>
      </c>
      <c r="D124" s="73"/>
      <c r="E124" s="73">
        <f>G124+H124+I124+J124</f>
        <v>0</v>
      </c>
      <c r="F124" s="76">
        <f t="shared" si="48"/>
        <v>0</v>
      </c>
      <c r="G124" s="73"/>
      <c r="H124" s="73"/>
      <c r="I124" s="25"/>
      <c r="J124" s="25"/>
      <c r="K124" s="25"/>
      <c r="L124" s="28"/>
      <c r="M124" s="28"/>
      <c r="N124" s="69"/>
      <c r="O124" s="69"/>
      <c r="P124" s="24" t="e">
        <f t="shared" si="31"/>
        <v>#DIV/0!</v>
      </c>
      <c r="Q124" s="24"/>
      <c r="R124" s="25"/>
    </row>
    <row r="125" spans="1:18" ht="17.25" customHeight="1">
      <c r="A125" s="37" t="s">
        <v>39</v>
      </c>
      <c r="B125" s="56"/>
      <c r="C125" s="23" t="s">
        <v>40</v>
      </c>
      <c r="D125" s="89">
        <v>0</v>
      </c>
      <c r="E125" s="73">
        <v>35.1</v>
      </c>
      <c r="F125" s="76">
        <f t="shared" si="48"/>
        <v>0</v>
      </c>
      <c r="G125" s="73"/>
      <c r="H125" s="73"/>
      <c r="I125" s="25"/>
      <c r="J125" s="25"/>
      <c r="K125" s="25">
        <v>35.1</v>
      </c>
      <c r="L125" s="28"/>
      <c r="M125" s="28"/>
      <c r="N125" s="69"/>
      <c r="O125" s="69"/>
      <c r="P125" s="24" t="e">
        <f t="shared" si="31"/>
        <v>#DIV/0!</v>
      </c>
      <c r="Q125" s="24"/>
      <c r="R125" s="25">
        <f t="shared" si="47"/>
        <v>100</v>
      </c>
    </row>
    <row r="126" spans="1:18" ht="12.75">
      <c r="A126" s="33" t="s">
        <v>1</v>
      </c>
      <c r="B126" s="33"/>
      <c r="C126" s="41" t="s">
        <v>0</v>
      </c>
      <c r="D126" s="42">
        <f aca="true" t="shared" si="49" ref="D126:L126">D127</f>
        <v>23671.4</v>
      </c>
      <c r="E126" s="42">
        <f t="shared" si="49"/>
        <v>35873.8</v>
      </c>
      <c r="F126" s="82">
        <f t="shared" si="49"/>
        <v>18880.5</v>
      </c>
      <c r="G126" s="82">
        <f t="shared" si="49"/>
        <v>4838.3</v>
      </c>
      <c r="H126" s="82">
        <f t="shared" si="49"/>
        <v>7623.4</v>
      </c>
      <c r="I126" s="82">
        <f t="shared" si="49"/>
        <v>6418.799999999999</v>
      </c>
      <c r="J126" s="42">
        <f t="shared" si="49"/>
        <v>6360.2</v>
      </c>
      <c r="K126" s="42">
        <f t="shared" si="49"/>
        <v>22353.7</v>
      </c>
      <c r="L126" s="42" t="e">
        <f t="shared" si="49"/>
        <v>#REF!</v>
      </c>
      <c r="M126" s="35">
        <f>K126/I126*100</f>
        <v>348.2535676450427</v>
      </c>
      <c r="N126" s="69"/>
      <c r="O126" s="69"/>
      <c r="P126" s="46">
        <f t="shared" si="31"/>
        <v>351.46221816924</v>
      </c>
      <c r="Q126" s="46">
        <f t="shared" si="46"/>
        <v>94.4333668477572</v>
      </c>
      <c r="R126" s="32">
        <f t="shared" si="47"/>
        <v>62.312049462281664</v>
      </c>
    </row>
    <row r="127" spans="1:18" ht="24">
      <c r="A127" s="21" t="s">
        <v>67</v>
      </c>
      <c r="B127" s="19"/>
      <c r="C127" s="43" t="s">
        <v>20</v>
      </c>
      <c r="D127" s="49">
        <v>23671.4</v>
      </c>
      <c r="E127" s="73">
        <v>35873.8</v>
      </c>
      <c r="F127" s="76">
        <f>G127+H127+I127</f>
        <v>18880.5</v>
      </c>
      <c r="G127" s="73">
        <f>4822.7+15.6</f>
        <v>4838.3</v>
      </c>
      <c r="H127" s="73">
        <f>7620.2+3.2</f>
        <v>7623.4</v>
      </c>
      <c r="I127" s="25">
        <f>5425.9+992.9</f>
        <v>6418.799999999999</v>
      </c>
      <c r="J127" s="25">
        <v>6360.2</v>
      </c>
      <c r="K127" s="25">
        <v>22353.7</v>
      </c>
      <c r="L127" s="28" t="e">
        <f>K127/#REF!*100</f>
        <v>#REF!</v>
      </c>
      <c r="M127" s="28">
        <f>K127/I127*100</f>
        <v>348.2535676450427</v>
      </c>
      <c r="N127" s="69"/>
      <c r="O127" s="69"/>
      <c r="P127" s="24">
        <f t="shared" si="31"/>
        <v>351.46221816924</v>
      </c>
      <c r="Q127" s="24">
        <f t="shared" si="46"/>
        <v>94.4333668477572</v>
      </c>
      <c r="R127" s="25">
        <f t="shared" si="47"/>
        <v>62.312049462281664</v>
      </c>
    </row>
    <row r="128" spans="1:18" ht="12.75">
      <c r="A128" s="29"/>
      <c r="B128" s="30"/>
      <c r="C128" s="31" t="s">
        <v>4</v>
      </c>
      <c r="D128" s="32">
        <f aca="true" t="shared" si="50" ref="D128:K128">D126+D114</f>
        <v>28719.4</v>
      </c>
      <c r="E128" s="32">
        <f t="shared" si="50"/>
        <v>41091.200000000004</v>
      </c>
      <c r="F128" s="32">
        <f t="shared" si="50"/>
        <v>22616</v>
      </c>
      <c r="G128" s="32">
        <f t="shared" si="50"/>
        <v>6041.200000000001</v>
      </c>
      <c r="H128" s="32">
        <f t="shared" si="50"/>
        <v>8902</v>
      </c>
      <c r="I128" s="32">
        <f t="shared" si="50"/>
        <v>7672.799999999999</v>
      </c>
      <c r="J128" s="32">
        <f t="shared" si="50"/>
        <v>7672.7</v>
      </c>
      <c r="K128" s="32">
        <f t="shared" si="50"/>
        <v>27048.5</v>
      </c>
      <c r="L128" s="35" t="e">
        <f>K128/#REF!*100</f>
        <v>#REF!</v>
      </c>
      <c r="M128" s="35">
        <f>K128/I128*100</f>
        <v>352.52450213742054</v>
      </c>
      <c r="N128" s="69"/>
      <c r="O128" s="70" t="e">
        <f>J128+#REF!+#REF!</f>
        <v>#REF!</v>
      </c>
      <c r="P128" s="46">
        <f t="shared" si="31"/>
        <v>352.5290966674052</v>
      </c>
      <c r="Q128" s="46">
        <f t="shared" si="46"/>
        <v>94.18198151771972</v>
      </c>
      <c r="R128" s="32">
        <f t="shared" si="47"/>
        <v>65.82552955377307</v>
      </c>
    </row>
    <row r="129" spans="1:18" ht="12.75">
      <c r="A129" s="101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3"/>
      <c r="N129" s="69"/>
      <c r="O129" s="69"/>
      <c r="P129" s="67"/>
      <c r="Q129" s="35"/>
      <c r="R129" s="32"/>
    </row>
    <row r="130" spans="1:18" ht="12.75">
      <c r="A130" s="104" t="s">
        <v>31</v>
      </c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35"/>
      <c r="R130" s="32"/>
    </row>
    <row r="131" spans="1:18" ht="12.75">
      <c r="A131" s="33" t="s">
        <v>3</v>
      </c>
      <c r="B131" s="33"/>
      <c r="C131" s="34" t="s">
        <v>68</v>
      </c>
      <c r="D131" s="35">
        <f aca="true" t="shared" si="51" ref="D131:K131">D132+D134+D135+D136+D138+D140+D137+D139+D133</f>
        <v>9547</v>
      </c>
      <c r="E131" s="35">
        <f t="shared" si="51"/>
        <v>9958.5</v>
      </c>
      <c r="F131" s="35">
        <f t="shared" si="51"/>
        <v>7229.5</v>
      </c>
      <c r="G131" s="35">
        <f t="shared" si="51"/>
        <v>1898.8</v>
      </c>
      <c r="H131" s="35">
        <f t="shared" si="51"/>
        <v>2898.8</v>
      </c>
      <c r="I131" s="35">
        <f t="shared" si="51"/>
        <v>2431.9</v>
      </c>
      <c r="J131" s="35">
        <f t="shared" si="51"/>
        <v>2540.6</v>
      </c>
      <c r="K131" s="35">
        <f t="shared" si="51"/>
        <v>7534.8</v>
      </c>
      <c r="L131" s="35" t="e">
        <f>K131/#REF!*100</f>
        <v>#REF!</v>
      </c>
      <c r="M131" s="35">
        <f aca="true" t="shared" si="52" ref="M131:M138">K131/I131*100</f>
        <v>309.83181874254694</v>
      </c>
      <c r="N131" s="69"/>
      <c r="O131" s="69"/>
      <c r="P131" s="35">
        <f t="shared" si="31"/>
        <v>296.57561206014327</v>
      </c>
      <c r="Q131" s="46">
        <f>K131*100/D131</f>
        <v>78.9232219545407</v>
      </c>
      <c r="R131" s="32">
        <f>K131*100/E131</f>
        <v>75.66199728874831</v>
      </c>
    </row>
    <row r="132" spans="1:18" ht="12.75">
      <c r="A132" s="29" t="s">
        <v>23</v>
      </c>
      <c r="B132" s="29"/>
      <c r="C132" s="36" t="s">
        <v>22</v>
      </c>
      <c r="D132" s="73">
        <v>2000</v>
      </c>
      <c r="E132" s="73">
        <f>G132+H132+I132+J132</f>
        <v>2000</v>
      </c>
      <c r="F132" s="76">
        <f>G132+H132+I132</f>
        <v>1350</v>
      </c>
      <c r="G132" s="49">
        <v>400</v>
      </c>
      <c r="H132" s="49">
        <v>500</v>
      </c>
      <c r="I132" s="24">
        <v>450</v>
      </c>
      <c r="J132" s="25">
        <v>650</v>
      </c>
      <c r="K132" s="25">
        <v>1777.5</v>
      </c>
      <c r="L132" s="28" t="e">
        <f>K132/#REF!*100</f>
        <v>#REF!</v>
      </c>
      <c r="M132" s="28">
        <f t="shared" si="52"/>
        <v>395</v>
      </c>
      <c r="N132" s="69"/>
      <c r="O132" s="69"/>
      <c r="P132" s="24">
        <f t="shared" si="31"/>
        <v>273.46153846153845</v>
      </c>
      <c r="Q132" s="24">
        <f aca="true" t="shared" si="53" ref="Q132:Q144">K132*100/D132</f>
        <v>88.875</v>
      </c>
      <c r="R132" s="25">
        <f aca="true" t="shared" si="54" ref="R132:R144">K132*100/E132</f>
        <v>88.875</v>
      </c>
    </row>
    <row r="133" spans="1:18" ht="12.75">
      <c r="A133" s="19" t="s">
        <v>70</v>
      </c>
      <c r="B133" s="19"/>
      <c r="C133" s="36" t="s">
        <v>71</v>
      </c>
      <c r="D133" s="73">
        <v>7083</v>
      </c>
      <c r="E133" s="73">
        <f>G133+H133+I133+J133</f>
        <v>7083</v>
      </c>
      <c r="F133" s="76">
        <f aca="true" t="shared" si="55" ref="F133:F140">G133+H133+I133</f>
        <v>5351</v>
      </c>
      <c r="G133" s="49">
        <v>1445.6</v>
      </c>
      <c r="H133" s="49">
        <v>2052.5</v>
      </c>
      <c r="I133" s="24">
        <v>1852.9</v>
      </c>
      <c r="J133" s="25">
        <v>1732</v>
      </c>
      <c r="K133" s="25">
        <v>4750.8</v>
      </c>
      <c r="L133" s="28"/>
      <c r="M133" s="28"/>
      <c r="N133" s="69"/>
      <c r="O133" s="69"/>
      <c r="P133" s="24"/>
      <c r="Q133" s="24">
        <f t="shared" si="53"/>
        <v>67.07327403642525</v>
      </c>
      <c r="R133" s="25">
        <f t="shared" si="54"/>
        <v>67.07327403642525</v>
      </c>
    </row>
    <row r="134" spans="1:18" ht="12.75">
      <c r="A134" s="19" t="s">
        <v>9</v>
      </c>
      <c r="B134" s="19"/>
      <c r="C134" s="36" t="s">
        <v>6</v>
      </c>
      <c r="D134" s="73">
        <v>267</v>
      </c>
      <c r="E134" s="73">
        <f aca="true" t="shared" si="56" ref="E134:E143">G134+H134+I134+J134</f>
        <v>267</v>
      </c>
      <c r="F134" s="76">
        <f t="shared" si="55"/>
        <v>164.39999999999998</v>
      </c>
      <c r="G134" s="49">
        <v>20.1</v>
      </c>
      <c r="H134" s="49">
        <v>66.6</v>
      </c>
      <c r="I134" s="24">
        <v>77.7</v>
      </c>
      <c r="J134" s="25">
        <v>102.6</v>
      </c>
      <c r="K134" s="25">
        <v>262.3</v>
      </c>
      <c r="L134" s="28" t="e">
        <f>K134/#REF!*100</f>
        <v>#REF!</v>
      </c>
      <c r="M134" s="28">
        <f t="shared" si="52"/>
        <v>337.58043758043755</v>
      </c>
      <c r="N134" s="69"/>
      <c r="O134" s="69"/>
      <c r="P134" s="24">
        <f t="shared" si="31"/>
        <v>255.65302144249515</v>
      </c>
      <c r="Q134" s="24">
        <f t="shared" si="53"/>
        <v>98.23970037453184</v>
      </c>
      <c r="R134" s="25">
        <f t="shared" si="54"/>
        <v>98.23970037453184</v>
      </c>
    </row>
    <row r="135" spans="1:18" ht="12.75">
      <c r="A135" s="19" t="s">
        <v>10</v>
      </c>
      <c r="B135" s="19"/>
      <c r="C135" s="36" t="s">
        <v>21</v>
      </c>
      <c r="D135" s="73">
        <v>47</v>
      </c>
      <c r="E135" s="73">
        <f t="shared" si="56"/>
        <v>47</v>
      </c>
      <c r="F135" s="76">
        <f t="shared" si="55"/>
        <v>33.7</v>
      </c>
      <c r="G135" s="49">
        <v>5.5</v>
      </c>
      <c r="H135" s="49">
        <v>14</v>
      </c>
      <c r="I135" s="24">
        <v>14.2</v>
      </c>
      <c r="J135" s="25">
        <v>13.3</v>
      </c>
      <c r="K135" s="25">
        <v>30.4</v>
      </c>
      <c r="L135" s="28" t="e">
        <f>K135/#REF!*100</f>
        <v>#REF!</v>
      </c>
      <c r="M135" s="28">
        <f t="shared" si="52"/>
        <v>214.0845070422535</v>
      </c>
      <c r="N135" s="69"/>
      <c r="O135" s="69"/>
      <c r="P135" s="24">
        <f t="shared" si="31"/>
        <v>228.57142857142856</v>
      </c>
      <c r="Q135" s="24">
        <f t="shared" si="53"/>
        <v>64.68085106382979</v>
      </c>
      <c r="R135" s="25">
        <f t="shared" si="54"/>
        <v>64.68085106382979</v>
      </c>
    </row>
    <row r="136" spans="1:18" ht="24">
      <c r="A136" s="20" t="s">
        <v>11</v>
      </c>
      <c r="B136" s="20"/>
      <c r="C136" s="36" t="s">
        <v>17</v>
      </c>
      <c r="D136" s="73">
        <v>70</v>
      </c>
      <c r="E136" s="73">
        <v>481.5</v>
      </c>
      <c r="F136" s="76">
        <f t="shared" si="55"/>
        <v>274.4</v>
      </c>
      <c r="G136" s="49">
        <v>10.6</v>
      </c>
      <c r="H136" s="49">
        <v>241.7</v>
      </c>
      <c r="I136" s="24">
        <v>22.1</v>
      </c>
      <c r="J136" s="25">
        <v>18.7</v>
      </c>
      <c r="K136" s="25">
        <v>637</v>
      </c>
      <c r="L136" s="28" t="e">
        <f>K136/#REF!*100</f>
        <v>#REF!</v>
      </c>
      <c r="M136" s="28">
        <f t="shared" si="52"/>
        <v>2882.3529411764703</v>
      </c>
      <c r="N136" s="69"/>
      <c r="O136" s="69"/>
      <c r="P136" s="24">
        <f t="shared" si="31"/>
        <v>3406.4171122994653</v>
      </c>
      <c r="Q136" s="24">
        <f t="shared" si="53"/>
        <v>910</v>
      </c>
      <c r="R136" s="25">
        <f t="shared" si="54"/>
        <v>132.29491173416406</v>
      </c>
    </row>
    <row r="137" spans="1:18" ht="24">
      <c r="A137" s="38" t="s">
        <v>42</v>
      </c>
      <c r="B137" s="38"/>
      <c r="C137" s="36" t="s">
        <v>43</v>
      </c>
      <c r="D137" s="73">
        <v>80</v>
      </c>
      <c r="E137" s="73">
        <f t="shared" si="56"/>
        <v>80</v>
      </c>
      <c r="F137" s="76">
        <f t="shared" si="55"/>
        <v>56</v>
      </c>
      <c r="G137" s="49">
        <v>17</v>
      </c>
      <c r="H137" s="49">
        <v>24</v>
      </c>
      <c r="I137" s="24">
        <v>15</v>
      </c>
      <c r="J137" s="25">
        <v>24</v>
      </c>
      <c r="K137" s="25">
        <v>75</v>
      </c>
      <c r="L137" s="28" t="e">
        <f>K137/#REF!*100</f>
        <v>#REF!</v>
      </c>
      <c r="M137" s="28">
        <f t="shared" si="52"/>
        <v>500</v>
      </c>
      <c r="N137" s="69"/>
      <c r="O137" s="69"/>
      <c r="P137" s="24">
        <f t="shared" si="31"/>
        <v>312.5</v>
      </c>
      <c r="Q137" s="24">
        <f t="shared" si="53"/>
        <v>93.75</v>
      </c>
      <c r="R137" s="25">
        <f t="shared" si="54"/>
        <v>93.75</v>
      </c>
    </row>
    <row r="138" spans="1:18" ht="13.5" customHeight="1" hidden="1">
      <c r="A138" s="38" t="s">
        <v>18</v>
      </c>
      <c r="B138" s="38"/>
      <c r="C138" s="36" t="s">
        <v>15</v>
      </c>
      <c r="D138" s="73"/>
      <c r="E138" s="73">
        <f t="shared" si="56"/>
        <v>0</v>
      </c>
      <c r="F138" s="76">
        <f t="shared" si="55"/>
        <v>0</v>
      </c>
      <c r="G138" s="49"/>
      <c r="H138" s="49"/>
      <c r="I138" s="24"/>
      <c r="J138" s="25"/>
      <c r="K138" s="25"/>
      <c r="L138" s="28" t="e">
        <f>K138/#REF!*100</f>
        <v>#REF!</v>
      </c>
      <c r="M138" s="28" t="e">
        <f t="shared" si="52"/>
        <v>#DIV/0!</v>
      </c>
      <c r="N138" s="69"/>
      <c r="O138" s="69"/>
      <c r="P138" s="24" t="e">
        <f t="shared" si="31"/>
        <v>#DIV/0!</v>
      </c>
      <c r="Q138" s="24" t="e">
        <f t="shared" si="53"/>
        <v>#DIV/0!</v>
      </c>
      <c r="R138" s="25" t="e">
        <f t="shared" si="54"/>
        <v>#DIV/0!</v>
      </c>
    </row>
    <row r="139" spans="1:18" ht="14.25" customHeight="1" hidden="1">
      <c r="A139" s="29" t="s">
        <v>12</v>
      </c>
      <c r="B139" s="29"/>
      <c r="C139" s="36" t="s">
        <v>7</v>
      </c>
      <c r="D139" s="73"/>
      <c r="E139" s="73">
        <f t="shared" si="56"/>
        <v>0</v>
      </c>
      <c r="F139" s="76">
        <f t="shared" si="55"/>
        <v>0</v>
      </c>
      <c r="G139" s="49"/>
      <c r="H139" s="49"/>
      <c r="I139" s="24"/>
      <c r="J139" s="25"/>
      <c r="K139" s="25"/>
      <c r="L139" s="28"/>
      <c r="M139" s="28"/>
      <c r="N139" s="69"/>
      <c r="O139" s="69"/>
      <c r="P139" s="24"/>
      <c r="Q139" s="24" t="e">
        <f t="shared" si="53"/>
        <v>#DIV/0!</v>
      </c>
      <c r="R139" s="25" t="e">
        <f t="shared" si="54"/>
        <v>#DIV/0!</v>
      </c>
    </row>
    <row r="140" spans="1:18" ht="12.75">
      <c r="A140" s="38" t="s">
        <v>39</v>
      </c>
      <c r="B140" s="56"/>
      <c r="C140" s="23" t="s">
        <v>40</v>
      </c>
      <c r="D140" s="89">
        <v>0</v>
      </c>
      <c r="E140" s="73">
        <f t="shared" si="56"/>
        <v>0</v>
      </c>
      <c r="F140" s="76">
        <f t="shared" si="55"/>
        <v>0</v>
      </c>
      <c r="G140" s="49"/>
      <c r="H140" s="49"/>
      <c r="I140" s="24"/>
      <c r="J140" s="25"/>
      <c r="K140" s="24">
        <v>1.8</v>
      </c>
      <c r="L140" s="28"/>
      <c r="M140" s="28"/>
      <c r="N140" s="69"/>
      <c r="O140" s="69"/>
      <c r="P140" s="24"/>
      <c r="Q140" s="24"/>
      <c r="R140" s="25"/>
    </row>
    <row r="141" spans="1:18" ht="12.75">
      <c r="A141" s="45" t="s">
        <v>1</v>
      </c>
      <c r="B141" s="45"/>
      <c r="C141" s="41" t="s">
        <v>0</v>
      </c>
      <c r="D141" s="42">
        <f aca="true" t="shared" si="57" ref="D141:K141">D142+D143</f>
        <v>39013</v>
      </c>
      <c r="E141" s="42">
        <f t="shared" si="57"/>
        <v>41796.9</v>
      </c>
      <c r="F141" s="42">
        <f t="shared" si="57"/>
        <v>31327.4</v>
      </c>
      <c r="G141" s="42">
        <f t="shared" si="57"/>
        <v>9060.2</v>
      </c>
      <c r="H141" s="42">
        <f t="shared" si="57"/>
        <v>10875.9</v>
      </c>
      <c r="I141" s="42">
        <f t="shared" si="57"/>
        <v>11391.300000000001</v>
      </c>
      <c r="J141" s="42">
        <f t="shared" si="57"/>
        <v>9035.9</v>
      </c>
      <c r="K141" s="42">
        <f t="shared" si="57"/>
        <v>33375</v>
      </c>
      <c r="L141" s="35" t="e">
        <f>K141/#REF!*100</f>
        <v>#REF!</v>
      </c>
      <c r="M141" s="35">
        <f>K141/I141*100</f>
        <v>292.986753048379</v>
      </c>
      <c r="N141" s="69"/>
      <c r="O141" s="69"/>
      <c r="P141" s="46">
        <f t="shared" si="31"/>
        <v>369.3599973439281</v>
      </c>
      <c r="Q141" s="46">
        <f t="shared" si="53"/>
        <v>85.54840694127599</v>
      </c>
      <c r="R141" s="32">
        <f t="shared" si="54"/>
        <v>79.85041952872103</v>
      </c>
    </row>
    <row r="142" spans="1:18" ht="24">
      <c r="A142" s="21" t="s">
        <v>67</v>
      </c>
      <c r="B142" s="19"/>
      <c r="C142" s="43" t="s">
        <v>20</v>
      </c>
      <c r="D142" s="49">
        <v>39013</v>
      </c>
      <c r="E142" s="73">
        <v>41608</v>
      </c>
      <c r="F142" s="76">
        <f>G142+H142+I142</f>
        <v>31138.5</v>
      </c>
      <c r="G142" s="49">
        <f>8747.2+313</f>
        <v>9060.2</v>
      </c>
      <c r="H142" s="49">
        <v>10687</v>
      </c>
      <c r="I142" s="24">
        <f>11264.1+127.2</f>
        <v>11391.300000000001</v>
      </c>
      <c r="J142" s="25">
        <v>9035.9</v>
      </c>
      <c r="K142" s="25">
        <v>33186.1</v>
      </c>
      <c r="L142" s="28" t="e">
        <f>K142/#REF!*100</f>
        <v>#REF!</v>
      </c>
      <c r="M142" s="28">
        <f>K142/I142*100</f>
        <v>291.32846997269843</v>
      </c>
      <c r="N142" s="69"/>
      <c r="O142" s="69"/>
      <c r="P142" s="24">
        <f t="shared" si="31"/>
        <v>367.26944742637704</v>
      </c>
      <c r="Q142" s="24">
        <f t="shared" si="53"/>
        <v>85.06420936610873</v>
      </c>
      <c r="R142" s="25">
        <f t="shared" si="54"/>
        <v>79.7589405883484</v>
      </c>
    </row>
    <row r="143" spans="1:18" ht="17.25" customHeight="1">
      <c r="A143" s="21" t="s">
        <v>2</v>
      </c>
      <c r="B143" s="21"/>
      <c r="C143" s="44" t="s">
        <v>19</v>
      </c>
      <c r="D143" s="88">
        <v>0</v>
      </c>
      <c r="E143" s="73">
        <f t="shared" si="56"/>
        <v>188.9</v>
      </c>
      <c r="F143" s="76">
        <f>G143+H143+I143</f>
        <v>188.9</v>
      </c>
      <c r="G143" s="80"/>
      <c r="H143" s="80">
        <v>188.9</v>
      </c>
      <c r="I143" s="24"/>
      <c r="J143" s="25"/>
      <c r="K143" s="25">
        <v>188.9</v>
      </c>
      <c r="L143" s="28"/>
      <c r="M143" s="28"/>
      <c r="N143" s="69"/>
      <c r="O143" s="69"/>
      <c r="P143" s="24" t="e">
        <f t="shared" si="31"/>
        <v>#DIV/0!</v>
      </c>
      <c r="Q143" s="24"/>
      <c r="R143" s="25">
        <f t="shared" si="54"/>
        <v>100</v>
      </c>
    </row>
    <row r="144" spans="1:18" ht="12.75">
      <c r="A144" s="29"/>
      <c r="B144" s="30"/>
      <c r="C144" s="31" t="s">
        <v>4</v>
      </c>
      <c r="D144" s="32">
        <f aca="true" t="shared" si="58" ref="D144:K144">D141+D131</f>
        <v>48560</v>
      </c>
      <c r="E144" s="32">
        <f t="shared" si="58"/>
        <v>51755.4</v>
      </c>
      <c r="F144" s="32">
        <f t="shared" si="58"/>
        <v>38556.9</v>
      </c>
      <c r="G144" s="46">
        <f t="shared" si="58"/>
        <v>10959</v>
      </c>
      <c r="H144" s="46">
        <f t="shared" si="58"/>
        <v>13774.7</v>
      </c>
      <c r="I144" s="46">
        <f t="shared" si="58"/>
        <v>13823.2</v>
      </c>
      <c r="J144" s="32">
        <f t="shared" si="58"/>
        <v>11576.5</v>
      </c>
      <c r="K144" s="32">
        <f t="shared" si="58"/>
        <v>40909.8</v>
      </c>
      <c r="L144" s="35" t="e">
        <f>K144/#REF!*100</f>
        <v>#REF!</v>
      </c>
      <c r="M144" s="35">
        <f>K144/I144*100</f>
        <v>295.9502864749117</v>
      </c>
      <c r="N144" s="69"/>
      <c r="O144" s="70" t="e">
        <f>J144+#REF!+#REF!</f>
        <v>#REF!</v>
      </c>
      <c r="P144" s="46">
        <f t="shared" si="31"/>
        <v>353.38660216818556</v>
      </c>
      <c r="Q144" s="46">
        <f t="shared" si="53"/>
        <v>84.24588138385504</v>
      </c>
      <c r="R144" s="32">
        <f t="shared" si="54"/>
        <v>79.04450550087527</v>
      </c>
    </row>
    <row r="145" spans="1:18" ht="12.75">
      <c r="A145" s="111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3"/>
      <c r="N145" s="69"/>
      <c r="O145" s="69"/>
      <c r="P145" s="67"/>
      <c r="Q145" s="35"/>
      <c r="R145" s="32"/>
    </row>
    <row r="146" spans="1:18" ht="12.75">
      <c r="A146" s="104" t="s">
        <v>32</v>
      </c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35"/>
      <c r="R146" s="32"/>
    </row>
    <row r="147" spans="1:18" ht="12.75">
      <c r="A147" s="33" t="s">
        <v>3</v>
      </c>
      <c r="B147" s="33"/>
      <c r="C147" s="34" t="s">
        <v>68</v>
      </c>
      <c r="D147" s="35">
        <f aca="true" t="shared" si="59" ref="D147:K147">D148+D151+D153+D155+D152+D156+D154+D157+D150+D149</f>
        <v>18757</v>
      </c>
      <c r="E147" s="35">
        <f t="shared" si="59"/>
        <v>18757</v>
      </c>
      <c r="F147" s="35">
        <f t="shared" si="59"/>
        <v>14566.7</v>
      </c>
      <c r="G147" s="35">
        <f t="shared" si="59"/>
        <v>4864.9</v>
      </c>
      <c r="H147" s="35">
        <f t="shared" si="59"/>
        <v>5307</v>
      </c>
      <c r="I147" s="35">
        <f t="shared" si="59"/>
        <v>4394.8</v>
      </c>
      <c r="J147" s="35">
        <f t="shared" si="59"/>
        <v>4190.3</v>
      </c>
      <c r="K147" s="35">
        <f t="shared" si="59"/>
        <v>15627.600000000002</v>
      </c>
      <c r="L147" s="35" t="e">
        <f>K147/#REF!*100</f>
        <v>#REF!</v>
      </c>
      <c r="M147" s="35">
        <f>K147/I147*100</f>
        <v>355.59297351415313</v>
      </c>
      <c r="N147" s="69"/>
      <c r="O147" s="69"/>
      <c r="P147" s="35">
        <f t="shared" si="31"/>
        <v>372.94704436436535</v>
      </c>
      <c r="Q147" s="46">
        <f>K147*100/D147</f>
        <v>83.31609532441223</v>
      </c>
      <c r="R147" s="32">
        <f>K147*100/E147</f>
        <v>83.31609532441223</v>
      </c>
    </row>
    <row r="148" spans="1:18" ht="12.75">
      <c r="A148" s="29" t="s">
        <v>23</v>
      </c>
      <c r="B148" s="29"/>
      <c r="C148" s="36" t="s">
        <v>22</v>
      </c>
      <c r="D148" s="73">
        <v>13150</v>
      </c>
      <c r="E148" s="49">
        <v>13059.1</v>
      </c>
      <c r="F148" s="76">
        <f>G148+H148+I148</f>
        <v>10460</v>
      </c>
      <c r="G148" s="49">
        <v>3300</v>
      </c>
      <c r="H148" s="49">
        <v>4020</v>
      </c>
      <c r="I148" s="24">
        <v>3140</v>
      </c>
      <c r="J148" s="25">
        <v>2690</v>
      </c>
      <c r="K148" s="25">
        <v>11019.2</v>
      </c>
      <c r="L148" s="28" t="e">
        <f>K148/#REF!*100</f>
        <v>#REF!</v>
      </c>
      <c r="M148" s="28">
        <f>K148/I148*100</f>
        <v>350.9299363057325</v>
      </c>
      <c r="N148" s="69"/>
      <c r="O148" s="69"/>
      <c r="P148" s="24">
        <f t="shared" si="31"/>
        <v>409.63568773234203</v>
      </c>
      <c r="Q148" s="24">
        <f aca="true" t="shared" si="60" ref="Q148:Q161">K148*100/D148</f>
        <v>83.79619771863118</v>
      </c>
      <c r="R148" s="25">
        <f aca="true" t="shared" si="61" ref="R148:R161">K148*100/E148</f>
        <v>84.3794748489559</v>
      </c>
    </row>
    <row r="149" spans="1:18" ht="12.75">
      <c r="A149" s="19" t="s">
        <v>70</v>
      </c>
      <c r="B149" s="19"/>
      <c r="C149" s="36" t="s">
        <v>71</v>
      </c>
      <c r="D149" s="73">
        <v>4215</v>
      </c>
      <c r="E149" s="49">
        <v>4143.9</v>
      </c>
      <c r="F149" s="76">
        <f aca="true" t="shared" si="62" ref="F149:F157">G149+H149+I149</f>
        <v>3163</v>
      </c>
      <c r="G149" s="49">
        <v>1054</v>
      </c>
      <c r="H149" s="49">
        <v>1055</v>
      </c>
      <c r="I149" s="24">
        <v>1054</v>
      </c>
      <c r="J149" s="25">
        <v>1052</v>
      </c>
      <c r="K149" s="25">
        <v>2826.8</v>
      </c>
      <c r="L149" s="28"/>
      <c r="M149" s="28"/>
      <c r="N149" s="69"/>
      <c r="O149" s="69"/>
      <c r="P149" s="24"/>
      <c r="Q149" s="24">
        <f t="shared" si="60"/>
        <v>67.06524317912218</v>
      </c>
      <c r="R149" s="25">
        <f t="shared" si="61"/>
        <v>68.21593185163735</v>
      </c>
    </row>
    <row r="150" spans="1:18" ht="12.75" customHeight="1">
      <c r="A150" s="19" t="s">
        <v>8</v>
      </c>
      <c r="B150" s="19"/>
      <c r="C150" s="36" t="s">
        <v>5</v>
      </c>
      <c r="D150" s="73">
        <v>5</v>
      </c>
      <c r="E150" s="49">
        <f>G150+H150+I150+J150</f>
        <v>27</v>
      </c>
      <c r="F150" s="76">
        <f t="shared" si="62"/>
        <v>27</v>
      </c>
      <c r="G150" s="49">
        <v>2</v>
      </c>
      <c r="H150" s="49">
        <v>25</v>
      </c>
      <c r="I150" s="24"/>
      <c r="J150" s="25"/>
      <c r="K150" s="25">
        <v>47.9</v>
      </c>
      <c r="L150" s="28"/>
      <c r="M150" s="28"/>
      <c r="N150" s="69"/>
      <c r="O150" s="69"/>
      <c r="P150" s="24" t="e">
        <f t="shared" si="31"/>
        <v>#DIV/0!</v>
      </c>
      <c r="Q150" s="24">
        <f t="shared" si="60"/>
        <v>958</v>
      </c>
      <c r="R150" s="25">
        <f t="shared" si="61"/>
        <v>177.40740740740742</v>
      </c>
    </row>
    <row r="151" spans="1:18" ht="12.75">
      <c r="A151" s="19" t="s">
        <v>9</v>
      </c>
      <c r="B151" s="19"/>
      <c r="C151" s="36" t="s">
        <v>6</v>
      </c>
      <c r="D151" s="73">
        <v>1070</v>
      </c>
      <c r="E151" s="49">
        <v>1123</v>
      </c>
      <c r="F151" s="76">
        <f t="shared" si="62"/>
        <v>686.6999999999999</v>
      </c>
      <c r="G151" s="49">
        <v>426.9</v>
      </c>
      <c r="H151" s="49">
        <v>132</v>
      </c>
      <c r="I151" s="24">
        <v>127.8</v>
      </c>
      <c r="J151" s="25">
        <v>361.3</v>
      </c>
      <c r="K151" s="25">
        <v>1340.2</v>
      </c>
      <c r="L151" s="28" t="e">
        <f>K151/#REF!*100</f>
        <v>#REF!</v>
      </c>
      <c r="M151" s="28">
        <f>K151/I151*100</f>
        <v>1048.6697965571207</v>
      </c>
      <c r="N151" s="69"/>
      <c r="O151" s="69"/>
      <c r="P151" s="24">
        <f t="shared" si="31"/>
        <v>370.93827843897037</v>
      </c>
      <c r="Q151" s="24">
        <f t="shared" si="60"/>
        <v>125.25233644859813</v>
      </c>
      <c r="R151" s="25">
        <f t="shared" si="61"/>
        <v>119.34105075690115</v>
      </c>
    </row>
    <row r="152" spans="1:18" ht="12.75">
      <c r="A152" s="19" t="s">
        <v>10</v>
      </c>
      <c r="B152" s="19"/>
      <c r="C152" s="36" t="s">
        <v>21</v>
      </c>
      <c r="D152" s="73">
        <v>161</v>
      </c>
      <c r="E152" s="49">
        <v>141</v>
      </c>
      <c r="F152" s="76">
        <f t="shared" si="62"/>
        <v>113</v>
      </c>
      <c r="G152" s="49">
        <v>43</v>
      </c>
      <c r="H152" s="49">
        <v>36</v>
      </c>
      <c r="I152" s="24">
        <v>34</v>
      </c>
      <c r="J152" s="25">
        <v>48</v>
      </c>
      <c r="K152" s="25">
        <v>127.3</v>
      </c>
      <c r="L152" s="28" t="e">
        <f>K152/#REF!*100</f>
        <v>#REF!</v>
      </c>
      <c r="M152" s="28">
        <f>K152/I152*100</f>
        <v>374.4117647058824</v>
      </c>
      <c r="N152" s="69"/>
      <c r="O152" s="69"/>
      <c r="P152" s="24">
        <f t="shared" si="31"/>
        <v>265.2083333333333</v>
      </c>
      <c r="Q152" s="24">
        <f t="shared" si="60"/>
        <v>79.06832298136646</v>
      </c>
      <c r="R152" s="25">
        <f t="shared" si="61"/>
        <v>90.28368794326241</v>
      </c>
    </row>
    <row r="153" spans="1:18" ht="24">
      <c r="A153" s="20" t="s">
        <v>11</v>
      </c>
      <c r="B153" s="20"/>
      <c r="C153" s="36" t="s">
        <v>17</v>
      </c>
      <c r="D153" s="73">
        <v>156</v>
      </c>
      <c r="E153" s="49">
        <v>186</v>
      </c>
      <c r="F153" s="76">
        <f t="shared" si="62"/>
        <v>117</v>
      </c>
      <c r="G153" s="49">
        <v>39</v>
      </c>
      <c r="H153" s="49">
        <v>39</v>
      </c>
      <c r="I153" s="24">
        <v>39</v>
      </c>
      <c r="J153" s="25">
        <v>39</v>
      </c>
      <c r="K153" s="25">
        <v>181.7</v>
      </c>
      <c r="L153" s="28" t="e">
        <f>K153/#REF!*100</f>
        <v>#REF!</v>
      </c>
      <c r="M153" s="28">
        <f>K153/I153*100</f>
        <v>465.89743589743586</v>
      </c>
      <c r="N153" s="69"/>
      <c r="O153" s="69"/>
      <c r="P153" s="24">
        <f t="shared" si="31"/>
        <v>465.8974358974359</v>
      </c>
      <c r="Q153" s="24">
        <f t="shared" si="60"/>
        <v>116.47435897435898</v>
      </c>
      <c r="R153" s="25">
        <f t="shared" si="61"/>
        <v>97.68817204301075</v>
      </c>
    </row>
    <row r="154" spans="1:18" ht="18" customHeight="1">
      <c r="A154" s="38" t="s">
        <v>42</v>
      </c>
      <c r="B154" s="38"/>
      <c r="C154" s="36" t="s">
        <v>43</v>
      </c>
      <c r="D154" s="73"/>
      <c r="E154" s="49">
        <v>1</v>
      </c>
      <c r="F154" s="76">
        <f t="shared" si="62"/>
        <v>0</v>
      </c>
      <c r="G154" s="49"/>
      <c r="H154" s="49"/>
      <c r="I154" s="24"/>
      <c r="J154" s="25"/>
      <c r="K154" s="25">
        <v>1</v>
      </c>
      <c r="L154" s="28"/>
      <c r="M154" s="28"/>
      <c r="N154" s="69"/>
      <c r="O154" s="69"/>
      <c r="P154" s="24" t="e">
        <f aca="true" t="shared" si="63" ref="P154:P221">K154*100/J154</f>
        <v>#DIV/0!</v>
      </c>
      <c r="Q154" s="24"/>
      <c r="R154" s="25">
        <f t="shared" si="61"/>
        <v>100</v>
      </c>
    </row>
    <row r="155" spans="1:18" ht="15" customHeight="1" hidden="1">
      <c r="A155" s="37" t="s">
        <v>18</v>
      </c>
      <c r="B155" s="37"/>
      <c r="C155" s="36" t="s">
        <v>15</v>
      </c>
      <c r="D155" s="73"/>
      <c r="E155" s="49">
        <f>G155+H155+I155+J155</f>
        <v>0</v>
      </c>
      <c r="F155" s="76">
        <f t="shared" si="62"/>
        <v>0</v>
      </c>
      <c r="G155" s="49"/>
      <c r="H155" s="49"/>
      <c r="I155" s="24"/>
      <c r="J155" s="25"/>
      <c r="K155" s="25"/>
      <c r="L155" s="28" t="e">
        <f>K155/#REF!*100</f>
        <v>#REF!</v>
      </c>
      <c r="M155" s="28" t="e">
        <f>K155/I155*100</f>
        <v>#DIV/0!</v>
      </c>
      <c r="N155" s="69"/>
      <c r="O155" s="69"/>
      <c r="P155" s="24" t="e">
        <f t="shared" si="63"/>
        <v>#DIV/0!</v>
      </c>
      <c r="Q155" s="24" t="e">
        <f t="shared" si="60"/>
        <v>#DIV/0!</v>
      </c>
      <c r="R155" s="25" t="e">
        <f t="shared" si="61"/>
        <v>#DIV/0!</v>
      </c>
    </row>
    <row r="156" spans="1:18" ht="17.25" customHeight="1">
      <c r="A156" s="29" t="s">
        <v>12</v>
      </c>
      <c r="B156" s="29"/>
      <c r="C156" s="36" t="s">
        <v>7</v>
      </c>
      <c r="D156" s="73"/>
      <c r="E156" s="49">
        <v>76</v>
      </c>
      <c r="F156" s="76">
        <f t="shared" si="62"/>
        <v>0</v>
      </c>
      <c r="G156" s="49"/>
      <c r="H156" s="49"/>
      <c r="I156" s="24"/>
      <c r="J156" s="25"/>
      <c r="K156" s="25">
        <v>83</v>
      </c>
      <c r="L156" s="28" t="e">
        <f>K156/#REF!*100</f>
        <v>#REF!</v>
      </c>
      <c r="M156" s="28"/>
      <c r="N156" s="69"/>
      <c r="O156" s="69"/>
      <c r="P156" s="24" t="e">
        <f t="shared" si="63"/>
        <v>#DIV/0!</v>
      </c>
      <c r="Q156" s="24"/>
      <c r="R156" s="25">
        <f t="shared" si="61"/>
        <v>109.21052631578948</v>
      </c>
    </row>
    <row r="157" spans="1:18" ht="16.5" customHeight="1">
      <c r="A157" s="37" t="s">
        <v>39</v>
      </c>
      <c r="B157" s="57"/>
      <c r="C157" s="23" t="s">
        <v>40</v>
      </c>
      <c r="D157" s="89">
        <v>0</v>
      </c>
      <c r="E157" s="49">
        <f>G157+H157+I157+J157</f>
        <v>0</v>
      </c>
      <c r="F157" s="76">
        <f t="shared" si="62"/>
        <v>0</v>
      </c>
      <c r="G157" s="49"/>
      <c r="H157" s="49"/>
      <c r="I157" s="24"/>
      <c r="J157" s="25"/>
      <c r="K157" s="25">
        <v>0.5</v>
      </c>
      <c r="L157" s="28"/>
      <c r="M157" s="28"/>
      <c r="N157" s="69"/>
      <c r="O157" s="69"/>
      <c r="P157" s="24" t="e">
        <f t="shared" si="63"/>
        <v>#DIV/0!</v>
      </c>
      <c r="Q157" s="24"/>
      <c r="R157" s="25"/>
    </row>
    <row r="158" spans="1:18" ht="12.75">
      <c r="A158" s="33" t="s">
        <v>1</v>
      </c>
      <c r="B158" s="33"/>
      <c r="C158" s="41" t="s">
        <v>0</v>
      </c>
      <c r="D158" s="42">
        <f>D159+D160</f>
        <v>29644.3</v>
      </c>
      <c r="E158" s="42">
        <f>E159+E160</f>
        <v>63921.2</v>
      </c>
      <c r="F158" s="42">
        <f aca="true" t="shared" si="64" ref="F158:K158">F159+F160</f>
        <v>24980.6</v>
      </c>
      <c r="G158" s="42">
        <f t="shared" si="64"/>
        <v>5470.3</v>
      </c>
      <c r="H158" s="42">
        <f t="shared" si="64"/>
        <v>8766.5</v>
      </c>
      <c r="I158" s="42">
        <f t="shared" si="64"/>
        <v>10743.8</v>
      </c>
      <c r="J158" s="42">
        <f t="shared" si="64"/>
        <v>6221.3</v>
      </c>
      <c r="K158" s="42">
        <f t="shared" si="64"/>
        <v>25506.2</v>
      </c>
      <c r="L158" s="35" t="e">
        <f>K158/#REF!*100</f>
        <v>#REF!</v>
      </c>
      <c r="M158" s="35">
        <f>K158/I158*100</f>
        <v>237.40389806213818</v>
      </c>
      <c r="N158" s="69"/>
      <c r="O158" s="69"/>
      <c r="P158" s="46">
        <f t="shared" si="63"/>
        <v>409.981836593638</v>
      </c>
      <c r="Q158" s="46">
        <f t="shared" si="60"/>
        <v>86.04082403699869</v>
      </c>
      <c r="R158" s="32">
        <f t="shared" si="61"/>
        <v>39.902567536279044</v>
      </c>
    </row>
    <row r="159" spans="1:18" ht="24">
      <c r="A159" s="21" t="s">
        <v>67</v>
      </c>
      <c r="B159" s="19"/>
      <c r="C159" s="43" t="s">
        <v>20</v>
      </c>
      <c r="D159" s="49">
        <v>29644.3</v>
      </c>
      <c r="E159" s="49">
        <v>63921.2</v>
      </c>
      <c r="F159" s="76">
        <f>G159+H159+I159</f>
        <v>24980.6</v>
      </c>
      <c r="G159" s="49">
        <v>5470.3</v>
      </c>
      <c r="H159" s="49">
        <v>8766.5</v>
      </c>
      <c r="I159" s="24">
        <f>9566.4+1177.4</f>
        <v>10743.8</v>
      </c>
      <c r="J159" s="25">
        <v>6221.3</v>
      </c>
      <c r="K159" s="25">
        <f>25466.2+40</f>
        <v>25506.2</v>
      </c>
      <c r="L159" s="28" t="e">
        <f>K159/#REF!*100</f>
        <v>#REF!</v>
      </c>
      <c r="M159" s="28">
        <f>K159/I159*100</f>
        <v>237.40389806213818</v>
      </c>
      <c r="N159" s="69"/>
      <c r="O159" s="69"/>
      <c r="P159" s="24">
        <f t="shared" si="63"/>
        <v>409.981836593638</v>
      </c>
      <c r="Q159" s="24">
        <f t="shared" si="60"/>
        <v>86.04082403699869</v>
      </c>
      <c r="R159" s="25">
        <f t="shared" si="61"/>
        <v>39.902567536279044</v>
      </c>
    </row>
    <row r="160" spans="1:18" ht="12.75" hidden="1">
      <c r="A160" s="21" t="s">
        <v>2</v>
      </c>
      <c r="B160" s="21"/>
      <c r="C160" s="44" t="s">
        <v>19</v>
      </c>
      <c r="D160" s="44"/>
      <c r="E160" s="49">
        <f>G160+H160+I160+J160</f>
        <v>0</v>
      </c>
      <c r="F160" s="73">
        <f>G160</f>
        <v>0</v>
      </c>
      <c r="G160" s="49"/>
      <c r="H160" s="49"/>
      <c r="I160" s="24"/>
      <c r="J160" s="25"/>
      <c r="K160" s="25"/>
      <c r="L160" s="28"/>
      <c r="M160" s="28"/>
      <c r="N160" s="69"/>
      <c r="O160" s="69"/>
      <c r="P160" s="24"/>
      <c r="Q160" s="46" t="e">
        <f t="shared" si="60"/>
        <v>#DIV/0!</v>
      </c>
      <c r="R160" s="32" t="e">
        <f t="shared" si="61"/>
        <v>#DIV/0!</v>
      </c>
    </row>
    <row r="161" spans="1:18" ht="12.75">
      <c r="A161" s="29"/>
      <c r="B161" s="30"/>
      <c r="C161" s="31" t="s">
        <v>4</v>
      </c>
      <c r="D161" s="32">
        <f aca="true" t="shared" si="65" ref="D161:K161">D158+D147</f>
        <v>48401.3</v>
      </c>
      <c r="E161" s="32">
        <f t="shared" si="65"/>
        <v>82678.2</v>
      </c>
      <c r="F161" s="32">
        <f t="shared" si="65"/>
        <v>39547.3</v>
      </c>
      <c r="G161" s="32">
        <f t="shared" si="65"/>
        <v>10335.2</v>
      </c>
      <c r="H161" s="32">
        <f t="shared" si="65"/>
        <v>14073.5</v>
      </c>
      <c r="I161" s="32">
        <f t="shared" si="65"/>
        <v>15138.599999999999</v>
      </c>
      <c r="J161" s="32">
        <f t="shared" si="65"/>
        <v>10411.6</v>
      </c>
      <c r="K161" s="32">
        <f t="shared" si="65"/>
        <v>41133.8</v>
      </c>
      <c r="L161" s="35" t="e">
        <f>K161/#REF!*100</f>
        <v>#REF!</v>
      </c>
      <c r="M161" s="35">
        <f>K161/I161*100</f>
        <v>271.7146896014163</v>
      </c>
      <c r="N161" s="69"/>
      <c r="O161" s="70" t="e">
        <f>J161+#REF!+#REF!</f>
        <v>#REF!</v>
      </c>
      <c r="P161" s="46">
        <f t="shared" si="63"/>
        <v>395.07664528026436</v>
      </c>
      <c r="Q161" s="46">
        <f t="shared" si="60"/>
        <v>84.98490743017233</v>
      </c>
      <c r="R161" s="32">
        <f t="shared" si="61"/>
        <v>49.75168786935372</v>
      </c>
    </row>
    <row r="162" spans="1:18" ht="12.75">
      <c r="A162" s="101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3"/>
      <c r="N162" s="69"/>
      <c r="O162" s="69"/>
      <c r="P162" s="67"/>
      <c r="Q162" s="35"/>
      <c r="R162" s="32"/>
    </row>
    <row r="163" spans="1:18" ht="12.75">
      <c r="A163" s="104" t="s">
        <v>33</v>
      </c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35"/>
      <c r="R163" s="32"/>
    </row>
    <row r="164" spans="1:18" ht="12.75">
      <c r="A164" s="33" t="s">
        <v>3</v>
      </c>
      <c r="B164" s="33"/>
      <c r="C164" s="34" t="s">
        <v>68</v>
      </c>
      <c r="D164" s="35">
        <f>D165+D168+D169+D170+D172+D173+D174+D171+D166+D167</f>
        <v>6218</v>
      </c>
      <c r="E164" s="35">
        <f>E165+E168+E169+E170+E172+E173+E174+E171+E166+E167</f>
        <v>6986</v>
      </c>
      <c r="F164" s="35">
        <f aca="true" t="shared" si="66" ref="F164:P164">F165+F168+F169+F170+F172+F173+F174+F171+F166+F167</f>
        <v>5282.5</v>
      </c>
      <c r="G164" s="35">
        <f t="shared" si="66"/>
        <v>1369.5</v>
      </c>
      <c r="H164" s="35">
        <f t="shared" si="66"/>
        <v>2385.5</v>
      </c>
      <c r="I164" s="35">
        <f t="shared" si="66"/>
        <v>1527.5</v>
      </c>
      <c r="J164" s="35">
        <f t="shared" si="66"/>
        <v>1703.5</v>
      </c>
      <c r="K164" s="35">
        <f t="shared" si="66"/>
        <v>4627.400000000001</v>
      </c>
      <c r="L164" s="35" t="e">
        <f t="shared" si="66"/>
        <v>#REF!</v>
      </c>
      <c r="M164" s="35" t="e">
        <f t="shared" si="66"/>
        <v>#DIV/0!</v>
      </c>
      <c r="N164" s="35">
        <f t="shared" si="66"/>
        <v>0</v>
      </c>
      <c r="O164" s="35">
        <f t="shared" si="66"/>
        <v>0</v>
      </c>
      <c r="P164" s="35" t="e">
        <f t="shared" si="66"/>
        <v>#DIV/0!</v>
      </c>
      <c r="Q164" s="46">
        <f>K164*100/D164</f>
        <v>74.41942746863944</v>
      </c>
      <c r="R164" s="32">
        <f>K164*100/E164</f>
        <v>66.23819066704839</v>
      </c>
    </row>
    <row r="165" spans="1:18" ht="12.75">
      <c r="A165" s="29" t="s">
        <v>23</v>
      </c>
      <c r="B165" s="29"/>
      <c r="C165" s="36" t="s">
        <v>22</v>
      </c>
      <c r="D165" s="73">
        <v>2762</v>
      </c>
      <c r="E165" s="49">
        <f>G165+H165+I165+J165</f>
        <v>2762</v>
      </c>
      <c r="F165" s="76">
        <f>G165+H165+I165</f>
        <v>2012</v>
      </c>
      <c r="G165" s="73">
        <v>512</v>
      </c>
      <c r="H165" s="73">
        <v>800</v>
      </c>
      <c r="I165" s="24">
        <v>700</v>
      </c>
      <c r="J165" s="25">
        <v>750</v>
      </c>
      <c r="K165" s="25">
        <v>2644.3</v>
      </c>
      <c r="L165" s="28" t="e">
        <f>K165/#REF!*100</f>
        <v>#REF!</v>
      </c>
      <c r="M165" s="28">
        <f aca="true" t="shared" si="67" ref="M165:M172">K165/I165*100</f>
        <v>377.7571428571429</v>
      </c>
      <c r="N165" s="69"/>
      <c r="O165" s="69"/>
      <c r="P165" s="24">
        <f t="shared" si="63"/>
        <v>352.5733333333333</v>
      </c>
      <c r="Q165" s="24">
        <f aca="true" t="shared" si="68" ref="Q165:Q178">K165*100/D165</f>
        <v>95.73859522085445</v>
      </c>
      <c r="R165" s="25">
        <f aca="true" t="shared" si="69" ref="R165:R178">K165*100/E165</f>
        <v>95.73859522085445</v>
      </c>
    </row>
    <row r="166" spans="1:18" ht="12.75">
      <c r="A166" s="19" t="s">
        <v>70</v>
      </c>
      <c r="B166" s="19"/>
      <c r="C166" s="36" t="s">
        <v>71</v>
      </c>
      <c r="D166" s="73">
        <v>2899</v>
      </c>
      <c r="E166" s="49">
        <f>G166+H166+I166+J166</f>
        <v>2499</v>
      </c>
      <c r="F166" s="76">
        <f aca="true" t="shared" si="70" ref="F166:F174">G166+H166+I166</f>
        <v>1773.5</v>
      </c>
      <c r="G166" s="73">
        <v>724.5</v>
      </c>
      <c r="H166" s="73">
        <v>324.5</v>
      </c>
      <c r="I166" s="24">
        <v>724.5</v>
      </c>
      <c r="J166" s="25">
        <v>725.5</v>
      </c>
      <c r="K166" s="25">
        <v>1944.4</v>
      </c>
      <c r="L166" s="28"/>
      <c r="M166" s="28"/>
      <c r="N166" s="69"/>
      <c r="O166" s="69"/>
      <c r="P166" s="24"/>
      <c r="Q166" s="24">
        <f t="shared" si="68"/>
        <v>67.07140393239048</v>
      </c>
      <c r="R166" s="25">
        <f t="shared" si="69"/>
        <v>77.80712284913966</v>
      </c>
    </row>
    <row r="167" spans="1:18" ht="12.75">
      <c r="A167" s="19" t="s">
        <v>8</v>
      </c>
      <c r="B167" s="19"/>
      <c r="C167" s="36" t="s">
        <v>5</v>
      </c>
      <c r="D167" s="73">
        <v>0</v>
      </c>
      <c r="E167" s="49">
        <f>G167+H167+I167+J167</f>
        <v>38</v>
      </c>
      <c r="F167" s="76">
        <f t="shared" si="70"/>
        <v>38</v>
      </c>
      <c r="G167" s="73"/>
      <c r="H167" s="73">
        <v>38</v>
      </c>
      <c r="I167" s="24"/>
      <c r="J167" s="25"/>
      <c r="K167" s="25">
        <v>39</v>
      </c>
      <c r="L167" s="28"/>
      <c r="M167" s="28"/>
      <c r="N167" s="69"/>
      <c r="O167" s="69"/>
      <c r="P167" s="24"/>
      <c r="Q167" s="24"/>
      <c r="R167" s="25">
        <f t="shared" si="69"/>
        <v>102.63157894736842</v>
      </c>
    </row>
    <row r="168" spans="1:18" ht="12.75">
      <c r="A168" s="19" t="s">
        <v>9</v>
      </c>
      <c r="B168" s="19"/>
      <c r="C168" s="36" t="s">
        <v>6</v>
      </c>
      <c r="D168" s="73">
        <v>395</v>
      </c>
      <c r="E168" s="49">
        <f>G168+H168+I168+J168</f>
        <v>1395</v>
      </c>
      <c r="F168" s="76">
        <f t="shared" si="70"/>
        <v>1215</v>
      </c>
      <c r="G168" s="73">
        <v>45</v>
      </c>
      <c r="H168" s="73">
        <v>1100</v>
      </c>
      <c r="I168" s="24">
        <v>70</v>
      </c>
      <c r="J168" s="25">
        <v>180</v>
      </c>
      <c r="K168" s="25">
        <v>-352.5</v>
      </c>
      <c r="L168" s="28" t="e">
        <f>K168/#REF!*100</f>
        <v>#REF!</v>
      </c>
      <c r="M168" s="28">
        <f t="shared" si="67"/>
        <v>-503.57142857142856</v>
      </c>
      <c r="N168" s="69"/>
      <c r="O168" s="69"/>
      <c r="P168" s="24">
        <f t="shared" si="63"/>
        <v>-195.83333333333334</v>
      </c>
      <c r="Q168" s="24">
        <f t="shared" si="68"/>
        <v>-89.24050632911393</v>
      </c>
      <c r="R168" s="25">
        <f t="shared" si="69"/>
        <v>-25.268817204301076</v>
      </c>
    </row>
    <row r="169" spans="1:18" ht="12.75">
      <c r="A169" s="19" t="s">
        <v>10</v>
      </c>
      <c r="B169" s="19"/>
      <c r="C169" s="36" t="s">
        <v>21</v>
      </c>
      <c r="D169" s="73">
        <v>40</v>
      </c>
      <c r="E169" s="49">
        <f aca="true" t="shared" si="71" ref="E169:E174">G169+H169+I169+J169</f>
        <v>40</v>
      </c>
      <c r="F169" s="76">
        <f t="shared" si="70"/>
        <v>30</v>
      </c>
      <c r="G169" s="73">
        <v>10</v>
      </c>
      <c r="H169" s="73">
        <v>10</v>
      </c>
      <c r="I169" s="24">
        <v>10</v>
      </c>
      <c r="J169" s="25">
        <v>10</v>
      </c>
      <c r="K169" s="25">
        <v>20.8</v>
      </c>
      <c r="L169" s="28" t="e">
        <f>K169/#REF!*100</f>
        <v>#REF!</v>
      </c>
      <c r="M169" s="28">
        <f t="shared" si="67"/>
        <v>208</v>
      </c>
      <c r="N169" s="69"/>
      <c r="O169" s="69"/>
      <c r="P169" s="24">
        <f t="shared" si="63"/>
        <v>208</v>
      </c>
      <c r="Q169" s="24">
        <f t="shared" si="68"/>
        <v>52</v>
      </c>
      <c r="R169" s="25">
        <f t="shared" si="69"/>
        <v>52</v>
      </c>
    </row>
    <row r="170" spans="1:18" ht="24">
      <c r="A170" s="20" t="s">
        <v>11</v>
      </c>
      <c r="B170" s="20"/>
      <c r="C170" s="36" t="s">
        <v>17</v>
      </c>
      <c r="D170" s="73">
        <v>52</v>
      </c>
      <c r="E170" s="49">
        <f t="shared" si="71"/>
        <v>52</v>
      </c>
      <c r="F170" s="76">
        <f t="shared" si="70"/>
        <v>37</v>
      </c>
      <c r="G170" s="73">
        <v>12</v>
      </c>
      <c r="H170" s="73">
        <v>12</v>
      </c>
      <c r="I170" s="24">
        <v>13</v>
      </c>
      <c r="J170" s="25">
        <v>15</v>
      </c>
      <c r="K170" s="25">
        <v>127.2</v>
      </c>
      <c r="L170" s="28" t="e">
        <f>K170/#REF!*100</f>
        <v>#REF!</v>
      </c>
      <c r="M170" s="28">
        <f t="shared" si="67"/>
        <v>978.4615384615386</v>
      </c>
      <c r="N170" s="69"/>
      <c r="O170" s="69"/>
      <c r="P170" s="24">
        <f t="shared" si="63"/>
        <v>848</v>
      </c>
      <c r="Q170" s="24">
        <f t="shared" si="68"/>
        <v>244.6153846153846</v>
      </c>
      <c r="R170" s="25">
        <f t="shared" si="69"/>
        <v>244.6153846153846</v>
      </c>
    </row>
    <row r="171" spans="1:18" ht="24">
      <c r="A171" s="38" t="s">
        <v>42</v>
      </c>
      <c r="B171" s="38"/>
      <c r="C171" s="36" t="s">
        <v>43</v>
      </c>
      <c r="D171" s="73">
        <v>70</v>
      </c>
      <c r="E171" s="49">
        <f t="shared" si="71"/>
        <v>70</v>
      </c>
      <c r="F171" s="76">
        <f t="shared" si="70"/>
        <v>47</v>
      </c>
      <c r="G171" s="73">
        <v>20</v>
      </c>
      <c r="H171" s="73">
        <v>17</v>
      </c>
      <c r="I171" s="24">
        <v>10</v>
      </c>
      <c r="J171" s="25">
        <v>23</v>
      </c>
      <c r="K171" s="25">
        <v>73</v>
      </c>
      <c r="L171" s="28" t="e">
        <f>K171/#REF!*100</f>
        <v>#REF!</v>
      </c>
      <c r="M171" s="28">
        <f t="shared" si="67"/>
        <v>730</v>
      </c>
      <c r="N171" s="69"/>
      <c r="O171" s="69"/>
      <c r="P171" s="24">
        <f t="shared" si="63"/>
        <v>317.39130434782606</v>
      </c>
      <c r="Q171" s="24">
        <f t="shared" si="68"/>
        <v>104.28571428571429</v>
      </c>
      <c r="R171" s="25">
        <f t="shared" si="69"/>
        <v>104.28571428571429</v>
      </c>
    </row>
    <row r="172" spans="1:18" ht="12.75">
      <c r="A172" s="37" t="s">
        <v>18</v>
      </c>
      <c r="B172" s="37"/>
      <c r="C172" s="36" t="s">
        <v>15</v>
      </c>
      <c r="D172" s="73">
        <v>0</v>
      </c>
      <c r="E172" s="49">
        <f t="shared" si="71"/>
        <v>130</v>
      </c>
      <c r="F172" s="76">
        <f t="shared" si="70"/>
        <v>130</v>
      </c>
      <c r="G172" s="73">
        <v>46</v>
      </c>
      <c r="H172" s="73">
        <v>84</v>
      </c>
      <c r="I172" s="24"/>
      <c r="J172" s="25"/>
      <c r="K172" s="25">
        <v>130.8</v>
      </c>
      <c r="L172" s="28" t="e">
        <f>K172/#REF!*100</f>
        <v>#REF!</v>
      </c>
      <c r="M172" s="28" t="e">
        <f t="shared" si="67"/>
        <v>#DIV/0!</v>
      </c>
      <c r="N172" s="69"/>
      <c r="O172" s="69"/>
      <c r="P172" s="24" t="e">
        <f t="shared" si="63"/>
        <v>#DIV/0!</v>
      </c>
      <c r="Q172" s="24"/>
      <c r="R172" s="25">
        <f t="shared" si="69"/>
        <v>100.61538461538463</v>
      </c>
    </row>
    <row r="173" spans="1:18" ht="12.75" hidden="1">
      <c r="A173" s="29" t="s">
        <v>12</v>
      </c>
      <c r="B173" s="29"/>
      <c r="C173" s="36" t="s">
        <v>7</v>
      </c>
      <c r="D173" s="73"/>
      <c r="E173" s="49">
        <f t="shared" si="71"/>
        <v>0</v>
      </c>
      <c r="F173" s="76">
        <f t="shared" si="70"/>
        <v>0</v>
      </c>
      <c r="G173" s="73"/>
      <c r="H173" s="73"/>
      <c r="I173" s="24"/>
      <c r="J173" s="25"/>
      <c r="K173" s="25"/>
      <c r="L173" s="28"/>
      <c r="M173" s="28"/>
      <c r="N173" s="69"/>
      <c r="O173" s="69"/>
      <c r="P173" s="24" t="e">
        <f t="shared" si="63"/>
        <v>#DIV/0!</v>
      </c>
      <c r="Q173" s="24" t="e">
        <f t="shared" si="68"/>
        <v>#DIV/0!</v>
      </c>
      <c r="R173" s="25" t="e">
        <f t="shared" si="69"/>
        <v>#DIV/0!</v>
      </c>
    </row>
    <row r="174" spans="1:18" ht="14.25" customHeight="1">
      <c r="A174" s="52" t="s">
        <v>39</v>
      </c>
      <c r="B174" s="40"/>
      <c r="C174" s="23" t="s">
        <v>40</v>
      </c>
      <c r="D174" s="89">
        <v>0</v>
      </c>
      <c r="E174" s="49">
        <f t="shared" si="71"/>
        <v>0</v>
      </c>
      <c r="F174" s="76">
        <f t="shared" si="70"/>
        <v>0</v>
      </c>
      <c r="G174" s="73"/>
      <c r="H174" s="73"/>
      <c r="I174" s="24"/>
      <c r="J174" s="25"/>
      <c r="K174" s="25">
        <v>0.4</v>
      </c>
      <c r="L174" s="28"/>
      <c r="M174" s="28"/>
      <c r="N174" s="69"/>
      <c r="O174" s="69"/>
      <c r="P174" s="24" t="e">
        <f t="shared" si="63"/>
        <v>#DIV/0!</v>
      </c>
      <c r="Q174" s="24"/>
      <c r="R174" s="25"/>
    </row>
    <row r="175" spans="1:18" ht="12.75">
      <c r="A175" s="33" t="s">
        <v>1</v>
      </c>
      <c r="B175" s="33"/>
      <c r="C175" s="41" t="s">
        <v>0</v>
      </c>
      <c r="D175" s="42">
        <f aca="true" t="shared" si="72" ref="D175:K175">D176+D177</f>
        <v>23994.3</v>
      </c>
      <c r="E175" s="42">
        <f t="shared" si="72"/>
        <v>26760.5</v>
      </c>
      <c r="F175" s="82">
        <f t="shared" si="72"/>
        <v>18733.5</v>
      </c>
      <c r="G175" s="82">
        <f t="shared" si="72"/>
        <v>4930.6</v>
      </c>
      <c r="H175" s="82">
        <f t="shared" si="72"/>
        <v>7651.6</v>
      </c>
      <c r="I175" s="42">
        <f t="shared" si="72"/>
        <v>6151.3</v>
      </c>
      <c r="J175" s="42">
        <f t="shared" si="72"/>
        <v>5997.2</v>
      </c>
      <c r="K175" s="42">
        <f t="shared" si="72"/>
        <v>23542.1</v>
      </c>
      <c r="L175" s="35" t="e">
        <f>K175/#REF!*100</f>
        <v>#REF!</v>
      </c>
      <c r="M175" s="35">
        <f>K175/I175*100</f>
        <v>382.71747435501436</v>
      </c>
      <c r="N175" s="69"/>
      <c r="O175" s="69"/>
      <c r="P175" s="46">
        <f t="shared" si="63"/>
        <v>392.5515240445541</v>
      </c>
      <c r="Q175" s="46">
        <f t="shared" si="68"/>
        <v>98.11538573744598</v>
      </c>
      <c r="R175" s="32">
        <f t="shared" si="69"/>
        <v>87.97331888417631</v>
      </c>
    </row>
    <row r="176" spans="1:18" ht="24">
      <c r="A176" s="21" t="s">
        <v>67</v>
      </c>
      <c r="B176" s="19"/>
      <c r="C176" s="43" t="s">
        <v>20</v>
      </c>
      <c r="D176" s="49">
        <v>23994.3</v>
      </c>
      <c r="E176" s="49">
        <v>26760.5</v>
      </c>
      <c r="F176" s="76">
        <f>G176+H176+I176</f>
        <v>18733.5</v>
      </c>
      <c r="G176" s="73">
        <v>4930.6</v>
      </c>
      <c r="H176" s="73">
        <v>7651.6</v>
      </c>
      <c r="I176" s="24">
        <f>5980.2+171.1</f>
        <v>6151.3</v>
      </c>
      <c r="J176" s="25">
        <v>5997.2</v>
      </c>
      <c r="K176" s="25">
        <v>23542.1</v>
      </c>
      <c r="L176" s="28" t="e">
        <f>K176/#REF!*100</f>
        <v>#REF!</v>
      </c>
      <c r="M176" s="28">
        <f>K176/I176*100</f>
        <v>382.71747435501436</v>
      </c>
      <c r="N176" s="69"/>
      <c r="O176" s="69"/>
      <c r="P176" s="24">
        <f t="shared" si="63"/>
        <v>392.5515240445541</v>
      </c>
      <c r="Q176" s="24">
        <f t="shared" si="68"/>
        <v>98.11538573744598</v>
      </c>
      <c r="R176" s="25">
        <f t="shared" si="69"/>
        <v>87.97331888417631</v>
      </c>
    </row>
    <row r="177" spans="1:18" ht="12.75" hidden="1">
      <c r="A177" s="21" t="s">
        <v>2</v>
      </c>
      <c r="B177" s="21"/>
      <c r="C177" s="44" t="s">
        <v>19</v>
      </c>
      <c r="D177" s="44"/>
      <c r="E177" s="49">
        <f>G177+H177+I177+J177</f>
        <v>0</v>
      </c>
      <c r="F177" s="73">
        <f>G177</f>
        <v>0</v>
      </c>
      <c r="G177" s="74"/>
      <c r="H177" s="74"/>
      <c r="I177" s="24"/>
      <c r="J177" s="25"/>
      <c r="K177" s="25"/>
      <c r="L177" s="28" t="e">
        <f>K177/#REF!*100</f>
        <v>#REF!</v>
      </c>
      <c r="M177" s="28"/>
      <c r="N177" s="69"/>
      <c r="O177" s="69"/>
      <c r="P177" s="24" t="e">
        <f t="shared" si="63"/>
        <v>#DIV/0!</v>
      </c>
      <c r="Q177" s="46" t="e">
        <f t="shared" si="68"/>
        <v>#DIV/0!</v>
      </c>
      <c r="R177" s="32" t="e">
        <f t="shared" si="69"/>
        <v>#DIV/0!</v>
      </c>
    </row>
    <row r="178" spans="1:18" ht="12.75">
      <c r="A178" s="29"/>
      <c r="B178" s="30"/>
      <c r="C178" s="31" t="s">
        <v>4</v>
      </c>
      <c r="D178" s="32">
        <f aca="true" t="shared" si="73" ref="D178:K178">D175+D164</f>
        <v>30212.3</v>
      </c>
      <c r="E178" s="32">
        <f t="shared" si="73"/>
        <v>33746.5</v>
      </c>
      <c r="F178" s="32">
        <f t="shared" si="73"/>
        <v>24016</v>
      </c>
      <c r="G178" s="32">
        <f t="shared" si="73"/>
        <v>6300.1</v>
      </c>
      <c r="H178" s="32">
        <f t="shared" si="73"/>
        <v>10037.1</v>
      </c>
      <c r="I178" s="32">
        <f t="shared" si="73"/>
        <v>7678.8</v>
      </c>
      <c r="J178" s="32">
        <f t="shared" si="73"/>
        <v>7700.7</v>
      </c>
      <c r="K178" s="32">
        <f t="shared" si="73"/>
        <v>28169.5</v>
      </c>
      <c r="L178" s="35" t="e">
        <f>K178/#REF!*100</f>
        <v>#REF!</v>
      </c>
      <c r="M178" s="35">
        <f>K178/I178*100</f>
        <v>366.8476845340418</v>
      </c>
      <c r="N178" s="69"/>
      <c r="O178" s="70" t="e">
        <f>J178+#REF!+#REF!</f>
        <v>#REF!</v>
      </c>
      <c r="P178" s="46">
        <f t="shared" si="63"/>
        <v>365.80440739153585</v>
      </c>
      <c r="Q178" s="46">
        <f t="shared" si="68"/>
        <v>93.23851543907614</v>
      </c>
      <c r="R178" s="32">
        <f t="shared" si="69"/>
        <v>83.47384173173515</v>
      </c>
    </row>
    <row r="179" spans="1:18" ht="12.75">
      <c r="A179" s="101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3"/>
      <c r="N179" s="69"/>
      <c r="O179" s="69"/>
      <c r="P179" s="67"/>
      <c r="Q179" s="35"/>
      <c r="R179" s="32"/>
    </row>
    <row r="180" spans="1:18" ht="12.75">
      <c r="A180" s="104" t="s">
        <v>34</v>
      </c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35"/>
      <c r="R180" s="32"/>
    </row>
    <row r="181" spans="1:18" ht="12.75">
      <c r="A181" s="33" t="s">
        <v>3</v>
      </c>
      <c r="B181" s="33"/>
      <c r="C181" s="34" t="s">
        <v>68</v>
      </c>
      <c r="D181" s="35">
        <f aca="true" t="shared" si="74" ref="D181:K181">D182+D184+D185+D186+D187+D189+D191+D190+D188+D183</f>
        <v>21981</v>
      </c>
      <c r="E181" s="35">
        <f t="shared" si="74"/>
        <v>22398.6</v>
      </c>
      <c r="F181" s="35">
        <f t="shared" si="74"/>
        <v>15981.1</v>
      </c>
      <c r="G181" s="35">
        <f t="shared" si="74"/>
        <v>4860</v>
      </c>
      <c r="H181" s="35">
        <f t="shared" si="74"/>
        <v>5710.6</v>
      </c>
      <c r="I181" s="35">
        <f t="shared" si="74"/>
        <v>5410.5</v>
      </c>
      <c r="J181" s="35">
        <f t="shared" si="74"/>
        <v>6417.5</v>
      </c>
      <c r="K181" s="35">
        <f t="shared" si="74"/>
        <v>19131.399999999998</v>
      </c>
      <c r="L181" s="35" t="e">
        <f>K181/#REF!*100</f>
        <v>#REF!</v>
      </c>
      <c r="M181" s="35">
        <f>K181/I181*100</f>
        <v>353.59763422973845</v>
      </c>
      <c r="N181" s="69"/>
      <c r="O181" s="69"/>
      <c r="P181" s="35">
        <f t="shared" si="63"/>
        <v>298.11297234125436</v>
      </c>
      <c r="Q181" s="46">
        <f>K181*100/D181</f>
        <v>87.03607661161911</v>
      </c>
      <c r="R181" s="32">
        <f>K181*100/E181</f>
        <v>85.41337405016384</v>
      </c>
    </row>
    <row r="182" spans="1:18" ht="12.75">
      <c r="A182" s="29" t="s">
        <v>23</v>
      </c>
      <c r="B182" s="29"/>
      <c r="C182" s="36" t="s">
        <v>22</v>
      </c>
      <c r="D182" s="73">
        <v>16150</v>
      </c>
      <c r="E182" s="49">
        <f>G182+H182+I182+J182</f>
        <v>16150</v>
      </c>
      <c r="F182" s="76">
        <f>G182+H182+I182</f>
        <v>11937</v>
      </c>
      <c r="G182" s="49">
        <v>3619</v>
      </c>
      <c r="H182" s="49">
        <v>4109</v>
      </c>
      <c r="I182" s="24">
        <v>4209</v>
      </c>
      <c r="J182" s="25">
        <v>4213</v>
      </c>
      <c r="K182" s="25">
        <v>13741</v>
      </c>
      <c r="L182" s="28" t="e">
        <f>K182/#REF!*100</f>
        <v>#REF!</v>
      </c>
      <c r="M182" s="28">
        <f>K182/I182*100</f>
        <v>326.4670943216916</v>
      </c>
      <c r="N182" s="69"/>
      <c r="O182" s="69"/>
      <c r="P182" s="24">
        <f t="shared" si="63"/>
        <v>326.15713268454783</v>
      </c>
      <c r="Q182" s="24">
        <f aca="true" t="shared" si="75" ref="Q182:Q194">K182*100/D182</f>
        <v>85.08359133126935</v>
      </c>
      <c r="R182" s="25">
        <f aca="true" t="shared" si="76" ref="R182:R194">K182*100/E182</f>
        <v>85.08359133126935</v>
      </c>
    </row>
    <row r="183" spans="1:18" ht="12.75">
      <c r="A183" s="19" t="s">
        <v>70</v>
      </c>
      <c r="B183" s="19"/>
      <c r="C183" s="36" t="s">
        <v>71</v>
      </c>
      <c r="D183" s="73">
        <v>3484</v>
      </c>
      <c r="E183" s="49">
        <f>G183+H183+I183+J183</f>
        <v>3484</v>
      </c>
      <c r="F183" s="76">
        <f aca="true" t="shared" si="77" ref="F183:F191">G183+H183+I183</f>
        <v>2538</v>
      </c>
      <c r="G183" s="49">
        <v>846</v>
      </c>
      <c r="H183" s="49">
        <v>846</v>
      </c>
      <c r="I183" s="24">
        <v>846</v>
      </c>
      <c r="J183" s="25">
        <v>946</v>
      </c>
      <c r="K183" s="25">
        <v>2336.6</v>
      </c>
      <c r="L183" s="28"/>
      <c r="M183" s="28"/>
      <c r="N183" s="69"/>
      <c r="O183" s="69"/>
      <c r="P183" s="24"/>
      <c r="Q183" s="24">
        <f t="shared" si="75"/>
        <v>67.06659012629162</v>
      </c>
      <c r="R183" s="25">
        <f t="shared" si="76"/>
        <v>67.06659012629162</v>
      </c>
    </row>
    <row r="184" spans="1:18" ht="13.5" customHeight="1" hidden="1">
      <c r="A184" s="19" t="s">
        <v>8</v>
      </c>
      <c r="B184" s="19"/>
      <c r="C184" s="36" t="s">
        <v>5</v>
      </c>
      <c r="D184" s="73"/>
      <c r="E184" s="49">
        <f aca="true" t="shared" si="78" ref="E184:E191">G184+H184+I184+J184</f>
        <v>0</v>
      </c>
      <c r="F184" s="76">
        <f t="shared" si="77"/>
        <v>0</v>
      </c>
      <c r="G184" s="49"/>
      <c r="H184" s="49"/>
      <c r="I184" s="24"/>
      <c r="J184" s="25"/>
      <c r="K184" s="25"/>
      <c r="L184" s="28"/>
      <c r="M184" s="28"/>
      <c r="N184" s="69"/>
      <c r="O184" s="69"/>
      <c r="P184" s="24" t="e">
        <f t="shared" si="63"/>
        <v>#DIV/0!</v>
      </c>
      <c r="Q184" s="24" t="e">
        <f t="shared" si="75"/>
        <v>#DIV/0!</v>
      </c>
      <c r="R184" s="25" t="e">
        <f t="shared" si="76"/>
        <v>#DIV/0!</v>
      </c>
    </row>
    <row r="185" spans="1:18" ht="12.75">
      <c r="A185" s="19" t="s">
        <v>9</v>
      </c>
      <c r="B185" s="19"/>
      <c r="C185" s="36" t="s">
        <v>6</v>
      </c>
      <c r="D185" s="73">
        <v>1780</v>
      </c>
      <c r="E185" s="49">
        <f t="shared" si="78"/>
        <v>1780</v>
      </c>
      <c r="F185" s="76">
        <f t="shared" si="77"/>
        <v>720</v>
      </c>
      <c r="G185" s="49">
        <v>240</v>
      </c>
      <c r="H185" s="49">
        <v>240</v>
      </c>
      <c r="I185" s="24">
        <v>240</v>
      </c>
      <c r="J185" s="25">
        <v>1060</v>
      </c>
      <c r="K185" s="25">
        <v>1650.9</v>
      </c>
      <c r="L185" s="28" t="e">
        <f>K185/#REF!*100</f>
        <v>#REF!</v>
      </c>
      <c r="M185" s="28">
        <f aca="true" t="shared" si="79" ref="M185:M191">K185/I185*100</f>
        <v>687.875</v>
      </c>
      <c r="N185" s="69"/>
      <c r="O185" s="69"/>
      <c r="P185" s="24">
        <f t="shared" si="63"/>
        <v>155.74528301886792</v>
      </c>
      <c r="Q185" s="24">
        <f t="shared" si="75"/>
        <v>92.74719101123596</v>
      </c>
      <c r="R185" s="25">
        <f t="shared" si="76"/>
        <v>92.74719101123596</v>
      </c>
    </row>
    <row r="186" spans="1:18" ht="12.75">
      <c r="A186" s="19" t="s">
        <v>10</v>
      </c>
      <c r="B186" s="19"/>
      <c r="C186" s="36" t="s">
        <v>21</v>
      </c>
      <c r="D186" s="73">
        <v>116</v>
      </c>
      <c r="E186" s="49">
        <f t="shared" si="78"/>
        <v>133.6</v>
      </c>
      <c r="F186" s="76">
        <f t="shared" si="77"/>
        <v>98.6</v>
      </c>
      <c r="G186" s="49">
        <f>27+16</f>
        <v>43</v>
      </c>
      <c r="H186" s="49">
        <v>28.6</v>
      </c>
      <c r="I186" s="24">
        <v>27</v>
      </c>
      <c r="J186" s="25">
        <v>35</v>
      </c>
      <c r="K186" s="25">
        <v>130.7</v>
      </c>
      <c r="L186" s="28" t="e">
        <f>K186/#REF!*100</f>
        <v>#REF!</v>
      </c>
      <c r="M186" s="28">
        <f t="shared" si="79"/>
        <v>484.074074074074</v>
      </c>
      <c r="N186" s="69"/>
      <c r="O186" s="69"/>
      <c r="P186" s="24">
        <f t="shared" si="63"/>
        <v>373.4285714285714</v>
      </c>
      <c r="Q186" s="24">
        <f t="shared" si="75"/>
        <v>112.67241379310343</v>
      </c>
      <c r="R186" s="25">
        <f t="shared" si="76"/>
        <v>97.82934131736526</v>
      </c>
    </row>
    <row r="187" spans="1:18" ht="24">
      <c r="A187" s="20" t="s">
        <v>11</v>
      </c>
      <c r="B187" s="20"/>
      <c r="C187" s="36" t="s">
        <v>17</v>
      </c>
      <c r="D187" s="73">
        <v>341</v>
      </c>
      <c r="E187" s="49">
        <f t="shared" si="78"/>
        <v>341</v>
      </c>
      <c r="F187" s="76">
        <f t="shared" si="77"/>
        <v>227.5</v>
      </c>
      <c r="G187" s="49">
        <v>82</v>
      </c>
      <c r="H187" s="49">
        <v>67</v>
      </c>
      <c r="I187" s="24">
        <v>78.5</v>
      </c>
      <c r="J187" s="25">
        <v>113.5</v>
      </c>
      <c r="K187" s="25">
        <v>200.1</v>
      </c>
      <c r="L187" s="28" t="e">
        <f>K187/#REF!*100</f>
        <v>#REF!</v>
      </c>
      <c r="M187" s="28">
        <f t="shared" si="79"/>
        <v>254.90445859872614</v>
      </c>
      <c r="N187" s="69"/>
      <c r="O187" s="69"/>
      <c r="P187" s="24">
        <f t="shared" si="63"/>
        <v>176.29955947136563</v>
      </c>
      <c r="Q187" s="24">
        <f t="shared" si="75"/>
        <v>58.68035190615836</v>
      </c>
      <c r="R187" s="25">
        <f t="shared" si="76"/>
        <v>58.68035190615836</v>
      </c>
    </row>
    <row r="188" spans="1:18" ht="24.75" customHeight="1">
      <c r="A188" s="37" t="s">
        <v>42</v>
      </c>
      <c r="B188" s="38"/>
      <c r="C188" s="36" t="s">
        <v>43</v>
      </c>
      <c r="D188" s="73">
        <v>110</v>
      </c>
      <c r="E188" s="49">
        <f t="shared" si="78"/>
        <v>110</v>
      </c>
      <c r="F188" s="76">
        <f t="shared" si="77"/>
        <v>60</v>
      </c>
      <c r="G188" s="49">
        <v>30</v>
      </c>
      <c r="H188" s="49">
        <v>20</v>
      </c>
      <c r="I188" s="24">
        <v>10</v>
      </c>
      <c r="J188" s="25">
        <v>50</v>
      </c>
      <c r="K188" s="25">
        <v>89.7</v>
      </c>
      <c r="L188" s="28" t="e">
        <f>K188/#REF!*100</f>
        <v>#REF!</v>
      </c>
      <c r="M188" s="28">
        <f t="shared" si="79"/>
        <v>897.0000000000001</v>
      </c>
      <c r="N188" s="69"/>
      <c r="O188" s="69"/>
      <c r="P188" s="24">
        <f t="shared" si="63"/>
        <v>179.4</v>
      </c>
      <c r="Q188" s="24">
        <f t="shared" si="75"/>
        <v>81.54545454545455</v>
      </c>
      <c r="R188" s="25">
        <f t="shared" si="76"/>
        <v>81.54545454545455</v>
      </c>
    </row>
    <row r="189" spans="1:18" ht="18" customHeight="1">
      <c r="A189" s="37" t="s">
        <v>18</v>
      </c>
      <c r="B189" s="38"/>
      <c r="C189" s="36" t="s">
        <v>15</v>
      </c>
      <c r="D189" s="73">
        <v>0</v>
      </c>
      <c r="E189" s="49">
        <f t="shared" si="78"/>
        <v>0</v>
      </c>
      <c r="F189" s="76">
        <f t="shared" si="77"/>
        <v>0</v>
      </c>
      <c r="G189" s="49"/>
      <c r="H189" s="49"/>
      <c r="I189" s="24"/>
      <c r="J189" s="25"/>
      <c r="K189" s="25">
        <v>515.5</v>
      </c>
      <c r="L189" s="28" t="e">
        <f>K189/#REF!*100</f>
        <v>#REF!</v>
      </c>
      <c r="M189" s="28" t="e">
        <f t="shared" si="79"/>
        <v>#DIV/0!</v>
      </c>
      <c r="N189" s="69"/>
      <c r="O189" s="69"/>
      <c r="P189" s="24" t="e">
        <f t="shared" si="63"/>
        <v>#DIV/0!</v>
      </c>
      <c r="Q189" s="24"/>
      <c r="R189" s="25"/>
    </row>
    <row r="190" spans="1:18" ht="16.5" customHeight="1">
      <c r="A190" s="29" t="s">
        <v>12</v>
      </c>
      <c r="B190" s="29"/>
      <c r="C190" s="36" t="s">
        <v>7</v>
      </c>
      <c r="D190" s="73">
        <v>0</v>
      </c>
      <c r="E190" s="49">
        <f t="shared" si="78"/>
        <v>400</v>
      </c>
      <c r="F190" s="76">
        <f t="shared" si="77"/>
        <v>400</v>
      </c>
      <c r="G190" s="49"/>
      <c r="H190" s="49">
        <v>400</v>
      </c>
      <c r="I190" s="24"/>
      <c r="J190" s="25"/>
      <c r="K190" s="25">
        <v>463.6</v>
      </c>
      <c r="L190" s="28" t="e">
        <f>K190/#REF!*100</f>
        <v>#REF!</v>
      </c>
      <c r="M190" s="28" t="e">
        <f t="shared" si="79"/>
        <v>#DIV/0!</v>
      </c>
      <c r="N190" s="69"/>
      <c r="O190" s="69"/>
      <c r="P190" s="24" t="e">
        <f t="shared" si="63"/>
        <v>#DIV/0!</v>
      </c>
      <c r="Q190" s="24"/>
      <c r="R190" s="25">
        <f t="shared" si="76"/>
        <v>115.9</v>
      </c>
    </row>
    <row r="191" spans="1:18" ht="15" customHeight="1">
      <c r="A191" s="52" t="s">
        <v>39</v>
      </c>
      <c r="B191" s="40"/>
      <c r="C191" s="23" t="s">
        <v>40</v>
      </c>
      <c r="D191" s="89">
        <v>0</v>
      </c>
      <c r="E191" s="49">
        <f t="shared" si="78"/>
        <v>0</v>
      </c>
      <c r="F191" s="76">
        <f t="shared" si="77"/>
        <v>0</v>
      </c>
      <c r="G191" s="81"/>
      <c r="H191" s="81"/>
      <c r="I191" s="24"/>
      <c r="J191" s="25"/>
      <c r="K191" s="25">
        <v>3.3</v>
      </c>
      <c r="L191" s="28" t="e">
        <f>K191/#REF!*100</f>
        <v>#REF!</v>
      </c>
      <c r="M191" s="28" t="e">
        <f t="shared" si="79"/>
        <v>#DIV/0!</v>
      </c>
      <c r="N191" s="69"/>
      <c r="O191" s="69"/>
      <c r="P191" s="24" t="e">
        <f t="shared" si="63"/>
        <v>#DIV/0!</v>
      </c>
      <c r="Q191" s="24"/>
      <c r="R191" s="25"/>
    </row>
    <row r="192" spans="1:18" ht="12.75">
      <c r="A192" s="45" t="s">
        <v>1</v>
      </c>
      <c r="B192" s="33"/>
      <c r="C192" s="41" t="s">
        <v>0</v>
      </c>
      <c r="D192" s="46">
        <f aca="true" t="shared" si="80" ref="D192:K192">D193</f>
        <v>29025.6</v>
      </c>
      <c r="E192" s="46">
        <f t="shared" si="80"/>
        <v>41293.3</v>
      </c>
      <c r="F192" s="46">
        <f t="shared" si="80"/>
        <v>15053.8</v>
      </c>
      <c r="G192" s="46">
        <f t="shared" si="80"/>
        <v>6861.8</v>
      </c>
      <c r="H192" s="46">
        <f t="shared" si="80"/>
        <v>8192</v>
      </c>
      <c r="I192" s="46">
        <f t="shared" si="80"/>
        <v>9377.6</v>
      </c>
      <c r="J192" s="46">
        <f t="shared" si="80"/>
        <v>6114.8</v>
      </c>
      <c r="K192" s="46">
        <f t="shared" si="80"/>
        <v>27364</v>
      </c>
      <c r="L192" s="35" t="e">
        <f>K192/#REF!*100</f>
        <v>#REF!</v>
      </c>
      <c r="M192" s="35">
        <f>K192/I192*100</f>
        <v>291.80174031735197</v>
      </c>
      <c r="N192" s="69"/>
      <c r="O192" s="69"/>
      <c r="P192" s="46">
        <f t="shared" si="63"/>
        <v>447.5044155164519</v>
      </c>
      <c r="Q192" s="46">
        <f t="shared" si="75"/>
        <v>94.27539826911416</v>
      </c>
      <c r="R192" s="32">
        <f t="shared" si="76"/>
        <v>66.26740899855425</v>
      </c>
    </row>
    <row r="193" spans="1:18" ht="24">
      <c r="A193" s="84" t="s">
        <v>67</v>
      </c>
      <c r="B193" s="19"/>
      <c r="C193" s="43" t="s">
        <v>20</v>
      </c>
      <c r="D193" s="49">
        <v>29025.6</v>
      </c>
      <c r="E193" s="49">
        <v>41293.3</v>
      </c>
      <c r="F193" s="76">
        <f>G193+H193</f>
        <v>15053.8</v>
      </c>
      <c r="G193" s="49">
        <v>6861.8</v>
      </c>
      <c r="H193" s="49">
        <v>8192</v>
      </c>
      <c r="I193" s="24">
        <v>9377.6</v>
      </c>
      <c r="J193" s="25">
        <v>6114.8</v>
      </c>
      <c r="K193" s="25">
        <v>27364</v>
      </c>
      <c r="L193" s="28" t="e">
        <f>K193/#REF!*100</f>
        <v>#REF!</v>
      </c>
      <c r="M193" s="28">
        <f>K193/I193*100</f>
        <v>291.80174031735197</v>
      </c>
      <c r="N193" s="69"/>
      <c r="O193" s="69"/>
      <c r="P193" s="24">
        <f t="shared" si="63"/>
        <v>447.5044155164519</v>
      </c>
      <c r="Q193" s="24">
        <f t="shared" si="75"/>
        <v>94.27539826911416</v>
      </c>
      <c r="R193" s="25">
        <f t="shared" si="76"/>
        <v>66.26740899855425</v>
      </c>
    </row>
    <row r="194" spans="1:18" ht="12.75">
      <c r="A194" s="29"/>
      <c r="B194" s="30"/>
      <c r="C194" s="31" t="s">
        <v>4</v>
      </c>
      <c r="D194" s="32">
        <f aca="true" t="shared" si="81" ref="D194:K194">D192+D181</f>
        <v>51006.6</v>
      </c>
      <c r="E194" s="32">
        <f t="shared" si="81"/>
        <v>63691.9</v>
      </c>
      <c r="F194" s="32">
        <f t="shared" si="81"/>
        <v>31034.9</v>
      </c>
      <c r="G194" s="32">
        <f t="shared" si="81"/>
        <v>11721.8</v>
      </c>
      <c r="H194" s="32">
        <f t="shared" si="81"/>
        <v>13902.6</v>
      </c>
      <c r="I194" s="32">
        <f t="shared" si="81"/>
        <v>14788.1</v>
      </c>
      <c r="J194" s="32">
        <f t="shared" si="81"/>
        <v>12532.3</v>
      </c>
      <c r="K194" s="32">
        <f t="shared" si="81"/>
        <v>46495.399999999994</v>
      </c>
      <c r="L194" s="35" t="e">
        <f>K194/#REF!*100</f>
        <v>#REF!</v>
      </c>
      <c r="M194" s="35">
        <f>K194/I194*100</f>
        <v>314.4109114761193</v>
      </c>
      <c r="N194" s="69"/>
      <c r="O194" s="70" t="e">
        <f>J194+#REF!+#REF!</f>
        <v>#REF!</v>
      </c>
      <c r="P194" s="46">
        <f t="shared" si="63"/>
        <v>371.004524309185</v>
      </c>
      <c r="Q194" s="46">
        <f t="shared" si="75"/>
        <v>91.15565436629768</v>
      </c>
      <c r="R194" s="32">
        <f t="shared" si="76"/>
        <v>73.00049142826637</v>
      </c>
    </row>
    <row r="195" spans="1:18" ht="12.75">
      <c r="A195" s="101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3"/>
      <c r="N195" s="69"/>
      <c r="O195" s="69"/>
      <c r="P195" s="67"/>
      <c r="Q195" s="35"/>
      <c r="R195" s="32"/>
    </row>
    <row r="196" spans="1:18" ht="12.75">
      <c r="A196" s="104" t="s">
        <v>35</v>
      </c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35"/>
      <c r="R196" s="32"/>
    </row>
    <row r="197" spans="1:18" ht="12.75">
      <c r="A197" s="33" t="s">
        <v>3</v>
      </c>
      <c r="B197" s="33"/>
      <c r="C197" s="34" t="s">
        <v>68</v>
      </c>
      <c r="D197" s="35">
        <f>D198+D201+D203+D204+D202+D205+D206+D200+D199</f>
        <v>5234.5</v>
      </c>
      <c r="E197" s="35">
        <f>E198+E201+E203+E204+E202+E205+E206+E200+E199</f>
        <v>4634.5</v>
      </c>
      <c r="F197" s="35">
        <f>F198+F201+F203+F204+F202+F205+F206+F200+F199</f>
        <v>3311.1000000000004</v>
      </c>
      <c r="G197" s="35">
        <f aca="true" t="shared" si="82" ref="G197:P197">G198+G201+G203+G204+G202+G205+G206+G200+G199</f>
        <v>702.4000000000001</v>
      </c>
      <c r="H197" s="35">
        <f t="shared" si="82"/>
        <v>1339.6</v>
      </c>
      <c r="I197" s="35">
        <f t="shared" si="82"/>
        <v>1269.1</v>
      </c>
      <c r="J197" s="35">
        <f t="shared" si="82"/>
        <v>1923.4</v>
      </c>
      <c r="K197" s="35">
        <f t="shared" si="82"/>
        <v>3733.8999999999996</v>
      </c>
      <c r="L197" s="35" t="e">
        <f t="shared" si="82"/>
        <v>#REF!</v>
      </c>
      <c r="M197" s="35" t="e">
        <f t="shared" si="82"/>
        <v>#DIV/0!</v>
      </c>
      <c r="N197" s="35">
        <f t="shared" si="82"/>
        <v>0</v>
      </c>
      <c r="O197" s="35">
        <f t="shared" si="82"/>
        <v>0</v>
      </c>
      <c r="P197" s="35" t="e">
        <f t="shared" si="82"/>
        <v>#DIV/0!</v>
      </c>
      <c r="Q197" s="46">
        <f>K197*100/D197</f>
        <v>71.33250549240614</v>
      </c>
      <c r="R197" s="32">
        <f>K197*100/E197</f>
        <v>80.56748300787571</v>
      </c>
    </row>
    <row r="198" spans="1:18" ht="12.75">
      <c r="A198" s="29" t="s">
        <v>23</v>
      </c>
      <c r="B198" s="29"/>
      <c r="C198" s="36" t="s">
        <v>22</v>
      </c>
      <c r="D198" s="73">
        <v>1155</v>
      </c>
      <c r="E198" s="49">
        <v>1155</v>
      </c>
      <c r="F198" s="76">
        <f aca="true" t="shared" si="83" ref="F198:F203">G198+H198+I198</f>
        <v>790</v>
      </c>
      <c r="G198" s="49">
        <v>190</v>
      </c>
      <c r="H198" s="49">
        <v>330</v>
      </c>
      <c r="I198" s="24">
        <v>270</v>
      </c>
      <c r="J198" s="24">
        <v>365</v>
      </c>
      <c r="K198" s="25">
        <v>835.9</v>
      </c>
      <c r="L198" s="28" t="e">
        <f>K198/#REF!*100</f>
        <v>#REF!</v>
      </c>
      <c r="M198" s="28">
        <f aca="true" t="shared" si="84" ref="M198:M204">K198/I198*100</f>
        <v>309.5925925925926</v>
      </c>
      <c r="N198" s="69"/>
      <c r="O198" s="69"/>
      <c r="P198" s="24">
        <f t="shared" si="63"/>
        <v>229.013698630137</v>
      </c>
      <c r="Q198" s="24">
        <f aca="true" t="shared" si="85" ref="Q198:Q209">K198*100/D198</f>
        <v>72.37229437229438</v>
      </c>
      <c r="R198" s="25">
        <f aca="true" t="shared" si="86" ref="R198:R209">K198*100/E198</f>
        <v>72.37229437229438</v>
      </c>
    </row>
    <row r="199" spans="1:18" ht="12.75">
      <c r="A199" s="19" t="s">
        <v>70</v>
      </c>
      <c r="B199" s="19"/>
      <c r="C199" s="36" t="s">
        <v>71</v>
      </c>
      <c r="D199" s="73">
        <v>3813</v>
      </c>
      <c r="E199" s="49">
        <v>3213</v>
      </c>
      <c r="F199" s="76">
        <f t="shared" si="83"/>
        <v>2384.8</v>
      </c>
      <c r="G199" s="49">
        <v>478.3</v>
      </c>
      <c r="H199" s="49">
        <v>953.2</v>
      </c>
      <c r="I199" s="24">
        <v>953.3</v>
      </c>
      <c r="J199" s="24">
        <v>1428.2</v>
      </c>
      <c r="K199" s="25">
        <v>2557.2</v>
      </c>
      <c r="L199" s="28"/>
      <c r="M199" s="28"/>
      <c r="N199" s="69"/>
      <c r="O199" s="69"/>
      <c r="P199" s="24"/>
      <c r="Q199" s="24">
        <f t="shared" si="85"/>
        <v>67.06530291109362</v>
      </c>
      <c r="R199" s="25">
        <f t="shared" si="86"/>
        <v>79.5891690009337</v>
      </c>
    </row>
    <row r="200" spans="1:18" ht="12.75">
      <c r="A200" s="19" t="s">
        <v>8</v>
      </c>
      <c r="B200" s="58" t="s">
        <v>55</v>
      </c>
      <c r="C200" s="36" t="s">
        <v>5</v>
      </c>
      <c r="D200" s="73">
        <v>4.5</v>
      </c>
      <c r="E200" s="49">
        <f aca="true" t="shared" si="87" ref="E200:E206">G200+H200+I200+J200</f>
        <v>15.8</v>
      </c>
      <c r="F200" s="76">
        <f t="shared" si="83"/>
        <v>15.8</v>
      </c>
      <c r="G200" s="49">
        <v>11.3</v>
      </c>
      <c r="H200" s="49">
        <v>4.5</v>
      </c>
      <c r="I200" s="24"/>
      <c r="J200" s="24"/>
      <c r="K200" s="25">
        <v>15.8</v>
      </c>
      <c r="L200" s="28" t="e">
        <f>K200/#REF!*100</f>
        <v>#REF!</v>
      </c>
      <c r="M200" s="28"/>
      <c r="N200" s="69"/>
      <c r="O200" s="69"/>
      <c r="P200" s="24" t="e">
        <f t="shared" si="63"/>
        <v>#DIV/0!</v>
      </c>
      <c r="Q200" s="24">
        <f t="shared" si="85"/>
        <v>351.1111111111111</v>
      </c>
      <c r="R200" s="25">
        <f t="shared" si="86"/>
        <v>100</v>
      </c>
    </row>
    <row r="201" spans="1:18" ht="12.75">
      <c r="A201" s="19" t="s">
        <v>9</v>
      </c>
      <c r="B201" s="19"/>
      <c r="C201" s="36" t="s">
        <v>6</v>
      </c>
      <c r="D201" s="73">
        <v>162</v>
      </c>
      <c r="E201" s="49">
        <f t="shared" si="87"/>
        <v>162</v>
      </c>
      <c r="F201" s="76">
        <f t="shared" si="83"/>
        <v>63</v>
      </c>
      <c r="G201" s="49">
        <v>5</v>
      </c>
      <c r="H201" s="49">
        <v>30</v>
      </c>
      <c r="I201" s="24">
        <v>28</v>
      </c>
      <c r="J201" s="24">
        <v>99</v>
      </c>
      <c r="K201" s="25">
        <v>243.7</v>
      </c>
      <c r="L201" s="28" t="e">
        <f>K201/#REF!*100</f>
        <v>#REF!</v>
      </c>
      <c r="M201" s="28">
        <f t="shared" si="84"/>
        <v>870.3571428571428</v>
      </c>
      <c r="N201" s="69"/>
      <c r="O201" s="69"/>
      <c r="P201" s="24">
        <f t="shared" si="63"/>
        <v>246.16161616161617</v>
      </c>
      <c r="Q201" s="24">
        <f t="shared" si="85"/>
        <v>150.4320987654321</v>
      </c>
      <c r="R201" s="25">
        <f t="shared" si="86"/>
        <v>150.4320987654321</v>
      </c>
    </row>
    <row r="202" spans="1:18" ht="12.75">
      <c r="A202" s="19" t="s">
        <v>10</v>
      </c>
      <c r="B202" s="19"/>
      <c r="C202" s="36" t="s">
        <v>21</v>
      </c>
      <c r="D202" s="73">
        <v>35</v>
      </c>
      <c r="E202" s="49">
        <f t="shared" si="87"/>
        <v>23.699999999999996</v>
      </c>
      <c r="F202" s="76">
        <f t="shared" si="83"/>
        <v>17.299999999999997</v>
      </c>
      <c r="G202" s="49">
        <v>2</v>
      </c>
      <c r="H202" s="49">
        <v>9.7</v>
      </c>
      <c r="I202" s="24">
        <v>5.6</v>
      </c>
      <c r="J202" s="24">
        <v>6.4</v>
      </c>
      <c r="K202" s="25">
        <v>15.9</v>
      </c>
      <c r="L202" s="28" t="e">
        <f>K202/#REF!*100</f>
        <v>#REF!</v>
      </c>
      <c r="M202" s="28">
        <f t="shared" si="84"/>
        <v>283.92857142857144</v>
      </c>
      <c r="N202" s="69"/>
      <c r="O202" s="69"/>
      <c r="P202" s="24">
        <f t="shared" si="63"/>
        <v>248.4375</v>
      </c>
      <c r="Q202" s="24">
        <f t="shared" si="85"/>
        <v>45.42857142857143</v>
      </c>
      <c r="R202" s="25">
        <f t="shared" si="86"/>
        <v>67.08860759493672</v>
      </c>
    </row>
    <row r="203" spans="1:18" ht="24">
      <c r="A203" s="20" t="s">
        <v>11</v>
      </c>
      <c r="B203" s="20"/>
      <c r="C203" s="36" t="s">
        <v>17</v>
      </c>
      <c r="D203" s="73">
        <v>65</v>
      </c>
      <c r="E203" s="49">
        <f t="shared" si="87"/>
        <v>65</v>
      </c>
      <c r="F203" s="76">
        <f t="shared" si="83"/>
        <v>40.2</v>
      </c>
      <c r="G203" s="49">
        <v>15.8</v>
      </c>
      <c r="H203" s="49">
        <v>12.2</v>
      </c>
      <c r="I203" s="24">
        <v>12.2</v>
      </c>
      <c r="J203" s="24">
        <v>24.8</v>
      </c>
      <c r="K203" s="25">
        <v>39.8</v>
      </c>
      <c r="L203" s="28" t="e">
        <f>K203/#REF!*100</f>
        <v>#REF!</v>
      </c>
      <c r="M203" s="28">
        <f t="shared" si="84"/>
        <v>326.22950819672127</v>
      </c>
      <c r="N203" s="69"/>
      <c r="O203" s="69"/>
      <c r="P203" s="24">
        <f t="shared" si="63"/>
        <v>160.48387096774192</v>
      </c>
      <c r="Q203" s="24">
        <f t="shared" si="85"/>
        <v>61.230769230769226</v>
      </c>
      <c r="R203" s="25">
        <f t="shared" si="86"/>
        <v>61.230769230769226</v>
      </c>
    </row>
    <row r="204" spans="1:18" ht="12.75" hidden="1">
      <c r="A204" s="37" t="s">
        <v>18</v>
      </c>
      <c r="B204" s="37"/>
      <c r="C204" s="36" t="s">
        <v>15</v>
      </c>
      <c r="D204" s="73"/>
      <c r="E204" s="49">
        <f t="shared" si="87"/>
        <v>0</v>
      </c>
      <c r="F204" s="76">
        <f>G204+H204</f>
        <v>0</v>
      </c>
      <c r="G204" s="49"/>
      <c r="H204" s="49"/>
      <c r="I204" s="24"/>
      <c r="J204" s="24"/>
      <c r="K204" s="25"/>
      <c r="L204" s="28" t="e">
        <f>K204/#REF!*100</f>
        <v>#REF!</v>
      </c>
      <c r="M204" s="28" t="e">
        <f t="shared" si="84"/>
        <v>#DIV/0!</v>
      </c>
      <c r="N204" s="69"/>
      <c r="O204" s="69"/>
      <c r="P204" s="24" t="e">
        <f t="shared" si="63"/>
        <v>#DIV/0!</v>
      </c>
      <c r="Q204" s="24" t="e">
        <f t="shared" si="85"/>
        <v>#DIV/0!</v>
      </c>
      <c r="R204" s="25" t="e">
        <f t="shared" si="86"/>
        <v>#DIV/0!</v>
      </c>
    </row>
    <row r="205" spans="1:18" ht="16.5" customHeight="1">
      <c r="A205" s="37" t="s">
        <v>12</v>
      </c>
      <c r="B205" s="57"/>
      <c r="C205" s="36" t="s">
        <v>7</v>
      </c>
      <c r="D205" s="73"/>
      <c r="E205" s="49">
        <f t="shared" si="87"/>
        <v>0</v>
      </c>
      <c r="F205" s="76">
        <f>G205+H205</f>
        <v>0</v>
      </c>
      <c r="G205" s="49"/>
      <c r="H205" s="49"/>
      <c r="I205" s="24"/>
      <c r="J205" s="24"/>
      <c r="K205" s="25">
        <v>25.6</v>
      </c>
      <c r="L205" s="28" t="e">
        <f>K205/#REF!*100</f>
        <v>#REF!</v>
      </c>
      <c r="M205" s="28"/>
      <c r="N205" s="69"/>
      <c r="O205" s="69"/>
      <c r="P205" s="24" t="e">
        <f t="shared" si="63"/>
        <v>#DIV/0!</v>
      </c>
      <c r="Q205" s="24"/>
      <c r="R205" s="25"/>
    </row>
    <row r="206" spans="1:18" ht="13.5" customHeight="1">
      <c r="A206" s="52" t="s">
        <v>39</v>
      </c>
      <c r="B206" s="40"/>
      <c r="C206" s="23" t="s">
        <v>40</v>
      </c>
      <c r="D206" s="89">
        <v>0</v>
      </c>
      <c r="E206" s="49">
        <f t="shared" si="87"/>
        <v>0</v>
      </c>
      <c r="F206" s="76">
        <f>G206+H206</f>
        <v>0</v>
      </c>
      <c r="G206" s="49"/>
      <c r="H206" s="49"/>
      <c r="I206" s="24"/>
      <c r="J206" s="24"/>
      <c r="K206" s="25"/>
      <c r="L206" s="28" t="e">
        <f>K206/#REF!*100</f>
        <v>#REF!</v>
      </c>
      <c r="M206" s="28"/>
      <c r="N206" s="69"/>
      <c r="O206" s="69"/>
      <c r="P206" s="24"/>
      <c r="Q206" s="24"/>
      <c r="R206" s="25"/>
    </row>
    <row r="207" spans="1:18" ht="12.75">
      <c r="A207" s="33" t="s">
        <v>1</v>
      </c>
      <c r="B207" s="33"/>
      <c r="C207" s="41" t="s">
        <v>0</v>
      </c>
      <c r="D207" s="42">
        <f aca="true" t="shared" si="88" ref="D207:K207">D208</f>
        <v>19499.2</v>
      </c>
      <c r="E207" s="42">
        <f t="shared" si="88"/>
        <v>22684.9</v>
      </c>
      <c r="F207" s="42">
        <f t="shared" si="88"/>
        <v>15968.1</v>
      </c>
      <c r="G207" s="42">
        <f t="shared" si="88"/>
        <v>4409.9</v>
      </c>
      <c r="H207" s="42">
        <f t="shared" si="88"/>
        <v>6384.8</v>
      </c>
      <c r="I207" s="42">
        <f t="shared" si="88"/>
        <v>5173.4</v>
      </c>
      <c r="J207" s="42">
        <f t="shared" si="88"/>
        <v>4498.7</v>
      </c>
      <c r="K207" s="42">
        <f t="shared" si="88"/>
        <v>18389.4</v>
      </c>
      <c r="L207" s="35" t="e">
        <f>K207/#REF!*100</f>
        <v>#REF!</v>
      </c>
      <c r="M207" s="35">
        <f>K207/I207*100</f>
        <v>355.46062550740334</v>
      </c>
      <c r="N207" s="69"/>
      <c r="O207" s="69"/>
      <c r="P207" s="46">
        <f t="shared" si="63"/>
        <v>408.77142285549166</v>
      </c>
      <c r="Q207" s="46">
        <f t="shared" si="85"/>
        <v>94.30848445064414</v>
      </c>
      <c r="R207" s="32">
        <f t="shared" si="86"/>
        <v>81.0644966475497</v>
      </c>
    </row>
    <row r="208" spans="1:18" ht="24">
      <c r="A208" s="21" t="s">
        <v>67</v>
      </c>
      <c r="B208" s="19"/>
      <c r="C208" s="43" t="s">
        <v>20</v>
      </c>
      <c r="D208" s="49">
        <v>19499.2</v>
      </c>
      <c r="E208" s="49">
        <v>22684.9</v>
      </c>
      <c r="F208" s="76">
        <f>G208+H208+I208</f>
        <v>15968.1</v>
      </c>
      <c r="G208" s="49">
        <f>4271.5+138.4</f>
        <v>4409.9</v>
      </c>
      <c r="H208" s="49">
        <f>6326+58.8</f>
        <v>6384.8</v>
      </c>
      <c r="I208" s="24">
        <v>5173.4</v>
      </c>
      <c r="J208" s="24">
        <v>4498.7</v>
      </c>
      <c r="K208" s="25">
        <v>18389.4</v>
      </c>
      <c r="L208" s="28" t="e">
        <f>K208/#REF!*100</f>
        <v>#REF!</v>
      </c>
      <c r="M208" s="28">
        <f>K208/I208*100</f>
        <v>355.46062550740334</v>
      </c>
      <c r="N208" s="69"/>
      <c r="O208" s="69"/>
      <c r="P208" s="24">
        <f t="shared" si="63"/>
        <v>408.77142285549166</v>
      </c>
      <c r="Q208" s="24">
        <f t="shared" si="85"/>
        <v>94.30848445064414</v>
      </c>
      <c r="R208" s="25">
        <f t="shared" si="86"/>
        <v>81.0644966475497</v>
      </c>
    </row>
    <row r="209" spans="1:18" ht="12.75">
      <c r="A209" s="29"/>
      <c r="B209" s="30"/>
      <c r="C209" s="31" t="s">
        <v>4</v>
      </c>
      <c r="D209" s="32">
        <f aca="true" t="shared" si="89" ref="D209:K209">D207+D197</f>
        <v>24733.7</v>
      </c>
      <c r="E209" s="32">
        <f t="shared" si="89"/>
        <v>27319.4</v>
      </c>
      <c r="F209" s="32">
        <f t="shared" si="89"/>
        <v>19279.2</v>
      </c>
      <c r="G209" s="46">
        <f t="shared" si="89"/>
        <v>5112.299999999999</v>
      </c>
      <c r="H209" s="46">
        <f t="shared" si="89"/>
        <v>7724.4</v>
      </c>
      <c r="I209" s="46">
        <f t="shared" si="89"/>
        <v>6442.5</v>
      </c>
      <c r="J209" s="46">
        <f t="shared" si="89"/>
        <v>6422.1</v>
      </c>
      <c r="K209" s="32">
        <f t="shared" si="89"/>
        <v>22123.300000000003</v>
      </c>
      <c r="L209" s="35" t="e">
        <f>K209/#REF!*100</f>
        <v>#REF!</v>
      </c>
      <c r="M209" s="35">
        <f>K209/I209*100</f>
        <v>343.396197128444</v>
      </c>
      <c r="N209" s="69"/>
      <c r="O209" s="70" t="e">
        <f>J209+#REF!+#REF!</f>
        <v>#REF!</v>
      </c>
      <c r="P209" s="46">
        <f t="shared" si="63"/>
        <v>344.48700580806906</v>
      </c>
      <c r="Q209" s="46">
        <f t="shared" si="85"/>
        <v>89.44597856366012</v>
      </c>
      <c r="R209" s="32">
        <f t="shared" si="86"/>
        <v>80.9801825808766</v>
      </c>
    </row>
    <row r="210" spans="1:18" ht="12.75">
      <c r="A210" s="101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3"/>
      <c r="N210" s="69"/>
      <c r="O210" s="69"/>
      <c r="P210" s="67"/>
      <c r="Q210" s="35"/>
      <c r="R210" s="32"/>
    </row>
    <row r="211" spans="1:18" ht="12.75">
      <c r="A211" s="115" t="s">
        <v>36</v>
      </c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7"/>
    </row>
    <row r="212" spans="1:18" ht="12.75">
      <c r="A212" s="33" t="s">
        <v>3</v>
      </c>
      <c r="B212" s="59"/>
      <c r="C212" s="34" t="s">
        <v>68</v>
      </c>
      <c r="D212" s="35">
        <f>D213+D215+D216+D217+D219+D220+D222+D224+D221+D218+D225+D223+D214</f>
        <v>905046.1</v>
      </c>
      <c r="E212" s="35">
        <f aca="true" t="shared" si="90" ref="E212:J212">E213+E215+E216+E217+E219+E220+E222+E224+E221+E218+E225+E223+E214</f>
        <v>957888.2999999999</v>
      </c>
      <c r="F212" s="35">
        <f t="shared" si="90"/>
        <v>706905.5999999996</v>
      </c>
      <c r="G212" s="35">
        <f t="shared" si="90"/>
        <v>250819.8</v>
      </c>
      <c r="H212" s="35">
        <f t="shared" si="90"/>
        <v>249468.49999999997</v>
      </c>
      <c r="I212" s="35">
        <f t="shared" si="90"/>
        <v>206617.30000000002</v>
      </c>
      <c r="J212" s="35">
        <f t="shared" si="90"/>
        <v>231857.09999999998</v>
      </c>
      <c r="K212" s="35">
        <f>K213+K215+K216+K217+K219+K220+K222+K224+K221+K218+K225+K223+K214</f>
        <v>820283.6</v>
      </c>
      <c r="L212" s="35" t="e">
        <f>K212/#REF!*100</f>
        <v>#REF!</v>
      </c>
      <c r="M212" s="35">
        <f aca="true" t="shared" si="91" ref="M212:M223">K212/I212*100</f>
        <v>397.00625262260223</v>
      </c>
      <c r="N212" s="69"/>
      <c r="O212" s="69"/>
      <c r="P212" s="35">
        <f t="shared" si="63"/>
        <v>353.7884326164694</v>
      </c>
      <c r="Q212" s="46">
        <f>K212*100/D212</f>
        <v>90.63445497417203</v>
      </c>
      <c r="R212" s="32">
        <f>K212*100/E212</f>
        <v>85.63457764334318</v>
      </c>
    </row>
    <row r="213" spans="1:18" ht="12.75">
      <c r="A213" s="29" t="s">
        <v>23</v>
      </c>
      <c r="B213" s="60" t="s">
        <v>54</v>
      </c>
      <c r="C213" s="36" t="s">
        <v>22</v>
      </c>
      <c r="D213" s="25">
        <f>D9+D31+D47+D64+D81+D99+D115+D132+D148+D165+D182+D198</f>
        <v>642590.8</v>
      </c>
      <c r="E213" s="25">
        <f>E9+E31+E47+E64+E81+E99+E115+E132+E148+E165+E182+E198</f>
        <v>653694.2999999999</v>
      </c>
      <c r="F213" s="25">
        <f aca="true" t="shared" si="92" ref="F213:K213">F9+F31+F47+F64+F81+F99+F115+F132+F148+F165+F182+F198+0.1</f>
        <v>476048.0999999999</v>
      </c>
      <c r="G213" s="25">
        <f t="shared" si="92"/>
        <v>154855.19999999998</v>
      </c>
      <c r="H213" s="25">
        <f t="shared" si="92"/>
        <v>175322.9</v>
      </c>
      <c r="I213" s="25">
        <f t="shared" si="92"/>
        <v>145870.2</v>
      </c>
      <c r="J213" s="25">
        <f t="shared" si="92"/>
        <v>166623.69999999998</v>
      </c>
      <c r="K213" s="25">
        <f t="shared" si="92"/>
        <v>555412.3</v>
      </c>
      <c r="L213" s="28" t="e">
        <f>K213/#REF!*100</f>
        <v>#REF!</v>
      </c>
      <c r="M213" s="28">
        <f t="shared" si="91"/>
        <v>380.7578929760842</v>
      </c>
      <c r="N213" s="69"/>
      <c r="O213" s="69"/>
      <c r="P213" s="24">
        <f t="shared" si="63"/>
        <v>333.3333133281761</v>
      </c>
      <c r="Q213" s="24">
        <f aca="true" t="shared" si="93" ref="Q213:Q231">K213*100/D213</f>
        <v>86.43327915681333</v>
      </c>
      <c r="R213" s="25">
        <f aca="true" t="shared" si="94" ref="R213:R231">K213*100/E213</f>
        <v>84.96514349291407</v>
      </c>
    </row>
    <row r="214" spans="1:18" ht="12.75">
      <c r="A214" s="19" t="s">
        <v>70</v>
      </c>
      <c r="B214" s="19"/>
      <c r="C214" s="36" t="s">
        <v>71</v>
      </c>
      <c r="D214" s="25">
        <f>D10+D32+D48+D65+D82+D100+D117+D133+D149+D166+D183+D199</f>
        <v>51911.1</v>
      </c>
      <c r="E214" s="25">
        <f aca="true" t="shared" si="95" ref="E214:J214">E10+E32+E48+E65+E82+E100+E117+E133+E149+E166+E183+E199</f>
        <v>48539.6</v>
      </c>
      <c r="F214" s="25">
        <f t="shared" si="95"/>
        <v>37966.100000000006</v>
      </c>
      <c r="G214" s="25">
        <f t="shared" si="95"/>
        <v>11844.099999999999</v>
      </c>
      <c r="H214" s="25">
        <f t="shared" si="95"/>
        <v>12869.1</v>
      </c>
      <c r="I214" s="25">
        <f t="shared" si="95"/>
        <v>13252.9</v>
      </c>
      <c r="J214" s="25">
        <f t="shared" si="95"/>
        <v>13545</v>
      </c>
      <c r="K214" s="25">
        <f>K10+K32+K48+K65+K82+K100+K117+K133+K149+K166+K183+K199-0.1</f>
        <v>34815.899999999994</v>
      </c>
      <c r="L214" s="25">
        <f>L10</f>
        <v>0</v>
      </c>
      <c r="M214" s="25">
        <f>M10</f>
        <v>0</v>
      </c>
      <c r="N214" s="25">
        <f>N10</f>
        <v>0</v>
      </c>
      <c r="O214" s="25">
        <f>O10</f>
        <v>0</v>
      </c>
      <c r="P214" s="25">
        <f>P10</f>
        <v>0</v>
      </c>
      <c r="Q214" s="24">
        <f t="shared" si="93"/>
        <v>67.06831486907424</v>
      </c>
      <c r="R214" s="25">
        <f t="shared" si="94"/>
        <v>71.72679626531739</v>
      </c>
    </row>
    <row r="215" spans="1:18" ht="12.75">
      <c r="A215" s="19" t="s">
        <v>8</v>
      </c>
      <c r="B215" s="58" t="s">
        <v>55</v>
      </c>
      <c r="C215" s="36" t="s">
        <v>5</v>
      </c>
      <c r="D215" s="25">
        <f>D11+D49+D66+D200+D150+D116+D184+D83+D101+D167</f>
        <v>36219</v>
      </c>
      <c r="E215" s="25">
        <f>E11+E49+E66+E200+E150+E118+E184+E83+E101+E167</f>
        <v>40947.600000000006</v>
      </c>
      <c r="F215" s="25">
        <f>F11+F49+F66+F200+F150+F118+F184+F83+F101+F167+0.1</f>
        <v>28611.799999999996</v>
      </c>
      <c r="G215" s="25">
        <f>G11+G49+G66+G200+G150+G118+G184+G83+G101+G167+0.1</f>
        <v>10205.6</v>
      </c>
      <c r="H215" s="25">
        <f>H11+H49+H66+H200+H150+H118+H184+H83+H101+H167+0.1</f>
        <v>10282.1</v>
      </c>
      <c r="I215" s="25">
        <f>I11+I49+I66+I200+I150+I118+I184+I83+I101+I167+0.1</f>
        <v>8124.3</v>
      </c>
      <c r="J215" s="25">
        <f>J11+J49+J66+J200+J150+J118+J184+J83+J101+J167+0.1</f>
        <v>7814.2</v>
      </c>
      <c r="K215" s="25">
        <f>K11+K49+K66+K200+K150+K118+K184+K83+K101+K167</f>
        <v>40107.8</v>
      </c>
      <c r="L215" s="28" t="e">
        <f>K215/#REF!*100</f>
        <v>#REF!</v>
      </c>
      <c r="M215" s="28">
        <f t="shared" si="91"/>
        <v>493.6769937102274</v>
      </c>
      <c r="N215" s="69"/>
      <c r="O215" s="69"/>
      <c r="P215" s="24">
        <f t="shared" si="63"/>
        <v>513.26815284994</v>
      </c>
      <c r="Q215" s="24">
        <f t="shared" si="93"/>
        <v>110.73690604378919</v>
      </c>
      <c r="R215" s="25">
        <f t="shared" si="94"/>
        <v>97.94908614912717</v>
      </c>
    </row>
    <row r="216" spans="1:18" ht="12.75">
      <c r="A216" s="19" t="s">
        <v>9</v>
      </c>
      <c r="B216" s="58" t="s">
        <v>56</v>
      </c>
      <c r="C216" s="36" t="s">
        <v>6</v>
      </c>
      <c r="D216" s="25">
        <f>D12+D33+D50+D67+D84+D102+D119+D134+D151+D168+D185+D201</f>
        <v>19478</v>
      </c>
      <c r="E216" s="25">
        <f aca="true" t="shared" si="96" ref="E216:J216">E12+E33+E50+E67+E84+E102+E119+E134+E151+E168+E185+E201+0.1</f>
        <v>24804.899999999998</v>
      </c>
      <c r="F216" s="25">
        <f t="shared" si="96"/>
        <v>14455.800000000001</v>
      </c>
      <c r="G216" s="25">
        <f t="shared" si="96"/>
        <v>4064.6</v>
      </c>
      <c r="H216" s="25">
        <f t="shared" si="96"/>
        <v>6818.3</v>
      </c>
      <c r="I216" s="25">
        <f t="shared" si="96"/>
        <v>3573.1</v>
      </c>
      <c r="J216" s="25">
        <f t="shared" si="96"/>
        <v>8022.700000000001</v>
      </c>
      <c r="K216" s="25">
        <f>K12+K33+K50+K67+K84+K102+K119+K134+K151+K168+K185+K201-0.1</f>
        <v>21506.600000000006</v>
      </c>
      <c r="L216" s="28" t="e">
        <f>K216/#REF!*100</f>
        <v>#REF!</v>
      </c>
      <c r="M216" s="28">
        <f t="shared" si="91"/>
        <v>601.9031093448268</v>
      </c>
      <c r="N216" s="69"/>
      <c r="O216" s="69"/>
      <c r="P216" s="24">
        <f t="shared" si="63"/>
        <v>268.07184613658745</v>
      </c>
      <c r="Q216" s="24">
        <f t="shared" si="93"/>
        <v>110.41482698428999</v>
      </c>
      <c r="R216" s="25">
        <f t="shared" si="94"/>
        <v>86.70303044962893</v>
      </c>
    </row>
    <row r="217" spans="1:18" ht="12.75">
      <c r="A217" s="19" t="s">
        <v>10</v>
      </c>
      <c r="B217" s="58" t="s">
        <v>49</v>
      </c>
      <c r="C217" s="36" t="s">
        <v>21</v>
      </c>
      <c r="D217" s="25">
        <f>D13+D34+D51+D68+D85+D103+D120+D135+D152+D169+D186+D202</f>
        <v>3776</v>
      </c>
      <c r="E217" s="25">
        <f aca="true" t="shared" si="97" ref="E217:J217">E13+E34+E51+E68+E85+E103+E120+E135+E152+E169+E186+E202</f>
        <v>3959.4999999999995</v>
      </c>
      <c r="F217" s="25">
        <f t="shared" si="97"/>
        <v>2843.1</v>
      </c>
      <c r="G217" s="25">
        <f t="shared" si="97"/>
        <v>948</v>
      </c>
      <c r="H217" s="25">
        <f t="shared" si="97"/>
        <v>959.8000000000001</v>
      </c>
      <c r="I217" s="25">
        <f t="shared" si="97"/>
        <v>935.3000000000001</v>
      </c>
      <c r="J217" s="25">
        <f t="shared" si="97"/>
        <v>955.1999999999999</v>
      </c>
      <c r="K217" s="25">
        <f>K13+K34+K51+K68+K85+K103+K120+K135+K152+K169+K186+K202+0.1</f>
        <v>3215.9000000000005</v>
      </c>
      <c r="L217" s="28" t="e">
        <f>K217/#REF!*100</f>
        <v>#REF!</v>
      </c>
      <c r="M217" s="28">
        <f t="shared" si="91"/>
        <v>343.83620228803596</v>
      </c>
      <c r="N217" s="69"/>
      <c r="O217" s="69"/>
      <c r="P217" s="24">
        <f t="shared" si="63"/>
        <v>336.67294807370195</v>
      </c>
      <c r="Q217" s="24">
        <f t="shared" si="93"/>
        <v>85.166843220339</v>
      </c>
      <c r="R217" s="25">
        <f t="shared" si="94"/>
        <v>81.2198509912868</v>
      </c>
    </row>
    <row r="218" spans="1:18" ht="24" hidden="1">
      <c r="A218" s="19" t="s">
        <v>37</v>
      </c>
      <c r="B218" s="58" t="s">
        <v>57</v>
      </c>
      <c r="C218" s="36" t="s">
        <v>38</v>
      </c>
      <c r="D218" s="36"/>
      <c r="E218" s="61">
        <f aca="true" t="shared" si="98" ref="E218:J218">E14</f>
        <v>0</v>
      </c>
      <c r="F218" s="61">
        <f t="shared" si="98"/>
        <v>0</v>
      </c>
      <c r="G218" s="61">
        <f t="shared" si="98"/>
        <v>0</v>
      </c>
      <c r="H218" s="61">
        <f t="shared" si="98"/>
        <v>0</v>
      </c>
      <c r="I218" s="61">
        <f t="shared" si="98"/>
        <v>0</v>
      </c>
      <c r="J218" s="61">
        <f t="shared" si="98"/>
        <v>0</v>
      </c>
      <c r="K218" s="61">
        <f>K14</f>
        <v>0</v>
      </c>
      <c r="L218" s="28" t="e">
        <f>K218/#REF!*100</f>
        <v>#REF!</v>
      </c>
      <c r="M218" s="28"/>
      <c r="N218" s="69"/>
      <c r="O218" s="69"/>
      <c r="P218" s="24" t="e">
        <f t="shared" si="63"/>
        <v>#DIV/0!</v>
      </c>
      <c r="Q218" s="24" t="e">
        <f t="shared" si="93"/>
        <v>#DIV/0!</v>
      </c>
      <c r="R218" s="25" t="e">
        <f t="shared" si="94"/>
        <v>#DIV/0!</v>
      </c>
    </row>
    <row r="219" spans="1:18" ht="24">
      <c r="A219" s="20" t="s">
        <v>11</v>
      </c>
      <c r="B219" s="62" t="s">
        <v>48</v>
      </c>
      <c r="C219" s="36" t="s">
        <v>17</v>
      </c>
      <c r="D219" s="25">
        <f>D15+D35+D52+D69+D86+D104+D121+D136+D153+D170+D187+D203</f>
        <v>100788.6</v>
      </c>
      <c r="E219" s="25">
        <f>E15+E35+E52+E69+E86+E104+E121+E136+E153+E170+E187+E203</f>
        <v>115158.6</v>
      </c>
      <c r="F219" s="25">
        <f>F15+F35+F52+F69+F86+F104+F121+F136+F153+F170+F187+F203-0.2</f>
        <v>76371.9</v>
      </c>
      <c r="G219" s="25">
        <f>G15+G35+G52+G69+G86+G104+G121+G136+G153+G170+G187+G203-0.2</f>
        <v>25227.59999999999</v>
      </c>
      <c r="H219" s="25">
        <f>H15+H35+H52+H69+H86+H104+H121+H136+H153+H170+H187+H203-0.2</f>
        <v>25625.3</v>
      </c>
      <c r="I219" s="25">
        <f>I15+I35+I52+I69+I86+I104+I121+I136+I153+I170+I187+I203-0.2</f>
        <v>25518.6</v>
      </c>
      <c r="J219" s="25">
        <f>J15+J35+J52+J69+J86+J104+J121+J136+J153+J170+J187+J203-0.2</f>
        <v>25126.3</v>
      </c>
      <c r="K219" s="25">
        <f>K15+K35+K52+K69+K86+K104+K121+K136+K153+K170+K187+K203</f>
        <v>99456.00000000001</v>
      </c>
      <c r="L219" s="28" t="e">
        <f>K219/#REF!*100</f>
        <v>#REF!</v>
      </c>
      <c r="M219" s="28">
        <f t="shared" si="91"/>
        <v>389.7392490183631</v>
      </c>
      <c r="N219" s="69"/>
      <c r="O219" s="69"/>
      <c r="P219" s="24">
        <f t="shared" si="63"/>
        <v>395.82429565833417</v>
      </c>
      <c r="Q219" s="24">
        <f t="shared" si="93"/>
        <v>98.67782665896739</v>
      </c>
      <c r="R219" s="25">
        <f t="shared" si="94"/>
        <v>86.3643705289922</v>
      </c>
    </row>
    <row r="220" spans="1:18" ht="12.75">
      <c r="A220" s="37" t="s">
        <v>14</v>
      </c>
      <c r="B220" s="63" t="s">
        <v>47</v>
      </c>
      <c r="C220" s="36" t="s">
        <v>13</v>
      </c>
      <c r="D220" s="25">
        <f>D16</f>
        <v>12245.1</v>
      </c>
      <c r="E220" s="25">
        <f aca="true" t="shared" si="99" ref="E220:J220">E16</f>
        <v>5286.5</v>
      </c>
      <c r="F220" s="25">
        <f t="shared" si="99"/>
        <v>6072.5</v>
      </c>
      <c r="G220" s="25">
        <f t="shared" si="99"/>
        <v>1658.6</v>
      </c>
      <c r="H220" s="25">
        <f t="shared" si="99"/>
        <v>2597.9</v>
      </c>
      <c r="I220" s="25">
        <f t="shared" si="99"/>
        <v>1816</v>
      </c>
      <c r="J220" s="25">
        <f t="shared" si="99"/>
        <v>1815.9</v>
      </c>
      <c r="K220" s="25">
        <f>K16</f>
        <v>6199.5</v>
      </c>
      <c r="L220" s="28" t="e">
        <f>K220/#REF!*100</f>
        <v>#REF!</v>
      </c>
      <c r="M220" s="28">
        <f t="shared" si="91"/>
        <v>341.3821585903084</v>
      </c>
      <c r="N220" s="69"/>
      <c r="O220" s="69"/>
      <c r="P220" s="24">
        <f t="shared" si="63"/>
        <v>341.4009582025442</v>
      </c>
      <c r="Q220" s="24">
        <f t="shared" si="93"/>
        <v>50.628414631158584</v>
      </c>
      <c r="R220" s="25">
        <f t="shared" si="94"/>
        <v>117.27040575049655</v>
      </c>
    </row>
    <row r="221" spans="1:18" ht="24">
      <c r="A221" s="38" t="s">
        <v>42</v>
      </c>
      <c r="B221" s="64" t="s">
        <v>58</v>
      </c>
      <c r="C221" s="36" t="s">
        <v>43</v>
      </c>
      <c r="D221" s="65">
        <f>D17+D87+D105+D137+D154+D171+D188+D122+D70+D36</f>
        <v>11283</v>
      </c>
      <c r="E221" s="65">
        <f>E17+E87+E105+E137+E154+E171+E188+E122+E70+E36</f>
        <v>18465</v>
      </c>
      <c r="F221" s="65">
        <f aca="true" t="shared" si="100" ref="F221:K221">F17+F87+F105+F137+F154+F171+F188+F122+F70+F36-0.1</f>
        <v>9358.699999999999</v>
      </c>
      <c r="G221" s="65">
        <f t="shared" si="100"/>
        <v>3800.4</v>
      </c>
      <c r="H221" s="65">
        <f t="shared" si="100"/>
        <v>2872.4</v>
      </c>
      <c r="I221" s="65">
        <f t="shared" si="100"/>
        <v>2685.7</v>
      </c>
      <c r="J221" s="65">
        <f t="shared" si="100"/>
        <v>3102.4</v>
      </c>
      <c r="K221" s="65">
        <f t="shared" si="100"/>
        <v>16047.699999999999</v>
      </c>
      <c r="L221" s="28" t="e">
        <f>K221/#REF!*100</f>
        <v>#REF!</v>
      </c>
      <c r="M221" s="28">
        <f t="shared" si="91"/>
        <v>597.5239229995905</v>
      </c>
      <c r="N221" s="69"/>
      <c r="O221" s="69"/>
      <c r="P221" s="24">
        <f t="shared" si="63"/>
        <v>517.2672769468799</v>
      </c>
      <c r="Q221" s="24">
        <f t="shared" si="93"/>
        <v>142.22901710537977</v>
      </c>
      <c r="R221" s="25">
        <f t="shared" si="94"/>
        <v>86.90874627673978</v>
      </c>
    </row>
    <row r="222" spans="1:18" ht="12.75">
      <c r="A222" s="38" t="s">
        <v>18</v>
      </c>
      <c r="B222" s="64" t="s">
        <v>53</v>
      </c>
      <c r="C222" s="36" t="s">
        <v>15</v>
      </c>
      <c r="D222" s="25">
        <f>D18+D37+D53+D71+D88+D106+D123+D155+D172+D189+D204+D138</f>
        <v>22707</v>
      </c>
      <c r="E222" s="25">
        <f>E18+E37+E53+E71+E88+E106+E123+E155+E172+E189+E204+E138</f>
        <v>31999.8</v>
      </c>
      <c r="F222" s="25">
        <f>F18+F37+F53+F71+F88+F106+F123+F155+F172+F189+F204+F138+0.1</f>
        <v>43548.00000000001</v>
      </c>
      <c r="G222" s="25">
        <f>G18+G37+G53+G71+G88+G106+G123+G155+G172+G189+G204+G138+0.1</f>
        <v>30345.199999999997</v>
      </c>
      <c r="H222" s="25">
        <f>H18+H37+H53+H71+H88+H106+H123+H155+H172+H189+H204+H138+0.1</f>
        <v>9181.300000000001</v>
      </c>
      <c r="I222" s="25">
        <f>I18+I37+I53+I71+I88+I106+I123+I155+I172+I189+I204+I138+0.1</f>
        <v>4021.7000000000003</v>
      </c>
      <c r="J222" s="25">
        <f>J18+J37+J53+J71+J88+J106+J123+J155+J172+J189+J204+J138+0.1</f>
        <v>4022.9999999999995</v>
      </c>
      <c r="K222" s="25">
        <f>K18+K37+K53+K71+K88+K106+K123+K155+K172+K189+K204+K138-0.1</f>
        <v>26981</v>
      </c>
      <c r="L222" s="28" t="e">
        <f>K222/#REF!*100</f>
        <v>#REF!</v>
      </c>
      <c r="M222" s="28">
        <f t="shared" si="91"/>
        <v>670.8854464529925</v>
      </c>
      <c r="N222" s="69"/>
      <c r="O222" s="69"/>
      <c r="P222" s="24">
        <f aca="true" t="shared" si="101" ref="P222:P231">K222*100/J222</f>
        <v>670.6686552324137</v>
      </c>
      <c r="Q222" s="24">
        <f t="shared" si="93"/>
        <v>118.82238957149778</v>
      </c>
      <c r="R222" s="25">
        <f t="shared" si="94"/>
        <v>84.31615197594985</v>
      </c>
    </row>
    <row r="223" spans="1:18" ht="12.75">
      <c r="A223" s="38" t="s">
        <v>60</v>
      </c>
      <c r="B223" s="38"/>
      <c r="C223" s="36" t="s">
        <v>61</v>
      </c>
      <c r="D223" s="25">
        <f>D19</f>
        <v>5</v>
      </c>
      <c r="E223" s="25">
        <f aca="true" t="shared" si="102" ref="E223:J223">E19</f>
        <v>6.2</v>
      </c>
      <c r="F223" s="25">
        <f t="shared" si="102"/>
        <v>5.2</v>
      </c>
      <c r="G223" s="25">
        <f t="shared" si="102"/>
        <v>4.2</v>
      </c>
      <c r="H223" s="25">
        <f t="shared" si="102"/>
        <v>1</v>
      </c>
      <c r="I223" s="25">
        <f t="shared" si="102"/>
        <v>0</v>
      </c>
      <c r="J223" s="25">
        <f t="shared" si="102"/>
        <v>0</v>
      </c>
      <c r="K223" s="25">
        <f>K19</f>
        <v>6.2</v>
      </c>
      <c r="L223" s="28" t="e">
        <f>K223/#REF!*100</f>
        <v>#REF!</v>
      </c>
      <c r="M223" s="28" t="e">
        <f t="shared" si="91"/>
        <v>#DIV/0!</v>
      </c>
      <c r="N223" s="69"/>
      <c r="O223" s="69"/>
      <c r="P223" s="24" t="e">
        <f t="shared" si="101"/>
        <v>#DIV/0!</v>
      </c>
      <c r="Q223" s="24">
        <f t="shared" si="93"/>
        <v>124</v>
      </c>
      <c r="R223" s="25">
        <f t="shared" si="94"/>
        <v>100</v>
      </c>
    </row>
    <row r="224" spans="1:18" ht="12.75">
      <c r="A224" s="29" t="s">
        <v>12</v>
      </c>
      <c r="B224" s="60" t="s">
        <v>50</v>
      </c>
      <c r="C224" s="36" t="s">
        <v>7</v>
      </c>
      <c r="D224" s="25">
        <f>D20+D190+D205+D72+D139+D54+D156+D89</f>
        <v>4042.5</v>
      </c>
      <c r="E224" s="25">
        <f aca="true" t="shared" si="103" ref="E224:J224">E20+E190+E205+E72+E139+E54+E156+E89+E38</f>
        <v>14989.300000000001</v>
      </c>
      <c r="F224" s="25">
        <f t="shared" si="103"/>
        <v>11622.699999999999</v>
      </c>
      <c r="G224" s="25">
        <f t="shared" si="103"/>
        <v>7866.4</v>
      </c>
      <c r="H224" s="25">
        <f t="shared" si="103"/>
        <v>2936.7</v>
      </c>
      <c r="I224" s="25">
        <f t="shared" si="103"/>
        <v>819.6</v>
      </c>
      <c r="J224" s="25">
        <f t="shared" si="103"/>
        <v>828.8</v>
      </c>
      <c r="K224" s="25">
        <f>K20+K190+K205+K72+K139+K54+K156+K89+K38+0.1</f>
        <v>15687.100000000002</v>
      </c>
      <c r="L224" s="25" t="e">
        <f>L20+L190+L205+L72+L139+L54+L156+L89</f>
        <v>#REF!</v>
      </c>
      <c r="M224" s="25" t="e">
        <f>M20+M190+M205+M72+M139+M54+M156+M89</f>
        <v>#DIV/0!</v>
      </c>
      <c r="N224" s="25">
        <f>N20+N190+N205+N72+N139+N54+N156+N89</f>
        <v>0</v>
      </c>
      <c r="O224" s="25">
        <f>O20+O190+O205+O72+O139+O54+O156+O89</f>
        <v>0</v>
      </c>
      <c r="P224" s="25" t="e">
        <f>P20+P190+P205+P72+P139+P54+P156+P89</f>
        <v>#DIV/0!</v>
      </c>
      <c r="Q224" s="24">
        <f t="shared" si="93"/>
        <v>388.0544217687075</v>
      </c>
      <c r="R224" s="25">
        <f t="shared" si="94"/>
        <v>104.6553207955008</v>
      </c>
    </row>
    <row r="225" spans="1:18" ht="12.75">
      <c r="A225" s="39" t="s">
        <v>39</v>
      </c>
      <c r="B225" s="66" t="s">
        <v>57</v>
      </c>
      <c r="C225" s="23" t="s">
        <v>40</v>
      </c>
      <c r="D225" s="25">
        <f>D21+D39+D55+D73+D90+D107+D125+D140+D157+D174+D191+D206</f>
        <v>0</v>
      </c>
      <c r="E225" s="25">
        <f>E21+E39+E55+E73+E90+E107+E125+E140+E157+E174+E191+E206</f>
        <v>37</v>
      </c>
      <c r="F225" s="25">
        <f>F21+F39+F55+F73+F90+F107+F125+F140+F157+F174+F191+F206-0.1</f>
        <v>1.7</v>
      </c>
      <c r="G225" s="25">
        <f>G21+G39+G55+G73+G90+G107+G125+G140+G157+G174+G191+G206-0.1</f>
        <v>-0.1</v>
      </c>
      <c r="H225" s="25">
        <f>H21+H39+H55+H73+H90+H107+H125+H140+H157+H174+H191+H206-0.1</f>
        <v>1.7</v>
      </c>
      <c r="I225" s="25">
        <f>I21+I39+I55+I73+I90+I107+I125+I140+I157+I174+I191+I206-0.1</f>
        <v>-0.1</v>
      </c>
      <c r="J225" s="25">
        <f>J21+J39+J55+J73+J90+J107+J125+J140+J157+J174+J191+J206-0.1</f>
        <v>-0.1</v>
      </c>
      <c r="K225" s="25">
        <f>K21+K39+K55+K73+K90+K107+K125+K140+K157+K174+K191+K206</f>
        <v>847.5999999999999</v>
      </c>
      <c r="L225" s="28"/>
      <c r="M225" s="28"/>
      <c r="N225" s="69"/>
      <c r="O225" s="69"/>
      <c r="P225" s="24">
        <f t="shared" si="101"/>
        <v>-847599.9999999998</v>
      </c>
      <c r="Q225" s="24"/>
      <c r="R225" s="25">
        <f t="shared" si="94"/>
        <v>2290.8108108108104</v>
      </c>
    </row>
    <row r="226" spans="1:18" ht="12.75">
      <c r="A226" s="33" t="s">
        <v>1</v>
      </c>
      <c r="B226" s="59"/>
      <c r="C226" s="41" t="s">
        <v>0</v>
      </c>
      <c r="D226" s="42">
        <f>D227+D228+D230</f>
        <v>2614355.8</v>
      </c>
      <c r="E226" s="42">
        <f>E227+E228+E230</f>
        <v>2819505.6</v>
      </c>
      <c r="F226" s="42">
        <f>F227+F228+F230-0.1</f>
        <v>2210637.9</v>
      </c>
      <c r="G226" s="42">
        <f>G227+G228+G230-0.1</f>
        <v>637080.0000000001</v>
      </c>
      <c r="H226" s="42">
        <f>H227+H228+H230-0.1</f>
        <v>873636.4</v>
      </c>
      <c r="I226" s="42">
        <f>I227+I228+I230-0.1</f>
        <v>699757.1000000001</v>
      </c>
      <c r="J226" s="42">
        <f>J227+J228+J230-0.1</f>
        <v>604143</v>
      </c>
      <c r="K226" s="42">
        <f>K227+K228+K230</f>
        <v>2103283.2</v>
      </c>
      <c r="L226" s="35" t="e">
        <f>K226/#REF!*100</f>
        <v>#REF!</v>
      </c>
      <c r="M226" s="35">
        <f>K226/I226*100</f>
        <v>300.57332751607663</v>
      </c>
      <c r="N226" s="69"/>
      <c r="O226" s="69"/>
      <c r="P226" s="46">
        <f t="shared" si="101"/>
        <v>348.14327071570807</v>
      </c>
      <c r="Q226" s="46">
        <f t="shared" si="93"/>
        <v>80.45129893949402</v>
      </c>
      <c r="R226" s="32">
        <f t="shared" si="94"/>
        <v>74.59758902411828</v>
      </c>
    </row>
    <row r="227" spans="1:18" ht="24">
      <c r="A227" s="21" t="s">
        <v>67</v>
      </c>
      <c r="B227" s="58" t="s">
        <v>51</v>
      </c>
      <c r="C227" s="43" t="s">
        <v>20</v>
      </c>
      <c r="D227" s="24">
        <f>D23</f>
        <v>2594355.8</v>
      </c>
      <c r="E227" s="24">
        <f>E23-353.5+0.1</f>
        <v>2768587.2</v>
      </c>
      <c r="F227" s="24">
        <f>F23-82.1</f>
        <v>2153704.8000000003</v>
      </c>
      <c r="G227" s="24">
        <f>G23-82.1</f>
        <v>663711.3</v>
      </c>
      <c r="H227" s="24">
        <f>H23-82.1</f>
        <v>830072.1</v>
      </c>
      <c r="I227" s="24">
        <f>I23-82.1</f>
        <v>659757.2000000001</v>
      </c>
      <c r="J227" s="24">
        <f>J23-82.1</f>
        <v>581143.1</v>
      </c>
      <c r="K227" s="24">
        <f>K23-221.4</f>
        <v>2053499.2000000002</v>
      </c>
      <c r="L227" s="28" t="e">
        <f>K227/#REF!*100</f>
        <v>#REF!</v>
      </c>
      <c r="M227" s="28">
        <f>K227/I227*100</f>
        <v>311.2507449710287</v>
      </c>
      <c r="N227" s="69"/>
      <c r="O227" s="69"/>
      <c r="P227" s="24">
        <f t="shared" si="101"/>
        <v>353.3551719017227</v>
      </c>
      <c r="Q227" s="24">
        <f t="shared" si="93"/>
        <v>79.15256650610532</v>
      </c>
      <c r="R227" s="25">
        <f t="shared" si="94"/>
        <v>74.17137520537551</v>
      </c>
    </row>
    <row r="228" spans="1:18" ht="12.75">
      <c r="A228" s="21" t="s">
        <v>2</v>
      </c>
      <c r="B228" s="21" t="s">
        <v>52</v>
      </c>
      <c r="C228" s="44" t="s">
        <v>19</v>
      </c>
      <c r="D228" s="25">
        <f>D24+D94+D110+D177+D143+D58+D42+D160+D76</f>
        <v>20000</v>
      </c>
      <c r="E228" s="25">
        <f aca="true" t="shared" si="104" ref="E228:J228">E24+E94+E110+E177+E143+E58+E160+E76</f>
        <v>83620.79999999999</v>
      </c>
      <c r="F228" s="25">
        <f t="shared" si="104"/>
        <v>60262.9</v>
      </c>
      <c r="G228" s="25">
        <f t="shared" si="104"/>
        <v>20005</v>
      </c>
      <c r="H228" s="25">
        <f t="shared" si="104"/>
        <v>20257.9</v>
      </c>
      <c r="I228" s="25">
        <f t="shared" si="104"/>
        <v>20000</v>
      </c>
      <c r="J228" s="25">
        <f t="shared" si="104"/>
        <v>23000</v>
      </c>
      <c r="K228" s="25">
        <f>K24+K94+K110+K177+K143+K58+K160+K76</f>
        <v>83258.09999999999</v>
      </c>
      <c r="L228" s="28" t="e">
        <f>K228/#REF!*100</f>
        <v>#REF!</v>
      </c>
      <c r="M228" s="28">
        <f>K228/I228*100</f>
        <v>416.29049999999995</v>
      </c>
      <c r="N228" s="69"/>
      <c r="O228" s="69"/>
      <c r="P228" s="24">
        <f t="shared" si="101"/>
        <v>361.9917391304347</v>
      </c>
      <c r="Q228" s="24">
        <f t="shared" si="93"/>
        <v>416.29049999999995</v>
      </c>
      <c r="R228" s="25">
        <f t="shared" si="94"/>
        <v>99.566256242466</v>
      </c>
    </row>
    <row r="229" spans="1:18" ht="48" hidden="1">
      <c r="A229" s="21" t="s">
        <v>86</v>
      </c>
      <c r="B229" s="22"/>
      <c r="C229" s="92" t="s">
        <v>87</v>
      </c>
      <c r="D229" s="25"/>
      <c r="E229" s="25"/>
      <c r="F229" s="25"/>
      <c r="G229" s="25"/>
      <c r="H229" s="25"/>
      <c r="I229" s="25"/>
      <c r="J229" s="25"/>
      <c r="K229" s="25"/>
      <c r="L229" s="28"/>
      <c r="M229" s="28"/>
      <c r="N229" s="69"/>
      <c r="O229" s="69"/>
      <c r="P229" s="24"/>
      <c r="Q229" s="24"/>
      <c r="R229" s="25"/>
    </row>
    <row r="230" spans="1:18" ht="24">
      <c r="A230" s="21" t="s">
        <v>66</v>
      </c>
      <c r="B230" s="22"/>
      <c r="C230" s="27" t="s">
        <v>63</v>
      </c>
      <c r="D230" s="25">
        <f>D26+D42</f>
        <v>0</v>
      </c>
      <c r="E230" s="25">
        <f>E26</f>
        <v>-32702.4</v>
      </c>
      <c r="F230" s="25">
        <f aca="true" t="shared" si="105" ref="F230:K230">F26</f>
        <v>-3329.699999999997</v>
      </c>
      <c r="G230" s="25">
        <f t="shared" si="105"/>
        <v>-46636.2</v>
      </c>
      <c r="H230" s="25">
        <f t="shared" si="105"/>
        <v>23306.5</v>
      </c>
      <c r="I230" s="25">
        <f t="shared" si="105"/>
        <v>20000</v>
      </c>
      <c r="J230" s="25">
        <f t="shared" si="105"/>
        <v>0</v>
      </c>
      <c r="K230" s="25">
        <f t="shared" si="105"/>
        <v>-33474.1</v>
      </c>
      <c r="L230" s="28" t="e">
        <f>K230/#REF!*100</f>
        <v>#REF!</v>
      </c>
      <c r="M230" s="28"/>
      <c r="N230" s="69"/>
      <c r="O230" s="69"/>
      <c r="P230" s="24" t="e">
        <f t="shared" si="101"/>
        <v>#DIV/0!</v>
      </c>
      <c r="Q230" s="24"/>
      <c r="R230" s="25">
        <f t="shared" si="94"/>
        <v>102.35976564411175</v>
      </c>
    </row>
    <row r="231" spans="1:18" ht="12.75">
      <c r="A231" s="29"/>
      <c r="B231" s="30"/>
      <c r="C231" s="31" t="s">
        <v>4</v>
      </c>
      <c r="D231" s="32">
        <f>D226+D212</f>
        <v>3519401.9</v>
      </c>
      <c r="E231" s="32">
        <f aca="true" t="shared" si="106" ref="E231:J231">E226+E212</f>
        <v>3777393.9</v>
      </c>
      <c r="F231" s="32">
        <f t="shared" si="106"/>
        <v>2917543.4999999995</v>
      </c>
      <c r="G231" s="32">
        <f t="shared" si="106"/>
        <v>887899.8</v>
      </c>
      <c r="H231" s="32">
        <f t="shared" si="106"/>
        <v>1123104.9</v>
      </c>
      <c r="I231" s="32">
        <f t="shared" si="106"/>
        <v>906374.4000000001</v>
      </c>
      <c r="J231" s="32">
        <f t="shared" si="106"/>
        <v>836000.1</v>
      </c>
      <c r="K231" s="32">
        <f>K226+K212</f>
        <v>2923566.8000000003</v>
      </c>
      <c r="L231" s="35" t="e">
        <f>K231/#REF!*100</f>
        <v>#REF!</v>
      </c>
      <c r="M231" s="35">
        <f>K231/I231*100</f>
        <v>322.55619752720287</v>
      </c>
      <c r="N231" s="69"/>
      <c r="O231" s="70" t="e">
        <f>J231+#REF!+#REF!</f>
        <v>#REF!</v>
      </c>
      <c r="P231" s="46">
        <f t="shared" si="101"/>
        <v>349.7089055372123</v>
      </c>
      <c r="Q231" s="46">
        <f t="shared" si="93"/>
        <v>83.06998981844046</v>
      </c>
      <c r="R231" s="32">
        <f t="shared" si="94"/>
        <v>77.39639755335021</v>
      </c>
    </row>
    <row r="232" spans="3:9" ht="12.75">
      <c r="C232" s="8"/>
      <c r="D232" s="8"/>
      <c r="E232" s="8"/>
      <c r="F232" s="8"/>
      <c r="G232" s="8"/>
      <c r="H232" s="8"/>
      <c r="I232" s="2"/>
    </row>
    <row r="233" spans="3:12" ht="12.75">
      <c r="C233" s="9" t="s">
        <v>59</v>
      </c>
      <c r="D233" s="9"/>
      <c r="E233" s="9"/>
      <c r="F233" s="9"/>
      <c r="G233" s="9"/>
      <c r="H233" s="9"/>
      <c r="I233" s="3"/>
      <c r="J233" s="3"/>
      <c r="K233" s="5"/>
      <c r="L233" s="5"/>
    </row>
    <row r="234" spans="3:13" ht="12.75" hidden="1">
      <c r="C234" s="9"/>
      <c r="D234" s="9"/>
      <c r="E234" s="9"/>
      <c r="F234" s="9"/>
      <c r="G234" s="9"/>
      <c r="H234" s="9"/>
      <c r="I234" s="3" t="s">
        <v>62</v>
      </c>
      <c r="J234" s="3">
        <f>J233-J212</f>
        <v>-231857.09999999998</v>
      </c>
      <c r="K234" s="4"/>
      <c r="L234" s="5"/>
      <c r="M234" s="2" t="e">
        <f>O27+O43+O60+O77+O95+O111+O128+O144+O161+O178+O194+O209-#REF!-#REF!-#REF!-#REF!-#REF!-#REF!-#REF!-#REF!-#REF!-#REF!-#REF!-#REF!-5301.3-7951.9-535.1-7243.1</f>
        <v>#REF!</v>
      </c>
    </row>
    <row r="235" spans="1:13" ht="12.75" hidden="1">
      <c r="A235" s="2"/>
      <c r="C235" s="9"/>
      <c r="D235" s="9"/>
      <c r="E235" s="9"/>
      <c r="F235" s="9"/>
      <c r="G235" s="9"/>
      <c r="H235" s="9"/>
      <c r="I235" s="6"/>
      <c r="J235" s="3"/>
      <c r="K235" s="5"/>
      <c r="L235" s="5"/>
      <c r="M235" s="2" t="e">
        <f>O231-M234</f>
        <v>#REF!</v>
      </c>
    </row>
    <row r="236" spans="3:12" ht="12.75" hidden="1">
      <c r="C236" s="10"/>
      <c r="D236" s="10"/>
      <c r="E236" s="10"/>
      <c r="F236" s="10"/>
      <c r="G236" s="10"/>
      <c r="H236" s="10"/>
      <c r="I236" s="3"/>
      <c r="J236" s="3">
        <f>J235-J226</f>
        <v>-604143</v>
      </c>
      <c r="K236" s="5"/>
      <c r="L236" s="5"/>
    </row>
    <row r="237" spans="3:12" ht="12.75" hidden="1">
      <c r="C237" s="10"/>
      <c r="D237" s="10"/>
      <c r="E237" s="10"/>
      <c r="F237" s="10"/>
      <c r="G237" s="10"/>
      <c r="H237" s="10"/>
      <c r="I237" s="6"/>
      <c r="J237" s="3" t="e">
        <f>#REF!+#REF!+#REF!+#REF!+#REF!+#REF!+#REF!+#REF!+#REF!+#REF!</f>
        <v>#REF!</v>
      </c>
      <c r="K237" s="5"/>
      <c r="L237" s="5"/>
    </row>
    <row r="238" spans="1:12" ht="12.75" hidden="1">
      <c r="A238" s="2">
        <f>J212+J226</f>
        <v>836000.1</v>
      </c>
      <c r="C238" s="18"/>
      <c r="D238" s="18"/>
      <c r="E238" s="18"/>
      <c r="F238" s="18"/>
      <c r="G238" s="18"/>
      <c r="H238" s="18"/>
      <c r="I238" s="6"/>
      <c r="J238" s="3" t="e">
        <f>J237-#REF!</f>
        <v>#REF!</v>
      </c>
      <c r="K238" s="5"/>
      <c r="L238" s="5"/>
    </row>
    <row r="239" spans="1:12" ht="12.75" hidden="1">
      <c r="A239" s="2" t="e">
        <f>#REF!+#REF!</f>
        <v>#REF!</v>
      </c>
      <c r="C239" s="10"/>
      <c r="D239" s="10"/>
      <c r="E239" s="10"/>
      <c r="F239" s="10"/>
      <c r="G239" s="10"/>
      <c r="H239" s="10"/>
      <c r="I239" s="6"/>
      <c r="J239" s="3" t="e">
        <f>J233+J235+J237</f>
        <v>#REF!</v>
      </c>
      <c r="K239" s="5"/>
      <c r="L239" s="5"/>
    </row>
    <row r="240" spans="1:12" ht="12.75" hidden="1">
      <c r="A240" s="2" t="e">
        <f>J212+#REF!</f>
        <v>#REF!</v>
      </c>
      <c r="C240" s="9"/>
      <c r="D240" s="9"/>
      <c r="E240" s="9"/>
      <c r="F240" s="9"/>
      <c r="G240" s="9"/>
      <c r="H240" s="9"/>
      <c r="I240" s="6"/>
      <c r="J240" s="3">
        <f>J27+J43+J60+J77+J95+J111+J128+J144+J161+J178+J194+J209-J207-J192-J175-J158-J141-J126-J108-J92-J74-J40-J56</f>
        <v>836082.2999999997</v>
      </c>
      <c r="K240" s="5"/>
      <c r="L240" s="5"/>
    </row>
    <row r="241" spans="1:12" ht="12.75" hidden="1">
      <c r="A241" s="2" t="e">
        <f>J226+#REF!</f>
        <v>#REF!</v>
      </c>
      <c r="C241" s="9"/>
      <c r="D241" s="9"/>
      <c r="E241" s="9"/>
      <c r="F241" s="9"/>
      <c r="G241" s="9"/>
      <c r="H241" s="9"/>
      <c r="I241" s="6"/>
      <c r="J241" s="3">
        <f>J240-J231</f>
        <v>82.1999999997206</v>
      </c>
      <c r="K241" s="5"/>
      <c r="L241" s="5"/>
    </row>
    <row r="242" spans="3:12" ht="12.75" hidden="1">
      <c r="C242" s="9"/>
      <c r="D242" s="9"/>
      <c r="E242" s="9"/>
      <c r="F242" s="9"/>
      <c r="G242" s="9"/>
      <c r="H242" s="9"/>
      <c r="I242" s="6"/>
      <c r="J242" s="3"/>
      <c r="K242" s="5"/>
      <c r="L242" s="5"/>
    </row>
    <row r="243" spans="3:12" ht="12.75" hidden="1">
      <c r="C243" s="8"/>
      <c r="D243" s="8"/>
      <c r="E243" s="8"/>
      <c r="F243" s="8"/>
      <c r="G243" s="8"/>
      <c r="H243" s="8"/>
      <c r="I243" s="5"/>
      <c r="J243" s="4"/>
      <c r="K243" s="5"/>
      <c r="L243" s="5"/>
    </row>
    <row r="244" spans="3:12" ht="12.75">
      <c r="C244" s="8"/>
      <c r="D244" s="8"/>
      <c r="E244" s="8"/>
      <c r="F244" s="8"/>
      <c r="G244" s="83">
        <f>G8+G30+G46+G63+G80+G98+G114+G131+G147+G164+G181+G197</f>
        <v>250819.79999999996</v>
      </c>
      <c r="H244" s="83">
        <f>H8+H30+H46+H63+H80+H98+H114+H131+H147+H164+H181+H197</f>
        <v>249468.50000000003</v>
      </c>
      <c r="I244" s="83">
        <f>I8+I30+I46+I63+I80+I98+I114+I131+I147+I164+I181+I197</f>
        <v>206617.29999999996</v>
      </c>
      <c r="J244" s="83">
        <f>J8+J30+J46+J63+J80+J98+J114+J131+J147+J164+J181+J197</f>
        <v>231857.09999999998</v>
      </c>
      <c r="K244" s="83"/>
      <c r="L244" s="5"/>
    </row>
    <row r="245" spans="3:16" ht="12.75">
      <c r="C245" s="8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</row>
    <row r="246" spans="3:12" ht="12.75">
      <c r="C246" s="8"/>
      <c r="D246" s="8"/>
      <c r="E246" s="8"/>
      <c r="F246" s="8"/>
      <c r="G246" s="83">
        <f>G207+G192+G175+G158+G141+G126+G108+G92+G74+G56+G40</f>
        <v>82569.50000000001</v>
      </c>
      <c r="H246" s="83">
        <f>H207+H192+H175+H158+H141+H126+H108+H92+H74+H56+H40</f>
        <v>101988.2</v>
      </c>
      <c r="I246" s="83">
        <f>I207+I192+I175+I158+I141+I126+I108+I92+I74+I56+I40</f>
        <v>93532.09999999999</v>
      </c>
      <c r="J246" s="83">
        <f>J207+J192+J175+J158+J141+J126+J108+J92+J74+J56+J40</f>
        <v>70568.09999999999</v>
      </c>
      <c r="K246" s="83"/>
      <c r="L246" s="5"/>
    </row>
    <row r="247" spans="9:12" ht="12.75">
      <c r="I247" s="5"/>
      <c r="J247" s="4"/>
      <c r="K247" s="5"/>
      <c r="L247" s="5"/>
    </row>
    <row r="248" spans="9:12" ht="12.75">
      <c r="I248" s="5"/>
      <c r="J248" s="4"/>
      <c r="K248" s="5"/>
      <c r="L248" s="5"/>
    </row>
    <row r="249" spans="9:12" ht="12.75">
      <c r="I249" s="5"/>
      <c r="J249" s="4"/>
      <c r="K249" s="5"/>
      <c r="L249" s="5"/>
    </row>
    <row r="250" spans="3:12" ht="12.75">
      <c r="C250" s="8"/>
      <c r="D250" s="8"/>
      <c r="E250" s="8"/>
      <c r="F250" s="8"/>
      <c r="G250" s="8"/>
      <c r="H250" s="8"/>
      <c r="I250" s="5"/>
      <c r="J250" s="4"/>
      <c r="K250" s="5"/>
      <c r="L250" s="5"/>
    </row>
    <row r="251" spans="3:12" ht="12.75">
      <c r="C251" s="8"/>
      <c r="D251" s="8"/>
      <c r="E251" s="8"/>
      <c r="F251" s="8"/>
      <c r="G251" s="8"/>
      <c r="H251" s="8"/>
      <c r="I251" s="5"/>
      <c r="J251" s="4"/>
      <c r="K251" s="5"/>
      <c r="L251" s="5"/>
    </row>
    <row r="252" spans="3:12" ht="12.75">
      <c r="C252" s="8"/>
      <c r="D252" s="8"/>
      <c r="E252" s="8"/>
      <c r="F252" s="8"/>
      <c r="G252" s="8"/>
      <c r="H252" s="8"/>
      <c r="I252" s="5"/>
      <c r="J252" s="4"/>
      <c r="K252" s="5"/>
      <c r="L252" s="5"/>
    </row>
    <row r="253" spans="3:12" ht="12.75">
      <c r="C253" s="8"/>
      <c r="D253" s="8"/>
      <c r="E253" s="8"/>
      <c r="F253" s="8"/>
      <c r="G253" s="8"/>
      <c r="H253" s="8"/>
      <c r="I253" s="5"/>
      <c r="J253" s="4"/>
      <c r="K253" s="5"/>
      <c r="L253" s="5"/>
    </row>
    <row r="254" spans="3:12" ht="12.75">
      <c r="C254" s="8"/>
      <c r="D254" s="8"/>
      <c r="E254" s="8"/>
      <c r="F254" s="8"/>
      <c r="G254" s="8"/>
      <c r="H254" s="8"/>
      <c r="I254" s="4"/>
      <c r="J254" s="4"/>
      <c r="K254" s="4"/>
      <c r="L254" s="5"/>
    </row>
    <row r="255" spans="3:12" ht="12.75">
      <c r="C255" s="8"/>
      <c r="D255" s="8"/>
      <c r="E255" s="8"/>
      <c r="F255" s="8"/>
      <c r="G255" s="8"/>
      <c r="H255" s="8"/>
      <c r="I255" s="5"/>
      <c r="J255" s="5"/>
      <c r="K255" s="5"/>
      <c r="L255" s="5"/>
    </row>
    <row r="256" spans="3:12" ht="12.75">
      <c r="C256" s="8"/>
      <c r="D256" s="8"/>
      <c r="E256" s="8"/>
      <c r="F256" s="8"/>
      <c r="G256" s="8"/>
      <c r="H256" s="8"/>
      <c r="I256" s="7"/>
      <c r="J256" s="4"/>
      <c r="K256" s="5"/>
      <c r="L256" s="5"/>
    </row>
  </sheetData>
  <sheetProtection password="CF7A" sheet="1"/>
  <mergeCells count="42">
    <mergeCell ref="A1:R1"/>
    <mergeCell ref="A211:R211"/>
    <mergeCell ref="Q4:Q6"/>
    <mergeCell ref="K4:K6"/>
    <mergeCell ref="L4:L6"/>
    <mergeCell ref="M4:M6"/>
    <mergeCell ref="N4:N6"/>
    <mergeCell ref="O4:O6"/>
    <mergeCell ref="P4:P6"/>
    <mergeCell ref="R4:R6"/>
    <mergeCell ref="A146:P146"/>
    <mergeCell ref="A145:M145"/>
    <mergeCell ref="A129:M129"/>
    <mergeCell ref="I4:I6"/>
    <mergeCell ref="J4:J6"/>
    <mergeCell ref="A79:P79"/>
    <mergeCell ref="A113:P113"/>
    <mergeCell ref="A210:M210"/>
    <mergeCell ref="A195:M195"/>
    <mergeCell ref="A162:M162"/>
    <mergeCell ref="A179:M179"/>
    <mergeCell ref="A180:P180"/>
    <mergeCell ref="A196:P196"/>
    <mergeCell ref="A163:P163"/>
    <mergeCell ref="A130:P130"/>
    <mergeCell ref="A2:M2"/>
    <mergeCell ref="A96:M96"/>
    <mergeCell ref="A112:M112"/>
    <mergeCell ref="A29:P29"/>
    <mergeCell ref="A45:P45"/>
    <mergeCell ref="F4:F6"/>
    <mergeCell ref="G4:G6"/>
    <mergeCell ref="H4:H6"/>
    <mergeCell ref="D4:D6"/>
    <mergeCell ref="A7:P7"/>
    <mergeCell ref="A78:M78"/>
    <mergeCell ref="A97:P97"/>
    <mergeCell ref="E4:E6"/>
    <mergeCell ref="A28:M28"/>
    <mergeCell ref="A61:M61"/>
    <mergeCell ref="C44:M44"/>
    <mergeCell ref="A62:P62"/>
  </mergeCells>
  <printOptions/>
  <pageMargins left="0" right="0" top="0.15748031496062992" bottom="0.15748031496062992" header="0.15748031496062992" footer="0.1968503937007874"/>
  <pageSetup fitToHeight="7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PageLayoutView="0" workbookViewId="0" topLeftCell="A1">
      <selection activeCell="A1" sqref="A1:K115"/>
    </sheetView>
  </sheetViews>
  <sheetFormatPr defaultColWidth="9.00390625" defaultRowHeight="12.75"/>
  <cols>
    <col min="2" max="2" width="60.125" style="0" customWidth="1"/>
    <col min="3" max="3" width="14.00390625" style="0" customWidth="1"/>
    <col min="4" max="4" width="14.25390625" style="0" customWidth="1"/>
    <col min="6" max="7" width="13.375" style="0" customWidth="1"/>
    <col min="9" max="9" width="13.875" style="0" customWidth="1"/>
    <col min="10" max="10" width="14.125" style="0" customWidth="1"/>
  </cols>
  <sheetData>
    <row r="1" spans="1:11" ht="15.75">
      <c r="A1" s="118" t="s">
        <v>244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3.5" thickBot="1">
      <c r="A2" s="119"/>
      <c r="B2" s="120"/>
      <c r="C2" s="121"/>
      <c r="D2" s="122"/>
      <c r="E2" s="123"/>
      <c r="F2" s="124"/>
      <c r="G2" s="125"/>
      <c r="H2" s="125"/>
      <c r="I2" s="126"/>
      <c r="J2" s="127"/>
      <c r="K2" s="127"/>
    </row>
    <row r="3" spans="1:11" ht="15">
      <c r="A3" s="128" t="s">
        <v>90</v>
      </c>
      <c r="B3" s="129" t="s">
        <v>91</v>
      </c>
      <c r="C3" s="130" t="s">
        <v>92</v>
      </c>
      <c r="D3" s="130"/>
      <c r="E3" s="130"/>
      <c r="F3" s="131" t="s">
        <v>93</v>
      </c>
      <c r="G3" s="131"/>
      <c r="H3" s="131"/>
      <c r="I3" s="132" t="s">
        <v>94</v>
      </c>
      <c r="J3" s="132"/>
      <c r="K3" s="133"/>
    </row>
    <row r="4" spans="1:11" ht="12.75" customHeight="1">
      <c r="A4" s="134"/>
      <c r="B4" s="135"/>
      <c r="C4" s="136" t="s">
        <v>95</v>
      </c>
      <c r="D4" s="136" t="s">
        <v>245</v>
      </c>
      <c r="E4" s="136" t="s">
        <v>96</v>
      </c>
      <c r="F4" s="136" t="s">
        <v>95</v>
      </c>
      <c r="G4" s="137" t="s">
        <v>245</v>
      </c>
      <c r="H4" s="137" t="s">
        <v>96</v>
      </c>
      <c r="I4" s="138" t="s">
        <v>95</v>
      </c>
      <c r="J4" s="139" t="s">
        <v>246</v>
      </c>
      <c r="K4" s="140" t="s">
        <v>96</v>
      </c>
    </row>
    <row r="5" spans="1:11" ht="48" customHeight="1">
      <c r="A5" s="134"/>
      <c r="B5" s="135"/>
      <c r="C5" s="141"/>
      <c r="D5" s="136"/>
      <c r="E5" s="142"/>
      <c r="F5" s="141"/>
      <c r="G5" s="137"/>
      <c r="H5" s="141"/>
      <c r="I5" s="143"/>
      <c r="J5" s="139"/>
      <c r="K5" s="144"/>
    </row>
    <row r="6" spans="1:11" ht="12.75" customHeight="1">
      <c r="A6" s="134"/>
      <c r="B6" s="145" t="s">
        <v>97</v>
      </c>
      <c r="C6" s="145"/>
      <c r="D6" s="145"/>
      <c r="E6" s="145"/>
      <c r="F6" s="145"/>
      <c r="G6" s="145"/>
      <c r="H6" s="145"/>
      <c r="I6" s="145"/>
      <c r="J6" s="145"/>
      <c r="K6" s="146"/>
    </row>
    <row r="7" spans="1:11" ht="12.75" customHeight="1">
      <c r="A7" s="134"/>
      <c r="B7" s="145"/>
      <c r="C7" s="145"/>
      <c r="D7" s="145"/>
      <c r="E7" s="145"/>
      <c r="F7" s="145"/>
      <c r="G7" s="145"/>
      <c r="H7" s="145"/>
      <c r="I7" s="145"/>
      <c r="J7" s="145"/>
      <c r="K7" s="146"/>
    </row>
    <row r="8" spans="1:11" ht="12.75" customHeight="1">
      <c r="A8" s="134"/>
      <c r="B8" s="145"/>
      <c r="C8" s="145"/>
      <c r="D8" s="145"/>
      <c r="E8" s="145"/>
      <c r="F8" s="145"/>
      <c r="G8" s="145"/>
      <c r="H8" s="145"/>
      <c r="I8" s="145"/>
      <c r="J8" s="145"/>
      <c r="K8" s="146"/>
    </row>
    <row r="9" spans="1:11" ht="15">
      <c r="A9" s="147" t="s">
        <v>98</v>
      </c>
      <c r="B9" s="148" t="s">
        <v>99</v>
      </c>
      <c r="C9" s="149">
        <f>SUM(C10:C16)</f>
        <v>274943.4</v>
      </c>
      <c r="D9" s="149">
        <f>SUM(D10:D16)</f>
        <v>231712.7</v>
      </c>
      <c r="E9" s="149">
        <f>D9/C9*100</f>
        <v>84.27650927427244</v>
      </c>
      <c r="F9" s="149">
        <f>F10+F11+F12+F13+F14+F15+F16</f>
        <v>191767.7</v>
      </c>
      <c r="G9" s="149">
        <f>SUM(G10:G16)</f>
        <v>160041.7</v>
      </c>
      <c r="H9" s="150">
        <f>G9/F9*100</f>
        <v>83.45602518046574</v>
      </c>
      <c r="I9" s="149">
        <f>SUM(I10:I16)</f>
        <v>466287.6</v>
      </c>
      <c r="J9" s="149">
        <f>SUM(J10:J16)</f>
        <v>391463</v>
      </c>
      <c r="K9" s="151">
        <f>J9/I9*100</f>
        <v>83.95312249349972</v>
      </c>
    </row>
    <row r="10" spans="1:11" ht="15">
      <c r="A10" s="152" t="s">
        <v>100</v>
      </c>
      <c r="B10" s="153" t="s">
        <v>101</v>
      </c>
      <c r="C10" s="154">
        <v>4117</v>
      </c>
      <c r="D10" s="154">
        <v>3391.5</v>
      </c>
      <c r="E10" s="154">
        <f>D10/C10*100</f>
        <v>82.37794510565945</v>
      </c>
      <c r="F10" s="155">
        <v>40054.4</v>
      </c>
      <c r="G10" s="155">
        <v>34797.4</v>
      </c>
      <c r="H10" s="155">
        <f>G10/F10*100</f>
        <v>86.87534952464648</v>
      </c>
      <c r="I10" s="156">
        <f aca="true" t="shared" si="0" ref="I10:J75">C10+F10</f>
        <v>44171.4</v>
      </c>
      <c r="J10" s="157">
        <f t="shared" si="0"/>
        <v>38188.9</v>
      </c>
      <c r="K10" s="158">
        <f aca="true" t="shared" si="1" ref="K10:K78">J10/I10*100</f>
        <v>86.4561684710016</v>
      </c>
    </row>
    <row r="11" spans="1:11" ht="30">
      <c r="A11" s="152" t="s">
        <v>102</v>
      </c>
      <c r="B11" s="153" t="s">
        <v>103</v>
      </c>
      <c r="C11" s="154">
        <v>7282.1</v>
      </c>
      <c r="D11" s="154">
        <v>6091.5</v>
      </c>
      <c r="E11" s="154">
        <f aca="true" t="shared" si="2" ref="E11:E18">D11/C11*100</f>
        <v>83.65032064926325</v>
      </c>
      <c r="F11" s="155">
        <v>0</v>
      </c>
      <c r="G11" s="155"/>
      <c r="H11" s="155">
        <v>0</v>
      </c>
      <c r="I11" s="156">
        <f t="shared" si="0"/>
        <v>7282.1</v>
      </c>
      <c r="J11" s="157">
        <f t="shared" si="0"/>
        <v>6091.5</v>
      </c>
      <c r="K11" s="158">
        <f t="shared" si="1"/>
        <v>83.65032064926325</v>
      </c>
    </row>
    <row r="12" spans="1:11" ht="15">
      <c r="A12" s="152" t="s">
        <v>104</v>
      </c>
      <c r="B12" s="153" t="s">
        <v>105</v>
      </c>
      <c r="C12" s="154">
        <v>127862.5</v>
      </c>
      <c r="D12" s="154">
        <v>111385.5</v>
      </c>
      <c r="E12" s="154">
        <f t="shared" si="2"/>
        <v>87.11350083097076</v>
      </c>
      <c r="F12" s="155">
        <v>118516.7</v>
      </c>
      <c r="G12" s="155">
        <v>99862.3</v>
      </c>
      <c r="H12" s="155">
        <f aca="true" t="shared" si="3" ref="H12:H18">G12/F12*100</f>
        <v>84.26010849103966</v>
      </c>
      <c r="I12" s="156">
        <f t="shared" si="0"/>
        <v>246379.2</v>
      </c>
      <c r="J12" s="157">
        <f t="shared" si="0"/>
        <v>211247.8</v>
      </c>
      <c r="K12" s="158">
        <f t="shared" si="1"/>
        <v>85.74092293505295</v>
      </c>
    </row>
    <row r="13" spans="1:11" ht="15">
      <c r="A13" s="152" t="s">
        <v>106</v>
      </c>
      <c r="B13" s="153" t="s">
        <v>107</v>
      </c>
      <c r="C13" s="154">
        <v>12</v>
      </c>
      <c r="D13" s="154">
        <v>12</v>
      </c>
      <c r="E13" s="154">
        <f t="shared" si="2"/>
        <v>100</v>
      </c>
      <c r="F13" s="155">
        <v>0</v>
      </c>
      <c r="G13" s="155"/>
      <c r="H13" s="155">
        <v>0</v>
      </c>
      <c r="I13" s="156">
        <f t="shared" si="0"/>
        <v>12</v>
      </c>
      <c r="J13" s="157">
        <f t="shared" si="0"/>
        <v>12</v>
      </c>
      <c r="K13" s="159"/>
    </row>
    <row r="14" spans="1:11" ht="15">
      <c r="A14" s="152" t="s">
        <v>108</v>
      </c>
      <c r="B14" s="153" t="s">
        <v>109</v>
      </c>
      <c r="C14" s="154">
        <v>28765.1</v>
      </c>
      <c r="D14" s="154">
        <v>24678.1</v>
      </c>
      <c r="E14" s="154">
        <f t="shared" si="2"/>
        <v>85.79181021446128</v>
      </c>
      <c r="F14" s="155">
        <v>0</v>
      </c>
      <c r="G14" s="155"/>
      <c r="H14" s="155">
        <v>0</v>
      </c>
      <c r="I14" s="156">
        <f>C14+F14</f>
        <v>28765.1</v>
      </c>
      <c r="J14" s="157">
        <f>D14+G14</f>
        <v>24678.1</v>
      </c>
      <c r="K14" s="158">
        <f t="shared" si="1"/>
        <v>85.79181021446128</v>
      </c>
    </row>
    <row r="15" spans="1:11" ht="15">
      <c r="A15" s="160" t="s">
        <v>110</v>
      </c>
      <c r="B15" s="153" t="s">
        <v>111</v>
      </c>
      <c r="C15" s="154">
        <v>4036</v>
      </c>
      <c r="D15" s="154"/>
      <c r="E15" s="154">
        <f t="shared" si="2"/>
        <v>0</v>
      </c>
      <c r="F15" s="155">
        <v>744.7</v>
      </c>
      <c r="G15" s="155"/>
      <c r="H15" s="155">
        <f t="shared" si="3"/>
        <v>0</v>
      </c>
      <c r="I15" s="156">
        <f t="shared" si="0"/>
        <v>4780.7</v>
      </c>
      <c r="J15" s="157">
        <f t="shared" si="0"/>
        <v>0</v>
      </c>
      <c r="K15" s="158">
        <f t="shared" si="1"/>
        <v>0</v>
      </c>
    </row>
    <row r="16" spans="1:11" ht="15">
      <c r="A16" s="152" t="s">
        <v>112</v>
      </c>
      <c r="B16" s="153" t="s">
        <v>113</v>
      </c>
      <c r="C16" s="154">
        <v>102868.7</v>
      </c>
      <c r="D16" s="154">
        <v>86154.1</v>
      </c>
      <c r="E16" s="154">
        <f t="shared" si="2"/>
        <v>83.7515201416952</v>
      </c>
      <c r="F16" s="155">
        <v>32451.9</v>
      </c>
      <c r="G16" s="155">
        <v>25382</v>
      </c>
      <c r="H16" s="155">
        <f>G16/F16*100</f>
        <v>78.21421858196284</v>
      </c>
      <c r="I16" s="156">
        <f>C16+F16-423.5</f>
        <v>134897.1</v>
      </c>
      <c r="J16" s="157">
        <f>D16+G16-291.4</f>
        <v>111244.70000000001</v>
      </c>
      <c r="K16" s="158">
        <f t="shared" si="1"/>
        <v>82.46633915777286</v>
      </c>
    </row>
    <row r="17" spans="1:11" ht="15">
      <c r="A17" s="147" t="s">
        <v>114</v>
      </c>
      <c r="B17" s="148" t="s">
        <v>115</v>
      </c>
      <c r="C17" s="149">
        <f aca="true" t="shared" si="4" ref="C17:J17">C18</f>
        <v>3043.8</v>
      </c>
      <c r="D17" s="149">
        <f t="shared" si="4"/>
        <v>2507</v>
      </c>
      <c r="E17" s="149">
        <f t="shared" si="4"/>
        <v>82.36415007556343</v>
      </c>
      <c r="F17" s="149">
        <f t="shared" si="4"/>
        <v>3043.8</v>
      </c>
      <c r="G17" s="149">
        <f t="shared" si="4"/>
        <v>2071.8</v>
      </c>
      <c r="H17" s="161">
        <f t="shared" si="4"/>
        <v>68.0662329982259</v>
      </c>
      <c r="I17" s="149">
        <f t="shared" si="4"/>
        <v>3043.8</v>
      </c>
      <c r="J17" s="149">
        <f t="shared" si="4"/>
        <v>2071.8</v>
      </c>
      <c r="K17" s="162">
        <f t="shared" si="1"/>
        <v>68.0662329982259</v>
      </c>
    </row>
    <row r="18" spans="1:11" ht="15">
      <c r="A18" s="152" t="s">
        <v>116</v>
      </c>
      <c r="B18" s="153" t="s">
        <v>117</v>
      </c>
      <c r="C18" s="154">
        <v>3043.8</v>
      </c>
      <c r="D18" s="154">
        <v>2507</v>
      </c>
      <c r="E18" s="154">
        <f t="shared" si="2"/>
        <v>82.36415007556343</v>
      </c>
      <c r="F18" s="155">
        <v>3043.8</v>
      </c>
      <c r="G18" s="155">
        <v>2071.8</v>
      </c>
      <c r="H18" s="155">
        <f t="shared" si="3"/>
        <v>68.0662329982259</v>
      </c>
      <c r="I18" s="156">
        <f>C18+F18-3043.8</f>
        <v>3043.8</v>
      </c>
      <c r="J18" s="157">
        <f>D18+G18-2507</f>
        <v>2071.8</v>
      </c>
      <c r="K18" s="158">
        <f t="shared" si="1"/>
        <v>68.0662329982259</v>
      </c>
    </row>
    <row r="19" spans="1:11" ht="12.75" customHeight="1">
      <c r="A19" s="163" t="s">
        <v>118</v>
      </c>
      <c r="B19" s="164" t="s">
        <v>119</v>
      </c>
      <c r="C19" s="165">
        <f>C22+C23+C21</f>
        <v>18105.8</v>
      </c>
      <c r="D19" s="165">
        <f>D22+D23+D21</f>
        <v>10722.8</v>
      </c>
      <c r="E19" s="165">
        <f>D19/C19*100</f>
        <v>59.22301141070817</v>
      </c>
      <c r="F19" s="165">
        <f>F22+F23+F21</f>
        <v>8099.700000000001</v>
      </c>
      <c r="G19" s="165">
        <f>G22+G23+G21</f>
        <v>5077.5</v>
      </c>
      <c r="H19" s="165">
        <f>G19/F19*100</f>
        <v>62.68750694470165</v>
      </c>
      <c r="I19" s="165">
        <f>I22+I23+I21</f>
        <v>23559.3</v>
      </c>
      <c r="J19" s="165">
        <f>SUM(J21:J23)</f>
        <v>13800</v>
      </c>
      <c r="K19" s="165">
        <f>J19/I19*100</f>
        <v>58.57559435127529</v>
      </c>
    </row>
    <row r="20" spans="1:11" ht="12.75" customHeight="1">
      <c r="A20" s="163"/>
      <c r="B20" s="164"/>
      <c r="C20" s="165"/>
      <c r="D20" s="165"/>
      <c r="E20" s="165"/>
      <c r="F20" s="165"/>
      <c r="G20" s="165"/>
      <c r="H20" s="165"/>
      <c r="I20" s="165"/>
      <c r="J20" s="165"/>
      <c r="K20" s="165"/>
    </row>
    <row r="21" spans="1:11" ht="15">
      <c r="A21" s="160" t="s">
        <v>120</v>
      </c>
      <c r="B21" s="153" t="s">
        <v>121</v>
      </c>
      <c r="C21" s="154">
        <v>6151.7</v>
      </c>
      <c r="D21" s="154">
        <v>4135.5</v>
      </c>
      <c r="E21" s="154">
        <f aca="true" t="shared" si="5" ref="E21:E89">D21/C21*100</f>
        <v>67.22531983029081</v>
      </c>
      <c r="F21" s="155">
        <v>921.6</v>
      </c>
      <c r="G21" s="155">
        <v>523.6</v>
      </c>
      <c r="H21" s="155">
        <f>G21/F21*100</f>
        <v>56.814236111111114</v>
      </c>
      <c r="I21" s="156">
        <f>C21+F21-921.6</f>
        <v>6151.7</v>
      </c>
      <c r="J21" s="157">
        <f>D21+G21-644.9</f>
        <v>4014.2000000000003</v>
      </c>
      <c r="K21" s="158">
        <f>J21/I21*100</f>
        <v>65.25350716062228</v>
      </c>
    </row>
    <row r="22" spans="1:11" ht="15">
      <c r="A22" s="152" t="s">
        <v>122</v>
      </c>
      <c r="B22" s="153" t="s">
        <v>123</v>
      </c>
      <c r="C22" s="154">
        <v>9960.4</v>
      </c>
      <c r="D22" s="154">
        <v>6157.9</v>
      </c>
      <c r="E22" s="154">
        <f t="shared" si="5"/>
        <v>61.82382233645235</v>
      </c>
      <c r="F22" s="155">
        <v>6786.1</v>
      </c>
      <c r="G22" s="155">
        <v>4387.4</v>
      </c>
      <c r="H22" s="155">
        <f>G22/F22*100</f>
        <v>64.6527460544348</v>
      </c>
      <c r="I22" s="156">
        <f>C22+F22-1432.3</f>
        <v>15314.2</v>
      </c>
      <c r="J22" s="157">
        <f>D22+G22-1063.1</f>
        <v>9482.199999999999</v>
      </c>
      <c r="K22" s="158">
        <f>J22/I22*100</f>
        <v>61.91769730054458</v>
      </c>
    </row>
    <row r="23" spans="1:11" ht="30">
      <c r="A23" s="160" t="s">
        <v>124</v>
      </c>
      <c r="B23" s="153" t="s">
        <v>125</v>
      </c>
      <c r="C23" s="154">
        <v>1993.7</v>
      </c>
      <c r="D23" s="154">
        <v>429.4</v>
      </c>
      <c r="E23" s="154">
        <f t="shared" si="5"/>
        <v>21.537844209259166</v>
      </c>
      <c r="F23" s="155">
        <v>392</v>
      </c>
      <c r="G23" s="155">
        <v>166.5</v>
      </c>
      <c r="H23" s="155">
        <f>G23/F23*100</f>
        <v>42.474489795918366</v>
      </c>
      <c r="I23" s="156">
        <f>C23+F23-292.3</f>
        <v>2093.3999999999996</v>
      </c>
      <c r="J23" s="156">
        <f>D23+G23-292.3</f>
        <v>303.59999999999997</v>
      </c>
      <c r="K23" s="158">
        <f>J23/I23*100</f>
        <v>14.502722843221555</v>
      </c>
    </row>
    <row r="24" spans="1:11" ht="15">
      <c r="A24" s="147" t="s">
        <v>126</v>
      </c>
      <c r="B24" s="148" t="s">
        <v>127</v>
      </c>
      <c r="C24" s="149">
        <f>SUM(C25:C43)</f>
        <v>274760.2</v>
      </c>
      <c r="D24" s="149">
        <f>SUM(D25:D43)</f>
        <v>158601.89999999994</v>
      </c>
      <c r="E24" s="149">
        <f>D24/C24*100</f>
        <v>57.72375329469113</v>
      </c>
      <c r="F24" s="149">
        <f>SUM(F25:F43)</f>
        <v>120702.9</v>
      </c>
      <c r="G24" s="149">
        <f>SUM(G25:G43)</f>
        <v>80603.59999999999</v>
      </c>
      <c r="H24" s="150">
        <f>G24/F24*100</f>
        <v>66.77851153534836</v>
      </c>
      <c r="I24" s="149">
        <f>SUM(I25:I43)</f>
        <v>357289.8</v>
      </c>
      <c r="J24" s="149">
        <f>SUM(J25:J43)</f>
        <v>213716.19999999998</v>
      </c>
      <c r="K24" s="151">
        <f t="shared" si="1"/>
        <v>59.815925335679886</v>
      </c>
    </row>
    <row r="25" spans="1:11" ht="45">
      <c r="A25" s="160" t="s">
        <v>128</v>
      </c>
      <c r="B25" s="166" t="s">
        <v>129</v>
      </c>
      <c r="C25" s="154">
        <v>12595.8</v>
      </c>
      <c r="D25" s="154">
        <v>7908.6</v>
      </c>
      <c r="E25" s="154">
        <f t="shared" si="5"/>
        <v>62.78759586528844</v>
      </c>
      <c r="F25" s="154">
        <v>13575.6</v>
      </c>
      <c r="G25" s="155">
        <v>11381.2</v>
      </c>
      <c r="H25" s="155">
        <f>G25/F25*100</f>
        <v>83.83570523586434</v>
      </c>
      <c r="I25" s="156">
        <f>C25+F25-6455.3</f>
        <v>19716.100000000002</v>
      </c>
      <c r="J25" s="156">
        <f>D25+G25-6455.3</f>
        <v>12834.500000000004</v>
      </c>
      <c r="K25" s="158">
        <f t="shared" si="1"/>
        <v>65.0965454628451</v>
      </c>
    </row>
    <row r="26" spans="1:11" ht="15">
      <c r="A26" s="152" t="s">
        <v>130</v>
      </c>
      <c r="B26" s="153" t="s">
        <v>131</v>
      </c>
      <c r="C26" s="154">
        <v>43035</v>
      </c>
      <c r="D26" s="154">
        <v>40876.8</v>
      </c>
      <c r="E26" s="154">
        <f t="shared" si="5"/>
        <v>94.9850121993726</v>
      </c>
      <c r="F26" s="155">
        <v>0</v>
      </c>
      <c r="G26" s="155">
        <v>0</v>
      </c>
      <c r="H26" s="155">
        <v>0</v>
      </c>
      <c r="I26" s="167">
        <f t="shared" si="0"/>
        <v>43035</v>
      </c>
      <c r="J26" s="157">
        <f t="shared" si="0"/>
        <v>40876.8</v>
      </c>
      <c r="K26" s="158">
        <f t="shared" si="1"/>
        <v>94.9850121993726</v>
      </c>
    </row>
    <row r="27" spans="1:11" ht="15">
      <c r="A27" s="152" t="s">
        <v>132</v>
      </c>
      <c r="B27" s="153" t="s">
        <v>133</v>
      </c>
      <c r="C27" s="154">
        <v>10150</v>
      </c>
      <c r="D27" s="154">
        <v>4072.9</v>
      </c>
      <c r="E27" s="154">
        <f t="shared" si="5"/>
        <v>40.12709359605912</v>
      </c>
      <c r="F27" s="155">
        <v>0</v>
      </c>
      <c r="G27" s="155">
        <v>0</v>
      </c>
      <c r="H27" s="155">
        <v>0</v>
      </c>
      <c r="I27" s="156">
        <f t="shared" si="0"/>
        <v>10150</v>
      </c>
      <c r="J27" s="157">
        <f t="shared" si="0"/>
        <v>4072.9</v>
      </c>
      <c r="K27" s="158">
        <f t="shared" si="1"/>
        <v>40.12709359605912</v>
      </c>
    </row>
    <row r="28" spans="1:11" ht="30">
      <c r="A28" s="152" t="s">
        <v>132</v>
      </c>
      <c r="B28" s="153" t="s">
        <v>134</v>
      </c>
      <c r="C28" s="154">
        <v>17096</v>
      </c>
      <c r="D28" s="154">
        <v>15940.1</v>
      </c>
      <c r="E28" s="154">
        <f t="shared" si="5"/>
        <v>93.23876930276089</v>
      </c>
      <c r="F28" s="155">
        <v>13620.3</v>
      </c>
      <c r="G28" s="155">
        <v>10647.3</v>
      </c>
      <c r="H28" s="155">
        <f>G28/F28*100</f>
        <v>78.17228695403185</v>
      </c>
      <c r="I28" s="156">
        <f t="shared" si="0"/>
        <v>30716.3</v>
      </c>
      <c r="J28" s="157">
        <f t="shared" si="0"/>
        <v>26587.4</v>
      </c>
      <c r="K28" s="158">
        <f t="shared" si="1"/>
        <v>86.55795131575093</v>
      </c>
    </row>
    <row r="29" spans="1:11" ht="15">
      <c r="A29" s="152" t="s">
        <v>132</v>
      </c>
      <c r="B29" s="153" t="s">
        <v>135</v>
      </c>
      <c r="C29" s="154">
        <v>12931</v>
      </c>
      <c r="D29" s="154">
        <v>9749.9</v>
      </c>
      <c r="E29" s="154">
        <f t="shared" si="5"/>
        <v>75.39942773180728</v>
      </c>
      <c r="F29" s="155">
        <v>0</v>
      </c>
      <c r="G29" s="155">
        <v>0</v>
      </c>
      <c r="H29" s="155">
        <v>0</v>
      </c>
      <c r="I29" s="156">
        <f t="shared" si="0"/>
        <v>12931</v>
      </c>
      <c r="J29" s="157">
        <f t="shared" si="0"/>
        <v>9749.9</v>
      </c>
      <c r="K29" s="158">
        <f t="shared" si="1"/>
        <v>75.39942773180728</v>
      </c>
    </row>
    <row r="30" spans="1:11" ht="45">
      <c r="A30" s="152" t="s">
        <v>136</v>
      </c>
      <c r="B30" s="168" t="s">
        <v>137</v>
      </c>
      <c r="C30" s="154">
        <v>5611.2</v>
      </c>
      <c r="D30" s="154">
        <v>5154.7</v>
      </c>
      <c r="E30" s="154">
        <f t="shared" si="5"/>
        <v>91.86448531508412</v>
      </c>
      <c r="F30" s="155">
        <v>7332.2</v>
      </c>
      <c r="G30" s="155">
        <v>2786</v>
      </c>
      <c r="H30" s="155">
        <f aca="true" t="shared" si="6" ref="H30:H36">G30/F30*100</f>
        <v>37.99678132074958</v>
      </c>
      <c r="I30" s="156">
        <f t="shared" si="0"/>
        <v>12943.4</v>
      </c>
      <c r="J30" s="157">
        <f t="shared" si="0"/>
        <v>7940.7</v>
      </c>
      <c r="K30" s="158">
        <f t="shared" si="1"/>
        <v>61.349413600754055</v>
      </c>
    </row>
    <row r="31" spans="1:11" ht="45">
      <c r="A31" s="160" t="s">
        <v>136</v>
      </c>
      <c r="B31" s="168" t="s">
        <v>138</v>
      </c>
      <c r="C31" s="154">
        <v>96246.1</v>
      </c>
      <c r="D31" s="154">
        <v>21890.9</v>
      </c>
      <c r="E31" s="154">
        <f t="shared" si="5"/>
        <v>22.744713811780425</v>
      </c>
      <c r="F31" s="155">
        <v>19176.1</v>
      </c>
      <c r="G31" s="155">
        <v>6994.5</v>
      </c>
      <c r="H31" s="155">
        <f t="shared" si="6"/>
        <v>36.475091389802934</v>
      </c>
      <c r="I31" s="156">
        <f>C31+F31-19176.1</f>
        <v>96246.1</v>
      </c>
      <c r="J31" s="157">
        <f>D31+G31-6994.6</f>
        <v>21890.800000000003</v>
      </c>
      <c r="K31" s="158">
        <f>J31/I31*100</f>
        <v>22.744609911466544</v>
      </c>
    </row>
    <row r="32" spans="1:11" ht="90">
      <c r="A32" s="160" t="s">
        <v>136</v>
      </c>
      <c r="B32" s="153" t="s">
        <v>139</v>
      </c>
      <c r="C32" s="154">
        <v>4000</v>
      </c>
      <c r="D32" s="154">
        <v>4000</v>
      </c>
      <c r="E32" s="154">
        <f t="shared" si="5"/>
        <v>100</v>
      </c>
      <c r="F32" s="155">
        <v>4000</v>
      </c>
      <c r="G32" s="155">
        <v>4000</v>
      </c>
      <c r="H32" s="155">
        <f t="shared" si="6"/>
        <v>100</v>
      </c>
      <c r="I32" s="156">
        <f>C32+F32-4000</f>
        <v>4000</v>
      </c>
      <c r="J32" s="157">
        <f>D32+G32-4000</f>
        <v>4000</v>
      </c>
      <c r="K32" s="158">
        <f>J32/I32*100</f>
        <v>100</v>
      </c>
    </row>
    <row r="33" spans="1:11" ht="30">
      <c r="A33" s="160" t="s">
        <v>136</v>
      </c>
      <c r="B33" s="153" t="s">
        <v>140</v>
      </c>
      <c r="C33" s="154">
        <v>9021.9</v>
      </c>
      <c r="D33" s="154">
        <v>8809.7</v>
      </c>
      <c r="E33" s="154">
        <f t="shared" si="5"/>
        <v>97.64794555470579</v>
      </c>
      <c r="F33" s="155">
        <v>6706.9</v>
      </c>
      <c r="G33" s="155">
        <v>6706.9</v>
      </c>
      <c r="H33" s="155">
        <f t="shared" si="6"/>
        <v>100</v>
      </c>
      <c r="I33" s="156">
        <f>C33+F33-6706.9</f>
        <v>9021.9</v>
      </c>
      <c r="J33" s="157">
        <f>D33+G33-6706.9</f>
        <v>8809.7</v>
      </c>
      <c r="K33" s="158">
        <f>J33/I33*100</f>
        <v>97.64794555470579</v>
      </c>
    </row>
    <row r="34" spans="1:11" ht="30">
      <c r="A34" s="160" t="s">
        <v>136</v>
      </c>
      <c r="B34" s="153" t="s">
        <v>141</v>
      </c>
      <c r="C34" s="154"/>
      <c r="D34" s="154"/>
      <c r="E34" s="154"/>
      <c r="F34" s="155">
        <v>49906.9</v>
      </c>
      <c r="G34" s="155">
        <v>34138.1</v>
      </c>
      <c r="H34" s="155">
        <f t="shared" si="6"/>
        <v>68.40356744257807</v>
      </c>
      <c r="I34" s="156">
        <f>C34+F34</f>
        <v>49906.9</v>
      </c>
      <c r="J34" s="157">
        <f t="shared" si="0"/>
        <v>34138.1</v>
      </c>
      <c r="K34" s="158">
        <f t="shared" si="1"/>
        <v>68.40356744257807</v>
      </c>
    </row>
    <row r="35" spans="1:11" ht="15">
      <c r="A35" s="152" t="s">
        <v>142</v>
      </c>
      <c r="B35" s="153" t="s">
        <v>143</v>
      </c>
      <c r="C35" s="154">
        <v>3896.4</v>
      </c>
      <c r="D35" s="154">
        <v>3063.9</v>
      </c>
      <c r="E35" s="154">
        <f t="shared" si="5"/>
        <v>78.6341238065907</v>
      </c>
      <c r="F35" s="155">
        <v>4549.9</v>
      </c>
      <c r="G35" s="155">
        <v>3225.7</v>
      </c>
      <c r="H35" s="169">
        <f t="shared" si="6"/>
        <v>70.89606364975054</v>
      </c>
      <c r="I35" s="156">
        <f t="shared" si="0"/>
        <v>8446.3</v>
      </c>
      <c r="J35" s="157">
        <f t="shared" si="0"/>
        <v>6289.6</v>
      </c>
      <c r="K35" s="158">
        <f t="shared" si="1"/>
        <v>74.46574239607877</v>
      </c>
    </row>
    <row r="36" spans="1:11" ht="45">
      <c r="A36" s="152" t="s">
        <v>144</v>
      </c>
      <c r="B36" s="168" t="s">
        <v>145</v>
      </c>
      <c r="C36" s="154">
        <v>3218.6</v>
      </c>
      <c r="D36" s="154">
        <v>2009.9</v>
      </c>
      <c r="E36" s="170">
        <f t="shared" si="5"/>
        <v>62.44640526937179</v>
      </c>
      <c r="F36" s="155">
        <v>1235</v>
      </c>
      <c r="G36" s="155">
        <v>626.4</v>
      </c>
      <c r="H36" s="169">
        <f t="shared" si="6"/>
        <v>50.720647773279346</v>
      </c>
      <c r="I36" s="156">
        <f>C36+F36-1235</f>
        <v>3218.6000000000004</v>
      </c>
      <c r="J36" s="157">
        <f>D36+G36-1235</f>
        <v>1401.3000000000002</v>
      </c>
      <c r="K36" s="158">
        <f t="shared" si="1"/>
        <v>43.537562915553345</v>
      </c>
    </row>
    <row r="37" spans="1:11" ht="60">
      <c r="A37" s="152" t="s">
        <v>144</v>
      </c>
      <c r="B37" s="168" t="s">
        <v>146</v>
      </c>
      <c r="C37" s="154">
        <v>4500</v>
      </c>
      <c r="D37" s="155">
        <v>4470</v>
      </c>
      <c r="E37" s="154">
        <f t="shared" si="5"/>
        <v>99.33333333333333</v>
      </c>
      <c r="F37" s="155">
        <v>0</v>
      </c>
      <c r="G37" s="155">
        <v>0</v>
      </c>
      <c r="H37" s="169">
        <v>0</v>
      </c>
      <c r="I37" s="156">
        <f t="shared" si="0"/>
        <v>4500</v>
      </c>
      <c r="J37" s="157">
        <f t="shared" si="0"/>
        <v>4470</v>
      </c>
      <c r="K37" s="158">
        <f t="shared" si="1"/>
        <v>99.33333333333333</v>
      </c>
    </row>
    <row r="38" spans="1:11" ht="105">
      <c r="A38" s="152" t="s">
        <v>144</v>
      </c>
      <c r="B38" s="168" t="s">
        <v>147</v>
      </c>
      <c r="C38" s="154">
        <f>26681.5+1730.5</f>
        <v>28412</v>
      </c>
      <c r="D38" s="155">
        <v>20086.6</v>
      </c>
      <c r="E38" s="170">
        <f t="shared" si="5"/>
        <v>70.69759256652118</v>
      </c>
      <c r="F38" s="155"/>
      <c r="G38" s="155"/>
      <c r="H38" s="169"/>
      <c r="I38" s="156">
        <f t="shared" si="0"/>
        <v>28412</v>
      </c>
      <c r="J38" s="157">
        <f t="shared" si="0"/>
        <v>20086.6</v>
      </c>
      <c r="K38" s="158">
        <f t="shared" si="1"/>
        <v>70.69759256652118</v>
      </c>
    </row>
    <row r="39" spans="1:11" ht="60">
      <c r="A39" s="160" t="s">
        <v>144</v>
      </c>
      <c r="B39" s="168" t="s">
        <v>148</v>
      </c>
      <c r="C39" s="154">
        <f>17547.9+1463.8</f>
        <v>19011.7</v>
      </c>
      <c r="D39" s="155">
        <v>9459.8</v>
      </c>
      <c r="E39" s="170">
        <f t="shared" si="5"/>
        <v>49.757780735021065</v>
      </c>
      <c r="F39" s="155"/>
      <c r="G39" s="155"/>
      <c r="H39" s="169"/>
      <c r="I39" s="156">
        <f t="shared" si="0"/>
        <v>19011.7</v>
      </c>
      <c r="J39" s="157">
        <f t="shared" si="0"/>
        <v>9459.8</v>
      </c>
      <c r="K39" s="158">
        <f t="shared" si="1"/>
        <v>49.757780735021065</v>
      </c>
    </row>
    <row r="40" spans="1:11" ht="75">
      <c r="A40" s="160" t="s">
        <v>144</v>
      </c>
      <c r="B40" s="168" t="s">
        <v>247</v>
      </c>
      <c r="C40" s="154">
        <v>2800</v>
      </c>
      <c r="D40" s="155">
        <v>0</v>
      </c>
      <c r="E40" s="170">
        <f t="shared" si="5"/>
        <v>0</v>
      </c>
      <c r="F40" s="155"/>
      <c r="G40" s="155"/>
      <c r="H40" s="169"/>
      <c r="I40" s="156">
        <f t="shared" si="0"/>
        <v>2800</v>
      </c>
      <c r="J40" s="157">
        <f t="shared" si="0"/>
        <v>0</v>
      </c>
      <c r="K40" s="158">
        <f t="shared" si="1"/>
        <v>0</v>
      </c>
    </row>
    <row r="41" spans="1:11" ht="30">
      <c r="A41" s="160" t="s">
        <v>144</v>
      </c>
      <c r="B41" s="168" t="s">
        <v>149</v>
      </c>
      <c r="C41" s="154">
        <v>1604</v>
      </c>
      <c r="D41" s="155">
        <v>980.3</v>
      </c>
      <c r="E41" s="170">
        <f t="shared" si="5"/>
        <v>61.11596009975062</v>
      </c>
      <c r="F41" s="155">
        <v>0</v>
      </c>
      <c r="G41" s="155">
        <v>0</v>
      </c>
      <c r="H41" s="169">
        <v>0</v>
      </c>
      <c r="I41" s="156">
        <f t="shared" si="0"/>
        <v>1604</v>
      </c>
      <c r="J41" s="157">
        <f t="shared" si="0"/>
        <v>980.3</v>
      </c>
      <c r="K41" s="158">
        <f t="shared" si="1"/>
        <v>61.11596009975062</v>
      </c>
    </row>
    <row r="42" spans="1:11" ht="30">
      <c r="A42" s="160" t="s">
        <v>144</v>
      </c>
      <c r="B42" s="168" t="s">
        <v>150</v>
      </c>
      <c r="C42" s="154">
        <v>30.5</v>
      </c>
      <c r="D42" s="155">
        <v>30.3</v>
      </c>
      <c r="E42" s="170">
        <f t="shared" si="5"/>
        <v>99.34426229508196</v>
      </c>
      <c r="F42" s="155"/>
      <c r="G42" s="155"/>
      <c r="H42" s="169">
        <v>0</v>
      </c>
      <c r="I42" s="156">
        <f t="shared" si="0"/>
        <v>30.5</v>
      </c>
      <c r="J42" s="157">
        <f t="shared" si="0"/>
        <v>30.3</v>
      </c>
      <c r="K42" s="158">
        <f t="shared" si="1"/>
        <v>99.34426229508196</v>
      </c>
    </row>
    <row r="43" spans="1:11" ht="60">
      <c r="A43" s="160" t="s">
        <v>144</v>
      </c>
      <c r="B43" s="168" t="s">
        <v>151</v>
      </c>
      <c r="C43" s="154">
        <v>600</v>
      </c>
      <c r="D43" s="155">
        <v>97.5</v>
      </c>
      <c r="E43" s="170">
        <f t="shared" si="5"/>
        <v>16.25</v>
      </c>
      <c r="F43" s="155">
        <v>600</v>
      </c>
      <c r="G43" s="155">
        <v>97.5</v>
      </c>
      <c r="H43" s="169">
        <f>G43/F43*100</f>
        <v>16.25</v>
      </c>
      <c r="I43" s="156">
        <f>C43+F43-600</f>
        <v>600</v>
      </c>
      <c r="J43" s="157">
        <f>D43+G43-97.5</f>
        <v>97.5</v>
      </c>
      <c r="K43" s="159">
        <f t="shared" si="1"/>
        <v>16.25</v>
      </c>
    </row>
    <row r="44" spans="1:11" ht="14.25">
      <c r="A44" s="147" t="s">
        <v>152</v>
      </c>
      <c r="B44" s="148" t="s">
        <v>153</v>
      </c>
      <c r="C44" s="171">
        <f>SUM(C45:C64)</f>
        <v>389236.9</v>
      </c>
      <c r="D44" s="171">
        <f>SUM(D45:D64)</f>
        <v>175037.30000000002</v>
      </c>
      <c r="E44" s="149">
        <f t="shared" si="5"/>
        <v>44.96934900057009</v>
      </c>
      <c r="F44" s="172">
        <f>SUM(F45:F64)</f>
        <v>191344.09999999998</v>
      </c>
      <c r="G44" s="172">
        <f>SUM(G45:G64)</f>
        <v>83702.20000000001</v>
      </c>
      <c r="H44" s="172">
        <f>G44/F44*100</f>
        <v>43.74433285374361</v>
      </c>
      <c r="I44" s="171">
        <f>SUM(I45:I64)</f>
        <v>496113.9000000001</v>
      </c>
      <c r="J44" s="171">
        <f>SUM(J45:J64)</f>
        <v>244508.4</v>
      </c>
      <c r="K44" s="151">
        <f t="shared" si="1"/>
        <v>49.28473078460409</v>
      </c>
    </row>
    <row r="45" spans="1:11" ht="75">
      <c r="A45" s="152" t="s">
        <v>154</v>
      </c>
      <c r="B45" s="153" t="s">
        <v>155</v>
      </c>
      <c r="C45" s="154">
        <f>96578+122527.3</f>
        <v>219105.3</v>
      </c>
      <c r="D45" s="154">
        <v>109948.6</v>
      </c>
      <c r="E45" s="154">
        <f t="shared" si="5"/>
        <v>50.180712196373165</v>
      </c>
      <c r="F45" s="155">
        <v>0</v>
      </c>
      <c r="G45" s="155">
        <v>0</v>
      </c>
      <c r="H45" s="155">
        <v>0</v>
      </c>
      <c r="I45" s="156">
        <f t="shared" si="0"/>
        <v>219105.3</v>
      </c>
      <c r="J45" s="157">
        <f t="shared" si="0"/>
        <v>109948.6</v>
      </c>
      <c r="K45" s="158">
        <f t="shared" si="1"/>
        <v>50.180712196373165</v>
      </c>
    </row>
    <row r="46" spans="1:11" ht="45">
      <c r="A46" s="152" t="s">
        <v>154</v>
      </c>
      <c r="B46" s="153" t="s">
        <v>156</v>
      </c>
      <c r="C46" s="154">
        <v>1700</v>
      </c>
      <c r="D46" s="154">
        <v>1316.2</v>
      </c>
      <c r="E46" s="154">
        <f t="shared" si="5"/>
        <v>77.42352941176472</v>
      </c>
      <c r="F46" s="155"/>
      <c r="G46" s="155"/>
      <c r="H46" s="155"/>
      <c r="I46" s="156">
        <f t="shared" si="0"/>
        <v>1700</v>
      </c>
      <c r="J46" s="157">
        <f t="shared" si="0"/>
        <v>1316.2</v>
      </c>
      <c r="K46" s="158">
        <f t="shared" si="1"/>
        <v>77.42352941176472</v>
      </c>
    </row>
    <row r="47" spans="1:11" ht="15">
      <c r="A47" s="160" t="s">
        <v>154</v>
      </c>
      <c r="B47" s="168" t="s">
        <v>157</v>
      </c>
      <c r="C47" s="154">
        <v>206.8</v>
      </c>
      <c r="D47" s="154"/>
      <c r="E47" s="154">
        <f t="shared" si="5"/>
        <v>0</v>
      </c>
      <c r="F47" s="155"/>
      <c r="G47" s="155"/>
      <c r="H47" s="155"/>
      <c r="I47" s="156">
        <f>C47+F47</f>
        <v>206.8</v>
      </c>
      <c r="J47" s="157">
        <f>D47+G47</f>
        <v>0</v>
      </c>
      <c r="K47" s="159">
        <f t="shared" si="1"/>
        <v>0</v>
      </c>
    </row>
    <row r="48" spans="1:11" ht="30">
      <c r="A48" s="160" t="s">
        <v>154</v>
      </c>
      <c r="B48" s="153" t="s">
        <v>158</v>
      </c>
      <c r="C48" s="154"/>
      <c r="D48" s="154"/>
      <c r="E48" s="154"/>
      <c r="F48" s="155">
        <v>32181.1</v>
      </c>
      <c r="G48" s="155">
        <v>23495.5</v>
      </c>
      <c r="H48" s="155">
        <f>G48/F48*100</f>
        <v>73.01024514388881</v>
      </c>
      <c r="I48" s="156">
        <f t="shared" si="0"/>
        <v>32181.1</v>
      </c>
      <c r="J48" s="157">
        <f t="shared" si="0"/>
        <v>23495.5</v>
      </c>
      <c r="K48" s="158">
        <f t="shared" si="1"/>
        <v>73.01024514388881</v>
      </c>
    </row>
    <row r="49" spans="1:11" ht="120">
      <c r="A49" s="152" t="s">
        <v>159</v>
      </c>
      <c r="B49" s="153" t="s">
        <v>160</v>
      </c>
      <c r="C49" s="154">
        <v>7123.6</v>
      </c>
      <c r="D49" s="170">
        <v>6108.4</v>
      </c>
      <c r="E49" s="154">
        <f t="shared" si="5"/>
        <v>85.74877870739512</v>
      </c>
      <c r="F49" s="155"/>
      <c r="G49" s="155"/>
      <c r="H49" s="155"/>
      <c r="I49" s="156">
        <f t="shared" si="0"/>
        <v>7123.6</v>
      </c>
      <c r="J49" s="157">
        <f t="shared" si="0"/>
        <v>6108.4</v>
      </c>
      <c r="K49" s="158">
        <f t="shared" si="1"/>
        <v>85.74877870739512</v>
      </c>
    </row>
    <row r="50" spans="1:11" ht="105">
      <c r="A50" s="152" t="s">
        <v>159</v>
      </c>
      <c r="B50" s="153" t="s">
        <v>161</v>
      </c>
      <c r="C50" s="154">
        <v>7900.9</v>
      </c>
      <c r="D50" s="154">
        <v>7399.8</v>
      </c>
      <c r="E50" s="154">
        <f t="shared" si="5"/>
        <v>93.65768456758092</v>
      </c>
      <c r="F50" s="155"/>
      <c r="G50" s="155"/>
      <c r="H50" s="155"/>
      <c r="I50" s="156">
        <f t="shared" si="0"/>
        <v>7900.9</v>
      </c>
      <c r="J50" s="157">
        <f t="shared" si="0"/>
        <v>7399.8</v>
      </c>
      <c r="K50" s="158">
        <f t="shared" si="1"/>
        <v>93.65768456758092</v>
      </c>
    </row>
    <row r="51" spans="1:11" ht="105">
      <c r="A51" s="160" t="s">
        <v>159</v>
      </c>
      <c r="B51" s="153" t="s">
        <v>162</v>
      </c>
      <c r="C51" s="154">
        <v>6250.4</v>
      </c>
      <c r="D51" s="154">
        <v>3521.6</v>
      </c>
      <c r="E51" s="154">
        <f t="shared" si="5"/>
        <v>56.34199411237682</v>
      </c>
      <c r="F51" s="155"/>
      <c r="G51" s="155"/>
      <c r="H51" s="155"/>
      <c r="I51" s="156">
        <f t="shared" si="0"/>
        <v>6250.4</v>
      </c>
      <c r="J51" s="157">
        <f t="shared" si="0"/>
        <v>3521.6</v>
      </c>
      <c r="K51" s="158">
        <f t="shared" si="1"/>
        <v>56.34199411237682</v>
      </c>
    </row>
    <row r="52" spans="1:11" ht="105">
      <c r="A52" s="160" t="s">
        <v>159</v>
      </c>
      <c r="B52" s="153" t="s">
        <v>163</v>
      </c>
      <c r="C52" s="154">
        <v>9375.6</v>
      </c>
      <c r="D52" s="154">
        <v>4654</v>
      </c>
      <c r="E52" s="154">
        <f t="shared" si="5"/>
        <v>49.63948973932335</v>
      </c>
      <c r="F52" s="155"/>
      <c r="G52" s="155"/>
      <c r="H52" s="155"/>
      <c r="I52" s="156">
        <f t="shared" si="0"/>
        <v>9375.6</v>
      </c>
      <c r="J52" s="157">
        <f t="shared" si="0"/>
        <v>4654</v>
      </c>
      <c r="K52" s="158">
        <f t="shared" si="1"/>
        <v>49.63948973932335</v>
      </c>
    </row>
    <row r="53" spans="1:11" ht="140.25">
      <c r="A53" s="152" t="s">
        <v>159</v>
      </c>
      <c r="B53" s="173" t="s">
        <v>164</v>
      </c>
      <c r="C53" s="154">
        <v>51757.9</v>
      </c>
      <c r="D53" s="154">
        <v>26508.3</v>
      </c>
      <c r="E53" s="154">
        <f>D53/C53*100</f>
        <v>51.21594964247004</v>
      </c>
      <c r="F53" s="155"/>
      <c r="G53" s="155"/>
      <c r="H53" s="155"/>
      <c r="I53" s="156">
        <f>C53+F53</f>
        <v>51757.9</v>
      </c>
      <c r="J53" s="157">
        <f>D53+G53</f>
        <v>26508.3</v>
      </c>
      <c r="K53" s="158">
        <f>J53/I53*100</f>
        <v>51.21594964247004</v>
      </c>
    </row>
    <row r="54" spans="1:11" ht="135">
      <c r="A54" s="160" t="s">
        <v>159</v>
      </c>
      <c r="B54" s="168" t="s">
        <v>165</v>
      </c>
      <c r="C54" s="154">
        <v>71967.1</v>
      </c>
      <c r="D54" s="154">
        <v>6161.6</v>
      </c>
      <c r="E54" s="154">
        <f t="shared" si="5"/>
        <v>8.561689994455799</v>
      </c>
      <c r="F54" s="155">
        <f>71967.1+2357.8</f>
        <v>74324.90000000001</v>
      </c>
      <c r="G54" s="155">
        <v>8414.5</v>
      </c>
      <c r="H54" s="155">
        <f>G54/F54*100</f>
        <v>11.32123958458067</v>
      </c>
      <c r="I54" s="156">
        <f>C54+F54-71967.1</f>
        <v>74324.9</v>
      </c>
      <c r="J54" s="157">
        <f>D54+G54-6161.6</f>
        <v>8414.5</v>
      </c>
      <c r="K54" s="158">
        <f t="shared" si="1"/>
        <v>11.321239584580672</v>
      </c>
    </row>
    <row r="55" spans="1:11" ht="45">
      <c r="A55" s="160" t="s">
        <v>159</v>
      </c>
      <c r="B55" s="168" t="s">
        <v>166</v>
      </c>
      <c r="C55" s="154"/>
      <c r="D55" s="154"/>
      <c r="E55" s="154"/>
      <c r="F55" s="155"/>
      <c r="G55" s="155"/>
      <c r="H55" s="155"/>
      <c r="I55" s="156">
        <f>C55+F55</f>
        <v>0</v>
      </c>
      <c r="J55" s="157">
        <f>D55+G55</f>
        <v>0</v>
      </c>
      <c r="K55" s="158" t="e">
        <f t="shared" si="1"/>
        <v>#DIV/0!</v>
      </c>
    </row>
    <row r="56" spans="1:11" ht="30">
      <c r="A56" s="160" t="s">
        <v>159</v>
      </c>
      <c r="B56" s="168" t="s">
        <v>167</v>
      </c>
      <c r="C56" s="154">
        <v>100.2</v>
      </c>
      <c r="D56" s="154">
        <v>100.2</v>
      </c>
      <c r="E56" s="154">
        <f t="shared" si="5"/>
        <v>100</v>
      </c>
      <c r="F56" s="155"/>
      <c r="G56" s="155"/>
      <c r="H56" s="155"/>
      <c r="I56" s="156">
        <f>C56+F56</f>
        <v>100.2</v>
      </c>
      <c r="J56" s="157">
        <f>D56+G56</f>
        <v>100.2</v>
      </c>
      <c r="K56" s="158">
        <f t="shared" si="1"/>
        <v>100</v>
      </c>
    </row>
    <row r="57" spans="1:11" ht="60">
      <c r="A57" s="160" t="s">
        <v>159</v>
      </c>
      <c r="B57" s="168" t="s">
        <v>168</v>
      </c>
      <c r="C57" s="154"/>
      <c r="D57" s="154"/>
      <c r="E57" s="154"/>
      <c r="F57" s="155">
        <v>11267.9</v>
      </c>
      <c r="G57" s="155">
        <v>7255.8</v>
      </c>
      <c r="H57" s="155">
        <f aca="true" t="shared" si="7" ref="H57:H63">G57/F57*100</f>
        <v>64.39354271869647</v>
      </c>
      <c r="I57" s="156">
        <f t="shared" si="0"/>
        <v>11267.9</v>
      </c>
      <c r="J57" s="157">
        <f>D57+G57</f>
        <v>7255.8</v>
      </c>
      <c r="K57" s="159">
        <f t="shared" si="1"/>
        <v>64.39354271869647</v>
      </c>
    </row>
    <row r="58" spans="1:11" ht="15">
      <c r="A58" s="160" t="s">
        <v>159</v>
      </c>
      <c r="B58" s="168" t="s">
        <v>169</v>
      </c>
      <c r="C58" s="154"/>
      <c r="D58" s="154"/>
      <c r="E58" s="154"/>
      <c r="F58" s="155">
        <f>9766.4+31</f>
        <v>9797.4</v>
      </c>
      <c r="G58" s="155">
        <v>3100.7</v>
      </c>
      <c r="H58" s="155">
        <f t="shared" si="7"/>
        <v>31.648192377569558</v>
      </c>
      <c r="I58" s="156">
        <f t="shared" si="0"/>
        <v>9797.4</v>
      </c>
      <c r="J58" s="157">
        <f>D58+G58</f>
        <v>3100.7</v>
      </c>
      <c r="K58" s="158">
        <f t="shared" si="1"/>
        <v>31.648192377569558</v>
      </c>
    </row>
    <row r="59" spans="1:11" ht="60">
      <c r="A59" s="160" t="s">
        <v>159</v>
      </c>
      <c r="B59" s="168" t="s">
        <v>170</v>
      </c>
      <c r="C59" s="154">
        <v>1222.2</v>
      </c>
      <c r="D59" s="154">
        <v>1222.2</v>
      </c>
      <c r="E59" s="154">
        <f>D59/C59*100</f>
        <v>100</v>
      </c>
      <c r="F59" s="155"/>
      <c r="G59" s="155"/>
      <c r="H59" s="155"/>
      <c r="I59" s="156">
        <f>C59+F59</f>
        <v>1222.2</v>
      </c>
      <c r="J59" s="157">
        <f>D59+G59</f>
        <v>1222.2</v>
      </c>
      <c r="K59" s="158">
        <f t="shared" si="1"/>
        <v>100</v>
      </c>
    </row>
    <row r="60" spans="1:11" ht="75">
      <c r="A60" s="160" t="s">
        <v>171</v>
      </c>
      <c r="B60" s="153" t="s">
        <v>172</v>
      </c>
      <c r="C60" s="154">
        <v>400</v>
      </c>
      <c r="D60" s="154">
        <v>289.3</v>
      </c>
      <c r="E60" s="154">
        <f t="shared" si="5"/>
        <v>72.325</v>
      </c>
      <c r="F60" s="154">
        <v>400</v>
      </c>
      <c r="G60" s="155">
        <v>289.3</v>
      </c>
      <c r="H60" s="155">
        <f t="shared" si="7"/>
        <v>72.325</v>
      </c>
      <c r="I60" s="156">
        <f>C60+F60-400</f>
        <v>400</v>
      </c>
      <c r="J60" s="157">
        <f>D60+G60-289.3</f>
        <v>289.3</v>
      </c>
      <c r="K60" s="158">
        <f t="shared" si="1"/>
        <v>72.325</v>
      </c>
    </row>
    <row r="61" spans="1:11" ht="60">
      <c r="A61" s="160" t="s">
        <v>171</v>
      </c>
      <c r="B61" s="153" t="s">
        <v>173</v>
      </c>
      <c r="C61" s="154">
        <f>2500+25.3</f>
        <v>2525.3</v>
      </c>
      <c r="D61" s="154">
        <v>2503.1</v>
      </c>
      <c r="E61" s="154">
        <f t="shared" si="5"/>
        <v>99.12089652714528</v>
      </c>
      <c r="F61" s="154">
        <v>2828.3</v>
      </c>
      <c r="G61" s="155">
        <v>2500.3</v>
      </c>
      <c r="H61" s="155">
        <f t="shared" si="7"/>
        <v>88.40292755365414</v>
      </c>
      <c r="I61" s="156">
        <f>C61+F61-2525.3</f>
        <v>2828.3</v>
      </c>
      <c r="J61" s="157">
        <f>D61+G61-2477.8</f>
        <v>2525.5999999999995</v>
      </c>
      <c r="K61" s="158">
        <f t="shared" si="1"/>
        <v>89.2974578368631</v>
      </c>
    </row>
    <row r="62" spans="1:11" ht="30">
      <c r="A62" s="160" t="s">
        <v>171</v>
      </c>
      <c r="B62" s="153" t="s">
        <v>174</v>
      </c>
      <c r="C62" s="154">
        <v>9574.7</v>
      </c>
      <c r="D62" s="154">
        <v>5277.1</v>
      </c>
      <c r="E62" s="154">
        <f t="shared" si="5"/>
        <v>55.11504276896404</v>
      </c>
      <c r="F62" s="154">
        <f>9574.7+1064.1</f>
        <v>10638.800000000001</v>
      </c>
      <c r="G62" s="155">
        <v>5000</v>
      </c>
      <c r="H62" s="155">
        <f t="shared" si="7"/>
        <v>46.997781704703534</v>
      </c>
      <c r="I62" s="156">
        <f>C62+F62-9574.7</f>
        <v>10638.8</v>
      </c>
      <c r="J62" s="157">
        <f>D62+G62-5302.4</f>
        <v>4974.700000000001</v>
      </c>
      <c r="K62" s="158">
        <f t="shared" si="1"/>
        <v>46.75997292927775</v>
      </c>
    </row>
    <row r="63" spans="1:11" ht="15">
      <c r="A63" s="152" t="s">
        <v>171</v>
      </c>
      <c r="B63" s="153" t="s">
        <v>175</v>
      </c>
      <c r="C63" s="154">
        <v>0</v>
      </c>
      <c r="D63" s="154"/>
      <c r="E63" s="170">
        <v>0</v>
      </c>
      <c r="F63" s="154">
        <v>49905.7</v>
      </c>
      <c r="G63" s="155">
        <v>33646.1</v>
      </c>
      <c r="H63" s="155">
        <f t="shared" si="7"/>
        <v>67.41935289956858</v>
      </c>
      <c r="I63" s="156">
        <f>C63+F63</f>
        <v>49905.7</v>
      </c>
      <c r="J63" s="157">
        <f>D63+G63</f>
        <v>33646.1</v>
      </c>
      <c r="K63" s="158">
        <f t="shared" si="1"/>
        <v>67.41935289956858</v>
      </c>
    </row>
    <row r="64" spans="1:11" ht="15">
      <c r="A64" s="160" t="s">
        <v>176</v>
      </c>
      <c r="B64" s="153" t="s">
        <v>177</v>
      </c>
      <c r="C64" s="154">
        <v>26.9</v>
      </c>
      <c r="D64" s="154">
        <v>26.9</v>
      </c>
      <c r="E64" s="154">
        <f>D64/C64*100</f>
        <v>100</v>
      </c>
      <c r="F64" s="154">
        <v>0</v>
      </c>
      <c r="G64" s="155">
        <v>0</v>
      </c>
      <c r="H64" s="155">
        <v>0</v>
      </c>
      <c r="I64" s="156">
        <f>C64+F64</f>
        <v>26.9</v>
      </c>
      <c r="J64" s="157">
        <f>D64+G64</f>
        <v>26.9</v>
      </c>
      <c r="K64" s="174">
        <f t="shared" si="1"/>
        <v>100</v>
      </c>
    </row>
    <row r="65" spans="1:11" ht="15">
      <c r="A65" s="175" t="s">
        <v>178</v>
      </c>
      <c r="B65" s="176" t="s">
        <v>179</v>
      </c>
      <c r="C65" s="172">
        <f aca="true" t="shared" si="8" ref="C65:H65">C66</f>
        <v>54.1</v>
      </c>
      <c r="D65" s="172">
        <f t="shared" si="8"/>
        <v>36.1</v>
      </c>
      <c r="E65" s="149">
        <v>0</v>
      </c>
      <c r="F65" s="172">
        <f t="shared" si="8"/>
        <v>0</v>
      </c>
      <c r="G65" s="172">
        <f t="shared" si="8"/>
        <v>0</v>
      </c>
      <c r="H65" s="150">
        <f t="shared" si="8"/>
        <v>0</v>
      </c>
      <c r="I65" s="172">
        <f t="shared" si="0"/>
        <v>54.1</v>
      </c>
      <c r="J65" s="172">
        <f t="shared" si="0"/>
        <v>36.1</v>
      </c>
      <c r="K65" s="151">
        <v>0</v>
      </c>
    </row>
    <row r="66" spans="1:11" ht="15">
      <c r="A66" s="160" t="s">
        <v>180</v>
      </c>
      <c r="B66" s="177" t="s">
        <v>181</v>
      </c>
      <c r="C66" s="155">
        <v>54.1</v>
      </c>
      <c r="D66" s="155">
        <v>36.1</v>
      </c>
      <c r="E66" s="154">
        <f t="shared" si="5"/>
        <v>66.72828096118299</v>
      </c>
      <c r="F66" s="155">
        <v>0</v>
      </c>
      <c r="G66" s="155">
        <v>0</v>
      </c>
      <c r="H66" s="155">
        <v>0</v>
      </c>
      <c r="I66" s="156">
        <f t="shared" si="0"/>
        <v>54.1</v>
      </c>
      <c r="J66" s="157">
        <f t="shared" si="0"/>
        <v>36.1</v>
      </c>
      <c r="K66" s="158">
        <f t="shared" si="1"/>
        <v>66.72828096118299</v>
      </c>
    </row>
    <row r="67" spans="1:11" ht="15">
      <c r="A67" s="147" t="s">
        <v>182</v>
      </c>
      <c r="B67" s="148" t="s">
        <v>183</v>
      </c>
      <c r="C67" s="149">
        <f>SUM(C68:C75)</f>
        <v>1959500.6</v>
      </c>
      <c r="D67" s="149">
        <f>SUM(D68:D75)</f>
        <v>1412799.5999999999</v>
      </c>
      <c r="E67" s="149">
        <f>D67/C67*100</f>
        <v>72.0999830262874</v>
      </c>
      <c r="F67" s="172">
        <f>F68+F70+F71+F74+F75</f>
        <v>859.3</v>
      </c>
      <c r="G67" s="172">
        <f>SUM(G68:G75)</f>
        <v>794.6</v>
      </c>
      <c r="H67" s="150">
        <v>0</v>
      </c>
      <c r="I67" s="149">
        <f>SUM(I68:I75)</f>
        <v>1959500.6</v>
      </c>
      <c r="J67" s="149">
        <f>SUM(J68:J75)</f>
        <v>1412740</v>
      </c>
      <c r="K67" s="151">
        <f t="shared" si="1"/>
        <v>72.09694143497583</v>
      </c>
    </row>
    <row r="68" spans="1:11" ht="15">
      <c r="A68" s="152" t="s">
        <v>184</v>
      </c>
      <c r="B68" s="153" t="s">
        <v>185</v>
      </c>
      <c r="C68" s="154">
        <f>415816.7-C69</f>
        <v>357296</v>
      </c>
      <c r="D68" s="154">
        <f>267234.5-D69</f>
        <v>311107</v>
      </c>
      <c r="E68" s="154">
        <f t="shared" si="5"/>
        <v>87.07262325914648</v>
      </c>
      <c r="F68" s="155">
        <v>0</v>
      </c>
      <c r="G68" s="155">
        <v>0</v>
      </c>
      <c r="H68" s="155">
        <v>0</v>
      </c>
      <c r="I68" s="156">
        <f t="shared" si="0"/>
        <v>357296</v>
      </c>
      <c r="J68" s="157">
        <f t="shared" si="0"/>
        <v>311107</v>
      </c>
      <c r="K68" s="158">
        <f t="shared" si="1"/>
        <v>87.07262325914648</v>
      </c>
    </row>
    <row r="69" spans="1:11" ht="90">
      <c r="A69" s="152" t="s">
        <v>184</v>
      </c>
      <c r="B69" s="153" t="s">
        <v>186</v>
      </c>
      <c r="C69" s="154">
        <f>51144.8+7375.9</f>
        <v>58520.700000000004</v>
      </c>
      <c r="D69" s="154">
        <v>-43872.5</v>
      </c>
      <c r="E69" s="154">
        <f t="shared" si="5"/>
        <v>-74.96919893302712</v>
      </c>
      <c r="F69" s="155"/>
      <c r="G69" s="155"/>
      <c r="H69" s="155"/>
      <c r="I69" s="156">
        <f t="shared" si="0"/>
        <v>58520.700000000004</v>
      </c>
      <c r="J69" s="157">
        <f t="shared" si="0"/>
        <v>-43872.5</v>
      </c>
      <c r="K69" s="158">
        <f t="shared" si="1"/>
        <v>-74.96919893302712</v>
      </c>
    </row>
    <row r="70" spans="1:11" ht="15">
      <c r="A70" s="152" t="s">
        <v>187</v>
      </c>
      <c r="B70" s="153" t="s">
        <v>188</v>
      </c>
      <c r="C70" s="154">
        <f>1261298.6-C71-C72</f>
        <v>1025005.8</v>
      </c>
      <c r="D70" s="154">
        <f>902628.4-D71-D72</f>
        <v>756929.6000000001</v>
      </c>
      <c r="E70" s="154">
        <f t="shared" si="5"/>
        <v>73.84637238150262</v>
      </c>
      <c r="F70" s="155">
        <v>0</v>
      </c>
      <c r="G70" s="155">
        <v>0</v>
      </c>
      <c r="H70" s="155">
        <v>0</v>
      </c>
      <c r="I70" s="156">
        <f t="shared" si="0"/>
        <v>1025005.8</v>
      </c>
      <c r="J70" s="157">
        <f t="shared" si="0"/>
        <v>756929.6000000001</v>
      </c>
      <c r="K70" s="158">
        <f t="shared" si="1"/>
        <v>73.84637238150262</v>
      </c>
    </row>
    <row r="71" spans="1:11" ht="15">
      <c r="A71" s="152" t="s">
        <v>187</v>
      </c>
      <c r="B71" s="153" t="s">
        <v>189</v>
      </c>
      <c r="C71" s="154">
        <f>30643.2+19993.6</f>
        <v>50636.8</v>
      </c>
      <c r="D71" s="154">
        <v>30806.6</v>
      </c>
      <c r="E71" s="154">
        <f t="shared" si="5"/>
        <v>60.838362613751265</v>
      </c>
      <c r="F71" s="155">
        <v>0</v>
      </c>
      <c r="G71" s="155">
        <v>0</v>
      </c>
      <c r="H71" s="155">
        <v>0</v>
      </c>
      <c r="I71" s="156">
        <f t="shared" si="0"/>
        <v>50636.8</v>
      </c>
      <c r="J71" s="157">
        <f t="shared" si="0"/>
        <v>30806.6</v>
      </c>
      <c r="K71" s="158">
        <f t="shared" si="1"/>
        <v>60.838362613751265</v>
      </c>
    </row>
    <row r="72" spans="1:11" ht="90">
      <c r="A72" s="152" t="s">
        <v>187</v>
      </c>
      <c r="B72" s="153" t="s">
        <v>190</v>
      </c>
      <c r="C72" s="154">
        <f>169318.7+16337.3</f>
        <v>185656</v>
      </c>
      <c r="D72" s="154">
        <v>114892.2</v>
      </c>
      <c r="E72" s="154">
        <f t="shared" si="5"/>
        <v>61.88445296677726</v>
      </c>
      <c r="F72" s="155">
        <v>0</v>
      </c>
      <c r="G72" s="155">
        <v>0</v>
      </c>
      <c r="H72" s="155">
        <v>0</v>
      </c>
      <c r="I72" s="156">
        <f t="shared" si="0"/>
        <v>185656</v>
      </c>
      <c r="J72" s="157">
        <f t="shared" si="0"/>
        <v>114892.2</v>
      </c>
      <c r="K72" s="158">
        <f t="shared" si="1"/>
        <v>61.88445296677726</v>
      </c>
    </row>
    <row r="73" spans="1:11" ht="15">
      <c r="A73" s="152" t="s">
        <v>191</v>
      </c>
      <c r="B73" s="153" t="s">
        <v>192</v>
      </c>
      <c r="C73" s="154">
        <v>182502.5</v>
      </c>
      <c r="D73" s="170">
        <v>161547.4</v>
      </c>
      <c r="E73" s="154">
        <f t="shared" si="5"/>
        <v>88.51791071355186</v>
      </c>
      <c r="F73" s="155"/>
      <c r="G73" s="155"/>
      <c r="H73" s="155"/>
      <c r="I73" s="156">
        <f t="shared" si="0"/>
        <v>182502.5</v>
      </c>
      <c r="J73" s="157">
        <f t="shared" si="0"/>
        <v>161547.4</v>
      </c>
      <c r="K73" s="158">
        <f t="shared" si="1"/>
        <v>88.51791071355186</v>
      </c>
    </row>
    <row r="74" spans="1:11" ht="15">
      <c r="A74" s="152" t="s">
        <v>193</v>
      </c>
      <c r="B74" s="153" t="s">
        <v>194</v>
      </c>
      <c r="C74" s="154">
        <v>24906.6</v>
      </c>
      <c r="D74" s="154">
        <v>23483.4</v>
      </c>
      <c r="E74" s="154">
        <f t="shared" si="5"/>
        <v>94.28585194285853</v>
      </c>
      <c r="F74" s="155">
        <v>859.3</v>
      </c>
      <c r="G74" s="155">
        <v>794.6</v>
      </c>
      <c r="H74" s="155">
        <f>G74/F74*100</f>
        <v>92.47061561736297</v>
      </c>
      <c r="I74" s="156">
        <f>C74+F74-859.3</f>
        <v>24906.6</v>
      </c>
      <c r="J74" s="157">
        <f>D74+G74-854.2</f>
        <v>23423.8</v>
      </c>
      <c r="K74" s="158">
        <f t="shared" si="1"/>
        <v>94.04655794046558</v>
      </c>
    </row>
    <row r="75" spans="1:11" ht="15">
      <c r="A75" s="152" t="s">
        <v>195</v>
      </c>
      <c r="B75" s="153" t="s">
        <v>196</v>
      </c>
      <c r="C75" s="154">
        <v>74976.2</v>
      </c>
      <c r="D75" s="154">
        <v>57905.9</v>
      </c>
      <c r="E75" s="154">
        <f t="shared" si="5"/>
        <v>77.23237507369005</v>
      </c>
      <c r="F75" s="155">
        <v>0</v>
      </c>
      <c r="G75" s="155"/>
      <c r="H75" s="155">
        <v>0</v>
      </c>
      <c r="I75" s="156">
        <f t="shared" si="0"/>
        <v>74976.2</v>
      </c>
      <c r="J75" s="157">
        <f t="shared" si="0"/>
        <v>57905.9</v>
      </c>
      <c r="K75" s="158">
        <f t="shared" si="1"/>
        <v>77.23237507369005</v>
      </c>
    </row>
    <row r="76" spans="1:11" ht="15">
      <c r="A76" s="147" t="s">
        <v>197</v>
      </c>
      <c r="B76" s="148" t="s">
        <v>198</v>
      </c>
      <c r="C76" s="149">
        <f>SUM(C77:C81)</f>
        <v>83489.2</v>
      </c>
      <c r="D76" s="149">
        <f>SUM(D77:D81)</f>
        <v>64751.5</v>
      </c>
      <c r="E76" s="149">
        <f>D76/C76*100</f>
        <v>77.55673787747398</v>
      </c>
      <c r="F76" s="172">
        <f>SUM(F77:F81)</f>
        <v>97848.3</v>
      </c>
      <c r="G76" s="172">
        <f>SUM(G77:G81)</f>
        <v>76602.4</v>
      </c>
      <c r="H76" s="150">
        <f>G76/F76*100</f>
        <v>78.28689921030819</v>
      </c>
      <c r="I76" s="172">
        <f>SUM(I77:I81)</f>
        <v>180357.8</v>
      </c>
      <c r="J76" s="172">
        <f>SUM(J77:J81)</f>
        <v>140508.6</v>
      </c>
      <c r="K76" s="151">
        <f t="shared" si="1"/>
        <v>77.9054745622313</v>
      </c>
    </row>
    <row r="77" spans="1:11" ht="15">
      <c r="A77" s="152" t="s">
        <v>199</v>
      </c>
      <c r="B77" s="153" t="s">
        <v>200</v>
      </c>
      <c r="C77" s="154">
        <f>72355.3-C79-C78</f>
        <v>52857.3</v>
      </c>
      <c r="D77" s="154">
        <f>55342.8-D79-D78</f>
        <v>36409.700000000004</v>
      </c>
      <c r="E77" s="154">
        <f t="shared" si="5"/>
        <v>68.88301142888494</v>
      </c>
      <c r="F77" s="155">
        <f>97274.3-F79</f>
        <v>96671.2</v>
      </c>
      <c r="G77" s="155">
        <f>76282.5-G79</f>
        <v>76056.2</v>
      </c>
      <c r="H77" s="155">
        <f>G77/F77*100</f>
        <v>78.67513799352858</v>
      </c>
      <c r="I77" s="156">
        <f>C77+F77-200</f>
        <v>149328.5</v>
      </c>
      <c r="J77" s="157">
        <f>D77+G77-200</f>
        <v>112265.9</v>
      </c>
      <c r="K77" s="158">
        <f t="shared" si="1"/>
        <v>75.1804913328668</v>
      </c>
    </row>
    <row r="78" spans="1:11" ht="60">
      <c r="A78" s="152" t="s">
        <v>199</v>
      </c>
      <c r="B78" s="178" t="s">
        <v>201</v>
      </c>
      <c r="C78" s="154">
        <f>9321.7+8950.6</f>
        <v>18272.300000000003</v>
      </c>
      <c r="D78" s="154">
        <v>17873</v>
      </c>
      <c r="E78" s="154">
        <f t="shared" si="5"/>
        <v>97.81472502093331</v>
      </c>
      <c r="F78" s="155"/>
      <c r="G78" s="155"/>
      <c r="H78" s="155"/>
      <c r="I78" s="156">
        <f>C78+F78</f>
        <v>18272.300000000003</v>
      </c>
      <c r="J78" s="157">
        <f>D78+G78</f>
        <v>17873</v>
      </c>
      <c r="K78" s="158">
        <f t="shared" si="1"/>
        <v>97.81472502093331</v>
      </c>
    </row>
    <row r="79" spans="1:11" ht="15">
      <c r="A79" s="179" t="s">
        <v>199</v>
      </c>
      <c r="B79" s="178" t="s">
        <v>202</v>
      </c>
      <c r="C79" s="154">
        <v>1225.7</v>
      </c>
      <c r="D79" s="154">
        <v>1060.1</v>
      </c>
      <c r="E79" s="154">
        <f t="shared" si="5"/>
        <v>86.4893530227625</v>
      </c>
      <c r="F79" s="155">
        <f>512.6+90.5</f>
        <v>603.1</v>
      </c>
      <c r="G79" s="155">
        <v>226.3</v>
      </c>
      <c r="H79" s="155">
        <f>G79/F79*100</f>
        <v>37.522798872492125</v>
      </c>
      <c r="I79" s="156">
        <f>C79+F79-512.6</f>
        <v>1316.2000000000003</v>
      </c>
      <c r="J79" s="157">
        <f>D79+G79-470.3</f>
        <v>816.0999999999999</v>
      </c>
      <c r="K79" s="158">
        <f>J79/I79*100</f>
        <v>62.004254672542146</v>
      </c>
    </row>
    <row r="80" spans="1:11" ht="15">
      <c r="A80" s="152" t="s">
        <v>203</v>
      </c>
      <c r="B80" s="153" t="s">
        <v>204</v>
      </c>
      <c r="C80" s="154">
        <v>180</v>
      </c>
      <c r="D80" s="154">
        <v>90</v>
      </c>
      <c r="E80" s="154">
        <f t="shared" si="5"/>
        <v>50</v>
      </c>
      <c r="F80" s="155">
        <v>307</v>
      </c>
      <c r="G80" s="155">
        <v>219.9</v>
      </c>
      <c r="H80" s="155">
        <f>G80/F80*100</f>
        <v>71.62866449511401</v>
      </c>
      <c r="I80" s="156">
        <f aca="true" t="shared" si="9" ref="I80:J90">C80+F80</f>
        <v>487</v>
      </c>
      <c r="J80" s="157">
        <f t="shared" si="9"/>
        <v>309.9</v>
      </c>
      <c r="K80" s="158">
        <f aca="true" t="shared" si="10" ref="K80:K104">J80/I80*100</f>
        <v>63.63449691991786</v>
      </c>
    </row>
    <row r="81" spans="1:11" ht="15">
      <c r="A81" s="152" t="s">
        <v>205</v>
      </c>
      <c r="B81" s="153" t="s">
        <v>206</v>
      </c>
      <c r="C81" s="154">
        <v>10953.9</v>
      </c>
      <c r="D81" s="154">
        <v>9318.7</v>
      </c>
      <c r="E81" s="154">
        <f t="shared" si="5"/>
        <v>85.07198349446317</v>
      </c>
      <c r="F81" s="155">
        <v>267</v>
      </c>
      <c r="G81" s="155">
        <v>100</v>
      </c>
      <c r="H81" s="155">
        <f>G81/F81*100</f>
        <v>37.453183520599254</v>
      </c>
      <c r="I81" s="156">
        <f>C81+F81-267.1</f>
        <v>10953.8</v>
      </c>
      <c r="J81" s="157">
        <f>D81+G81-175</f>
        <v>9243.7</v>
      </c>
      <c r="K81" s="158">
        <f t="shared" si="10"/>
        <v>84.38806624185216</v>
      </c>
    </row>
    <row r="82" spans="1:11" ht="15">
      <c r="A82" s="147" t="s">
        <v>207</v>
      </c>
      <c r="B82" s="148" t="s">
        <v>208</v>
      </c>
      <c r="C82" s="149">
        <f>C83</f>
        <v>177353.1</v>
      </c>
      <c r="D82" s="149">
        <f>D83</f>
        <v>93839.5</v>
      </c>
      <c r="E82" s="149">
        <f>D82/C82*100</f>
        <v>52.91111347926819</v>
      </c>
      <c r="F82" s="172">
        <v>0</v>
      </c>
      <c r="G82" s="172">
        <v>0</v>
      </c>
      <c r="H82" s="150"/>
      <c r="I82" s="172">
        <f>C82+F82</f>
        <v>177353.1</v>
      </c>
      <c r="J82" s="172">
        <f t="shared" si="9"/>
        <v>93839.5</v>
      </c>
      <c r="K82" s="151">
        <f t="shared" si="10"/>
        <v>52.91111347926819</v>
      </c>
    </row>
    <row r="83" spans="1:11" ht="30">
      <c r="A83" s="160" t="s">
        <v>209</v>
      </c>
      <c r="B83" s="178" t="s">
        <v>210</v>
      </c>
      <c r="C83" s="154">
        <v>177353.1</v>
      </c>
      <c r="D83" s="155">
        <v>93839.5</v>
      </c>
      <c r="E83" s="154">
        <f t="shared" si="5"/>
        <v>52.91111347926819</v>
      </c>
      <c r="F83" s="155">
        <v>0</v>
      </c>
      <c r="G83" s="155">
        <v>0</v>
      </c>
      <c r="H83" s="155">
        <v>0</v>
      </c>
      <c r="I83" s="156">
        <f t="shared" si="9"/>
        <v>177353.1</v>
      </c>
      <c r="J83" s="157">
        <f t="shared" si="9"/>
        <v>93839.5</v>
      </c>
      <c r="K83" s="158">
        <f t="shared" si="10"/>
        <v>52.91111347926819</v>
      </c>
    </row>
    <row r="84" spans="1:11" ht="15">
      <c r="A84" s="147">
        <v>10</v>
      </c>
      <c r="B84" s="148" t="s">
        <v>211</v>
      </c>
      <c r="C84" s="149">
        <f>SUM(C85:C92)</f>
        <v>140251.69999999998</v>
      </c>
      <c r="D84" s="149">
        <f>SUM(D85:D92)</f>
        <v>103267.50000000001</v>
      </c>
      <c r="E84" s="149">
        <f>D84/C84*100</f>
        <v>73.63012355643464</v>
      </c>
      <c r="F84" s="149">
        <f>SUM(F85:F90)</f>
        <v>432.9</v>
      </c>
      <c r="G84" s="149">
        <f>SUM(G85:G90)</f>
        <v>342.7</v>
      </c>
      <c r="H84" s="150">
        <f>G84/F84*100</f>
        <v>79.16377916377917</v>
      </c>
      <c r="I84" s="149">
        <f>SUM(I85:I92)</f>
        <v>140684.59999999998</v>
      </c>
      <c r="J84" s="149">
        <f>SUM(J85:J92)</f>
        <v>103610.2</v>
      </c>
      <c r="K84" s="151">
        <f t="shared" si="10"/>
        <v>73.64715114518576</v>
      </c>
    </row>
    <row r="85" spans="1:11" ht="15">
      <c r="A85" s="160">
        <v>1001</v>
      </c>
      <c r="B85" s="153" t="s">
        <v>212</v>
      </c>
      <c r="C85" s="154">
        <v>3876</v>
      </c>
      <c r="D85" s="154">
        <v>3155.3</v>
      </c>
      <c r="E85" s="154">
        <f t="shared" si="5"/>
        <v>81.40608875129</v>
      </c>
      <c r="F85" s="155">
        <v>432.9</v>
      </c>
      <c r="G85" s="155">
        <v>342.7</v>
      </c>
      <c r="H85" s="155">
        <f>G85/F85*100</f>
        <v>79.16377916377917</v>
      </c>
      <c r="I85" s="156">
        <f t="shared" si="9"/>
        <v>4308.9</v>
      </c>
      <c r="J85" s="157">
        <f t="shared" si="9"/>
        <v>3498</v>
      </c>
      <c r="K85" s="158">
        <f t="shared" si="10"/>
        <v>81.1808118081181</v>
      </c>
    </row>
    <row r="86" spans="1:11" ht="60">
      <c r="A86" s="160">
        <v>1003</v>
      </c>
      <c r="B86" s="153" t="s">
        <v>213</v>
      </c>
      <c r="C86" s="154">
        <v>2347.7</v>
      </c>
      <c r="D86" s="154">
        <v>1564.5</v>
      </c>
      <c r="E86" s="154">
        <f t="shared" si="5"/>
        <v>66.63968990927292</v>
      </c>
      <c r="F86" s="155">
        <v>0</v>
      </c>
      <c r="G86" s="155">
        <v>0</v>
      </c>
      <c r="H86" s="155">
        <v>0</v>
      </c>
      <c r="I86" s="156">
        <f t="shared" si="9"/>
        <v>2347.7</v>
      </c>
      <c r="J86" s="157">
        <f t="shared" si="9"/>
        <v>1564.5</v>
      </c>
      <c r="K86" s="158">
        <f t="shared" si="10"/>
        <v>66.63968990927292</v>
      </c>
    </row>
    <row r="87" spans="1:11" ht="105">
      <c r="A87" s="160" t="s">
        <v>214</v>
      </c>
      <c r="B87" s="153" t="s">
        <v>215</v>
      </c>
      <c r="C87" s="154">
        <f>5779.5+1195.4</f>
        <v>6974.9</v>
      </c>
      <c r="D87" s="154">
        <v>6184.6</v>
      </c>
      <c r="E87" s="154">
        <f t="shared" si="5"/>
        <v>88.66937160389398</v>
      </c>
      <c r="F87" s="155"/>
      <c r="G87" s="155"/>
      <c r="H87" s="155"/>
      <c r="I87" s="156">
        <f t="shared" si="9"/>
        <v>6974.9</v>
      </c>
      <c r="J87" s="157">
        <f t="shared" si="9"/>
        <v>6184.6</v>
      </c>
      <c r="K87" s="158">
        <f t="shared" si="10"/>
        <v>88.66937160389398</v>
      </c>
    </row>
    <row r="88" spans="1:11" ht="150">
      <c r="A88" s="160" t="s">
        <v>214</v>
      </c>
      <c r="B88" s="153" t="s">
        <v>216</v>
      </c>
      <c r="C88" s="154">
        <f>2536+133.4</f>
        <v>2669.4</v>
      </c>
      <c r="D88" s="154">
        <v>2498.7</v>
      </c>
      <c r="E88" s="154">
        <f t="shared" si="5"/>
        <v>93.6053045628231</v>
      </c>
      <c r="F88" s="155"/>
      <c r="G88" s="155"/>
      <c r="H88" s="155"/>
      <c r="I88" s="156">
        <f t="shared" si="9"/>
        <v>2669.4</v>
      </c>
      <c r="J88" s="157">
        <f t="shared" si="9"/>
        <v>2498.7</v>
      </c>
      <c r="K88" s="158">
        <f t="shared" si="10"/>
        <v>93.6053045628231</v>
      </c>
    </row>
    <row r="89" spans="1:11" ht="60">
      <c r="A89" s="160">
        <v>1004</v>
      </c>
      <c r="B89" s="153" t="s">
        <v>217</v>
      </c>
      <c r="C89" s="154">
        <v>18941</v>
      </c>
      <c r="D89" s="154">
        <v>13176.2</v>
      </c>
      <c r="E89" s="154">
        <f t="shared" si="5"/>
        <v>69.56443693574785</v>
      </c>
      <c r="F89" s="155">
        <v>0</v>
      </c>
      <c r="G89" s="155">
        <v>0</v>
      </c>
      <c r="H89" s="155">
        <v>0</v>
      </c>
      <c r="I89" s="156">
        <f t="shared" si="9"/>
        <v>18941</v>
      </c>
      <c r="J89" s="157">
        <f t="shared" si="9"/>
        <v>13176.2</v>
      </c>
      <c r="K89" s="158">
        <f t="shared" si="10"/>
        <v>69.56443693574785</v>
      </c>
    </row>
    <row r="90" spans="1:11" ht="135">
      <c r="A90" s="160">
        <v>1004</v>
      </c>
      <c r="B90" s="153" t="s">
        <v>218</v>
      </c>
      <c r="C90" s="154">
        <v>67500</v>
      </c>
      <c r="D90" s="154">
        <v>49547.9</v>
      </c>
      <c r="E90" s="154">
        <f aca="true" t="shared" si="11" ref="E90:E103">D90/C90*100</f>
        <v>73.4042962962963</v>
      </c>
      <c r="F90" s="155">
        <v>0</v>
      </c>
      <c r="G90" s="155">
        <v>0</v>
      </c>
      <c r="H90" s="155">
        <v>0</v>
      </c>
      <c r="I90" s="156">
        <f t="shared" si="9"/>
        <v>67500</v>
      </c>
      <c r="J90" s="157">
        <f t="shared" si="9"/>
        <v>49547.9</v>
      </c>
      <c r="K90" s="158">
        <f t="shared" si="10"/>
        <v>73.4042962962963</v>
      </c>
    </row>
    <row r="91" spans="1:11" ht="120">
      <c r="A91" s="160" t="s">
        <v>219</v>
      </c>
      <c r="B91" s="153" t="s">
        <v>220</v>
      </c>
      <c r="C91" s="154">
        <v>22676.9</v>
      </c>
      <c r="D91" s="154">
        <v>17007.7</v>
      </c>
      <c r="E91" s="154">
        <f>D91/C91*100</f>
        <v>75.00011024434556</v>
      </c>
      <c r="F91" s="155">
        <v>0</v>
      </c>
      <c r="G91" s="155">
        <v>0</v>
      </c>
      <c r="H91" s="155">
        <v>0</v>
      </c>
      <c r="I91" s="156">
        <f>C91+F91</f>
        <v>22676.9</v>
      </c>
      <c r="J91" s="157">
        <f>D91+G91</f>
        <v>17007.7</v>
      </c>
      <c r="K91" s="158">
        <f>J91/I91*100</f>
        <v>75.00011024434556</v>
      </c>
    </row>
    <row r="92" spans="1:11" ht="30">
      <c r="A92" s="160">
        <v>1006</v>
      </c>
      <c r="B92" s="153" t="s">
        <v>221</v>
      </c>
      <c r="C92" s="154">
        <v>15265.8</v>
      </c>
      <c r="D92" s="154">
        <v>10132.6</v>
      </c>
      <c r="E92" s="154">
        <f t="shared" si="11"/>
        <v>66.37451034338194</v>
      </c>
      <c r="F92" s="155">
        <v>0</v>
      </c>
      <c r="G92" s="155">
        <v>0</v>
      </c>
      <c r="H92" s="155">
        <v>0</v>
      </c>
      <c r="I92" s="156">
        <f>C92+F92</f>
        <v>15265.8</v>
      </c>
      <c r="J92" s="157">
        <f>D92+G92</f>
        <v>10132.6</v>
      </c>
      <c r="K92" s="158">
        <f t="shared" si="10"/>
        <v>66.37451034338194</v>
      </c>
    </row>
    <row r="93" spans="1:11" ht="15">
      <c r="A93" s="175">
        <v>1100</v>
      </c>
      <c r="B93" s="148" t="s">
        <v>222</v>
      </c>
      <c r="C93" s="149">
        <f>SUM(C94:C95)</f>
        <v>90439.7</v>
      </c>
      <c r="D93" s="149">
        <f>SUM(D94:D95)</f>
        <v>40488.4</v>
      </c>
      <c r="E93" s="149">
        <f>D93/C93*100</f>
        <v>44.76839264172703</v>
      </c>
      <c r="F93" s="172">
        <f>F94+F95</f>
        <v>29581.8</v>
      </c>
      <c r="G93" s="172">
        <f>G94+G95</f>
        <v>22921.9</v>
      </c>
      <c r="H93" s="150">
        <f>G93/F93*100</f>
        <v>77.4864950746743</v>
      </c>
      <c r="I93" s="172">
        <f>SUM(I94:I95)</f>
        <v>119736.5</v>
      </c>
      <c r="J93" s="172">
        <f>SUM(J94:J95)</f>
        <v>63125.3</v>
      </c>
      <c r="K93" s="151">
        <f t="shared" si="10"/>
        <v>52.72018139832048</v>
      </c>
    </row>
    <row r="94" spans="1:11" ht="15">
      <c r="A94" s="160">
        <v>1101</v>
      </c>
      <c r="B94" s="153" t="s">
        <v>223</v>
      </c>
      <c r="C94" s="154">
        <v>18442</v>
      </c>
      <c r="D94" s="154">
        <v>14703.2</v>
      </c>
      <c r="E94" s="154">
        <f t="shared" si="11"/>
        <v>79.72671076889709</v>
      </c>
      <c r="F94" s="155">
        <v>29581.8</v>
      </c>
      <c r="G94" s="155">
        <v>22921.9</v>
      </c>
      <c r="H94" s="155">
        <f>G94/F94*100</f>
        <v>77.4864950746743</v>
      </c>
      <c r="I94" s="156">
        <f>C94+F94-285</f>
        <v>47738.8</v>
      </c>
      <c r="J94" s="156">
        <f>D94+G94-285</f>
        <v>37340.100000000006</v>
      </c>
      <c r="K94" s="158">
        <f t="shared" si="10"/>
        <v>78.21750860934922</v>
      </c>
    </row>
    <row r="95" spans="1:11" ht="15">
      <c r="A95" s="160">
        <v>1102</v>
      </c>
      <c r="B95" s="153" t="s">
        <v>224</v>
      </c>
      <c r="C95" s="154">
        <v>71997.7</v>
      </c>
      <c r="D95" s="154">
        <v>25785.2</v>
      </c>
      <c r="E95" s="154">
        <f t="shared" si="11"/>
        <v>35.81392183361413</v>
      </c>
      <c r="F95" s="155"/>
      <c r="G95" s="155">
        <v>0</v>
      </c>
      <c r="H95" s="155"/>
      <c r="I95" s="156">
        <f>C95+F95</f>
        <v>71997.7</v>
      </c>
      <c r="J95" s="156">
        <f>D95+G95</f>
        <v>25785.2</v>
      </c>
      <c r="K95" s="158">
        <f t="shared" si="10"/>
        <v>35.81392183361413</v>
      </c>
    </row>
    <row r="96" spans="1:11" ht="15">
      <c r="A96" s="175">
        <v>1200</v>
      </c>
      <c r="B96" s="148" t="s">
        <v>225</v>
      </c>
      <c r="C96" s="149">
        <f>C97</f>
        <v>5326</v>
      </c>
      <c r="D96" s="149">
        <f>D97</f>
        <v>3320</v>
      </c>
      <c r="E96" s="180">
        <f>D96/C96*100</f>
        <v>62.33571160345475</v>
      </c>
      <c r="F96" s="149">
        <f>F97</f>
        <v>0</v>
      </c>
      <c r="G96" s="149">
        <f>G97</f>
        <v>0</v>
      </c>
      <c r="H96" s="181"/>
      <c r="I96" s="149">
        <f aca="true" t="shared" si="12" ref="I96:J99">C96+F96</f>
        <v>5326</v>
      </c>
      <c r="J96" s="149">
        <f t="shared" si="12"/>
        <v>3320</v>
      </c>
      <c r="K96" s="162">
        <f t="shared" si="10"/>
        <v>62.33571160345475</v>
      </c>
    </row>
    <row r="97" spans="1:11" ht="15">
      <c r="A97" s="160" t="s">
        <v>226</v>
      </c>
      <c r="B97" s="153" t="s">
        <v>227</v>
      </c>
      <c r="C97" s="154">
        <v>5326</v>
      </c>
      <c r="D97" s="154">
        <v>3320</v>
      </c>
      <c r="E97" s="154">
        <f>D97/C97*100</f>
        <v>62.33571160345475</v>
      </c>
      <c r="F97" s="155">
        <v>0</v>
      </c>
      <c r="G97" s="155">
        <v>0</v>
      </c>
      <c r="H97" s="155">
        <v>0</v>
      </c>
      <c r="I97" s="156">
        <f t="shared" si="12"/>
        <v>5326</v>
      </c>
      <c r="J97" s="156">
        <f t="shared" si="12"/>
        <v>3320</v>
      </c>
      <c r="K97" s="158">
        <f>J97/I97*100</f>
        <v>62.33571160345475</v>
      </c>
    </row>
    <row r="98" spans="1:11" ht="28.5">
      <c r="A98" s="175">
        <v>1300</v>
      </c>
      <c r="B98" s="148" t="s">
        <v>228</v>
      </c>
      <c r="C98" s="149">
        <f aca="true" t="shared" si="13" ref="C98:H98">C99</f>
        <v>2015</v>
      </c>
      <c r="D98" s="149">
        <f t="shared" si="13"/>
        <v>7.8</v>
      </c>
      <c r="E98" s="149">
        <f t="shared" si="13"/>
        <v>0.3870967741935484</v>
      </c>
      <c r="F98" s="149">
        <f t="shared" si="13"/>
        <v>0</v>
      </c>
      <c r="G98" s="149">
        <f t="shared" si="13"/>
        <v>0</v>
      </c>
      <c r="H98" s="161">
        <f t="shared" si="13"/>
        <v>0</v>
      </c>
      <c r="I98" s="149">
        <f t="shared" si="12"/>
        <v>2015</v>
      </c>
      <c r="J98" s="149">
        <f t="shared" si="12"/>
        <v>7.8</v>
      </c>
      <c r="K98" s="162">
        <f t="shared" si="10"/>
        <v>0.3870967741935484</v>
      </c>
    </row>
    <row r="99" spans="1:11" ht="30">
      <c r="A99" s="160">
        <v>1301</v>
      </c>
      <c r="B99" s="153" t="s">
        <v>229</v>
      </c>
      <c r="C99" s="154">
        <v>2015</v>
      </c>
      <c r="D99" s="154">
        <v>7.8</v>
      </c>
      <c r="E99" s="154">
        <f t="shared" si="11"/>
        <v>0.3870967741935484</v>
      </c>
      <c r="F99" s="155"/>
      <c r="G99" s="155">
        <v>0</v>
      </c>
      <c r="H99" s="155">
        <v>0</v>
      </c>
      <c r="I99" s="156">
        <f t="shared" si="12"/>
        <v>2015</v>
      </c>
      <c r="J99" s="156">
        <f t="shared" si="12"/>
        <v>7.8</v>
      </c>
      <c r="K99" s="158">
        <f t="shared" si="10"/>
        <v>0.3870967741935484</v>
      </c>
    </row>
    <row r="100" spans="1:11" ht="14.25">
      <c r="A100" s="175">
        <v>1400</v>
      </c>
      <c r="B100" s="148" t="s">
        <v>230</v>
      </c>
      <c r="C100" s="149">
        <f>SUM(C101:C103)</f>
        <v>289457.1</v>
      </c>
      <c r="D100" s="149">
        <f>SUM(D101:D103)</f>
        <v>254854.59999999998</v>
      </c>
      <c r="E100" s="149">
        <f>D100/C100*100</f>
        <v>88.04572421958211</v>
      </c>
      <c r="F100" s="172">
        <f>F101+F102+F103</f>
        <v>0</v>
      </c>
      <c r="G100" s="172">
        <f>SUM(G101:G103)</f>
        <v>0</v>
      </c>
      <c r="H100" s="172"/>
      <c r="I100" s="172">
        <v>0</v>
      </c>
      <c r="J100" s="172">
        <v>0</v>
      </c>
      <c r="K100" s="151">
        <v>0</v>
      </c>
    </row>
    <row r="101" spans="1:11" ht="30">
      <c r="A101" s="160">
        <v>1401</v>
      </c>
      <c r="B101" s="153" t="s">
        <v>231</v>
      </c>
      <c r="C101" s="154">
        <v>120111.6</v>
      </c>
      <c r="D101" s="154">
        <v>104096.7</v>
      </c>
      <c r="E101" s="154">
        <f t="shared" si="11"/>
        <v>86.66665001548559</v>
      </c>
      <c r="F101" s="155">
        <v>0</v>
      </c>
      <c r="G101" s="155">
        <v>0</v>
      </c>
      <c r="H101" s="155">
        <v>0</v>
      </c>
      <c r="I101" s="156">
        <v>0</v>
      </c>
      <c r="J101" s="157">
        <v>0</v>
      </c>
      <c r="K101" s="158">
        <v>0</v>
      </c>
    </row>
    <row r="102" spans="1:11" ht="15">
      <c r="A102" s="160">
        <v>1402</v>
      </c>
      <c r="B102" s="153" t="s">
        <v>232</v>
      </c>
      <c r="C102" s="154">
        <v>167545.5</v>
      </c>
      <c r="D102" s="154">
        <v>148957.9</v>
      </c>
      <c r="E102" s="154">
        <f t="shared" si="11"/>
        <v>88.90593898373874</v>
      </c>
      <c r="F102" s="155">
        <v>0</v>
      </c>
      <c r="G102" s="155">
        <v>0</v>
      </c>
      <c r="H102" s="155">
        <v>0</v>
      </c>
      <c r="I102" s="156">
        <v>0</v>
      </c>
      <c r="J102" s="157">
        <v>0</v>
      </c>
      <c r="K102" s="158">
        <v>0</v>
      </c>
    </row>
    <row r="103" spans="1:11" ht="15">
      <c r="A103" s="160">
        <v>1403</v>
      </c>
      <c r="B103" s="153" t="s">
        <v>233</v>
      </c>
      <c r="C103" s="154">
        <v>1800</v>
      </c>
      <c r="D103" s="154">
        <v>1800</v>
      </c>
      <c r="E103" s="154">
        <f t="shared" si="11"/>
        <v>100</v>
      </c>
      <c r="F103" s="155">
        <v>0</v>
      </c>
      <c r="G103" s="155">
        <v>0</v>
      </c>
      <c r="H103" s="155">
        <v>0</v>
      </c>
      <c r="I103" s="156">
        <v>0</v>
      </c>
      <c r="J103" s="157">
        <v>0</v>
      </c>
      <c r="K103" s="158">
        <v>0</v>
      </c>
    </row>
    <row r="104" spans="1:11" ht="15" thickBot="1">
      <c r="A104" s="182" t="s">
        <v>234</v>
      </c>
      <c r="B104" s="183"/>
      <c r="C104" s="215">
        <f>C9+C17+C19+C24+C44+C65+C67+C76+C82+C84+C93+C96+C98+C100</f>
        <v>3707976.6000000006</v>
      </c>
      <c r="D104" s="215">
        <f>D100+D98+D96+D93+D84+D82+D76+D67+D65+D44+D24+D19+D17+D9</f>
        <v>2551946.6999999997</v>
      </c>
      <c r="E104" s="215">
        <f>D104/C104*100</f>
        <v>68.82316085813484</v>
      </c>
      <c r="F104" s="215">
        <f>F9+F17+F19+F24+F44+F65+F67+F76+F82+F84+F93+F96+F98+F100</f>
        <v>643680.5</v>
      </c>
      <c r="G104" s="215">
        <f>G100+G98+G96+G84+G82+G76+G67+G44+G24+G20+G17+G9+G19+G93</f>
        <v>432158.4</v>
      </c>
      <c r="H104" s="216">
        <f>G104/F104*100</f>
        <v>67.13865030865469</v>
      </c>
      <c r="I104" s="215">
        <f>I100+I98+I96+I93+I84+I82+I76+I67+I65+I44+I24+I19+I17+I9</f>
        <v>3931322.0999999996</v>
      </c>
      <c r="J104" s="215">
        <f>J100+J98+J96+J93+J84+J82+J76+J67+J65+J44+J24+J19+J17+J9</f>
        <v>2682746.9</v>
      </c>
      <c r="K104" s="217">
        <f t="shared" si="10"/>
        <v>68.24032302008528</v>
      </c>
    </row>
    <row r="105" spans="1:11" ht="12.75">
      <c r="A105" s="184"/>
      <c r="B105" s="185"/>
      <c r="C105" s="186"/>
      <c r="D105" s="122"/>
      <c r="E105" s="187"/>
      <c r="F105" s="124"/>
      <c r="G105" s="125"/>
      <c r="H105" s="125"/>
      <c r="I105" s="127"/>
      <c r="J105" s="127"/>
      <c r="K105" s="127"/>
    </row>
    <row r="106" spans="1:11" ht="12.75">
      <c r="A106" s="188"/>
      <c r="B106" s="189"/>
      <c r="C106" s="190"/>
      <c r="D106" s="190"/>
      <c r="E106" s="190"/>
      <c r="F106" s="190"/>
      <c r="G106" s="190"/>
      <c r="H106" s="190"/>
      <c r="I106" s="190"/>
      <c r="J106" s="190"/>
      <c r="K106" s="190"/>
    </row>
    <row r="107" spans="1:11" ht="12.75">
      <c r="A107" s="188"/>
      <c r="B107" s="189"/>
      <c r="C107" s="190"/>
      <c r="D107" s="191"/>
      <c r="E107" s="187"/>
      <c r="F107" s="124"/>
      <c r="G107" s="125"/>
      <c r="H107" s="125"/>
      <c r="I107" s="126"/>
      <c r="J107" s="126"/>
      <c r="K107" s="127"/>
    </row>
    <row r="108" spans="1:11" ht="12.75">
      <c r="A108" s="192" t="s">
        <v>235</v>
      </c>
      <c r="B108" s="192"/>
      <c r="C108" s="192"/>
      <c r="D108" s="193"/>
      <c r="E108" s="194"/>
      <c r="F108" s="194"/>
      <c r="G108" s="125"/>
      <c r="H108" s="125"/>
      <c r="I108" s="127"/>
      <c r="J108" s="127"/>
      <c r="K108" s="127"/>
    </row>
    <row r="109" spans="1:11" ht="12.75">
      <c r="A109" s="192" t="s">
        <v>236</v>
      </c>
      <c r="B109" s="192"/>
      <c r="C109" s="192"/>
      <c r="D109" s="195"/>
      <c r="E109" s="196" t="s">
        <v>237</v>
      </c>
      <c r="F109" s="196"/>
      <c r="G109" s="125"/>
      <c r="H109" s="125"/>
      <c r="I109" s="126"/>
      <c r="J109" s="127"/>
      <c r="K109" s="127"/>
    </row>
    <row r="110" spans="1:11" ht="12.75">
      <c r="A110" s="197"/>
      <c r="B110" s="198"/>
      <c r="C110" s="199"/>
      <c r="D110" s="200"/>
      <c r="E110" s="201"/>
      <c r="F110" s="202"/>
      <c r="G110" s="125"/>
      <c r="H110" s="125"/>
      <c r="I110" s="126"/>
      <c r="J110" s="127"/>
      <c r="K110" s="127"/>
    </row>
    <row r="111" spans="1:11" ht="12.75">
      <c r="A111" s="192" t="s">
        <v>238</v>
      </c>
      <c r="B111" s="192"/>
      <c r="C111" s="192"/>
      <c r="D111" s="203"/>
      <c r="E111" s="196" t="s">
        <v>239</v>
      </c>
      <c r="F111" s="196"/>
      <c r="G111" s="125"/>
      <c r="H111" s="125"/>
      <c r="I111" s="126"/>
      <c r="J111" s="127"/>
      <c r="K111" s="127"/>
    </row>
    <row r="112" spans="1:11" ht="12.75">
      <c r="A112" s="197"/>
      <c r="B112" s="204"/>
      <c r="C112" s="205"/>
      <c r="D112" s="206"/>
      <c r="E112" s="201"/>
      <c r="F112" s="202"/>
      <c r="G112" s="125"/>
      <c r="H112" s="125"/>
      <c r="I112" s="126"/>
      <c r="J112" s="127"/>
      <c r="K112" s="127"/>
    </row>
    <row r="113" spans="1:11" ht="12.75">
      <c r="A113" s="192" t="s">
        <v>240</v>
      </c>
      <c r="B113" s="192"/>
      <c r="C113" s="192"/>
      <c r="D113" s="203"/>
      <c r="E113" s="207" t="s">
        <v>241</v>
      </c>
      <c r="F113" s="207"/>
      <c r="G113" s="125"/>
      <c r="H113" s="125"/>
      <c r="I113" s="126"/>
      <c r="J113" s="127"/>
      <c r="K113" s="127"/>
    </row>
    <row r="114" spans="1:11" ht="12.75">
      <c r="A114" s="208"/>
      <c r="B114" s="209"/>
      <c r="C114" s="210"/>
      <c r="D114" s="193"/>
      <c r="E114" s="193"/>
      <c r="F114" s="194"/>
      <c r="G114" s="125"/>
      <c r="H114" s="125"/>
      <c r="I114" s="127"/>
      <c r="J114" s="127"/>
      <c r="K114" s="127"/>
    </row>
    <row r="115" spans="1:6" ht="12.75">
      <c r="A115" s="211"/>
      <c r="B115" s="211"/>
      <c r="C115" s="212" t="s">
        <v>242</v>
      </c>
      <c r="D115" s="213"/>
      <c r="E115" s="214" t="s">
        <v>243</v>
      </c>
      <c r="F115" s="211"/>
    </row>
    <row r="116" spans="1:6" ht="12.75">
      <c r="A116" s="211"/>
      <c r="B116" s="211"/>
      <c r="C116" s="212"/>
      <c r="D116" s="213"/>
      <c r="E116" s="214"/>
      <c r="F116" s="211"/>
    </row>
  </sheetData>
  <sheetProtection/>
  <mergeCells count="35">
    <mergeCell ref="A108:C108"/>
    <mergeCell ref="E109:F109"/>
    <mergeCell ref="A111:C111"/>
    <mergeCell ref="E111:F111"/>
    <mergeCell ref="A113:C113"/>
    <mergeCell ref="E113:F113"/>
    <mergeCell ref="A109:C109"/>
    <mergeCell ref="G19:G20"/>
    <mergeCell ref="H19:H20"/>
    <mergeCell ref="I19:I20"/>
    <mergeCell ref="J19:J20"/>
    <mergeCell ref="K19:K20"/>
    <mergeCell ref="A104:B104"/>
    <mergeCell ref="A19:A20"/>
    <mergeCell ref="B19:B20"/>
    <mergeCell ref="C19:C20"/>
    <mergeCell ref="D19:D20"/>
    <mergeCell ref="E19:E20"/>
    <mergeCell ref="F19:F20"/>
    <mergeCell ref="G4:G5"/>
    <mergeCell ref="H4:H5"/>
    <mergeCell ref="I4:I5"/>
    <mergeCell ref="J4:J5"/>
    <mergeCell ref="K4:K5"/>
    <mergeCell ref="B6:K8"/>
    <mergeCell ref="A1:K1"/>
    <mergeCell ref="A3:A8"/>
    <mergeCell ref="B3:B5"/>
    <mergeCell ref="C3:E3"/>
    <mergeCell ref="F3:H3"/>
    <mergeCell ref="I3:K3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Заворотынская</cp:lastModifiedBy>
  <cp:lastPrinted>2017-10-09T09:55:39Z</cp:lastPrinted>
  <dcterms:created xsi:type="dcterms:W3CDTF">2006-05-12T06:58:42Z</dcterms:created>
  <dcterms:modified xsi:type="dcterms:W3CDTF">2017-12-20T05:55:54Z</dcterms:modified>
  <cp:category/>
  <cp:version/>
  <cp:contentType/>
  <cp:contentStatus/>
</cp:coreProperties>
</file>