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Доходы" sheetId="1" r:id="rId1"/>
    <sheet name="Расход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5" i="2" l="1"/>
  <c r="N145" i="2" s="1"/>
  <c r="I145" i="2"/>
  <c r="I142" i="2" s="1"/>
  <c r="E145" i="2"/>
  <c r="L144" i="2"/>
  <c r="N144" i="2" s="1"/>
  <c r="I144" i="2"/>
  <c r="K144" i="2" s="1"/>
  <c r="E144" i="2"/>
  <c r="L143" i="2"/>
  <c r="L142" i="2" s="1"/>
  <c r="I143" i="2"/>
  <c r="K143" i="2" s="1"/>
  <c r="E143" i="2"/>
  <c r="M142" i="2"/>
  <c r="J142" i="2"/>
  <c r="G142" i="2"/>
  <c r="F142" i="2"/>
  <c r="D142" i="2"/>
  <c r="E142" i="2" s="1"/>
  <c r="C142" i="2"/>
  <c r="L141" i="2"/>
  <c r="N141" i="2" s="1"/>
  <c r="I141" i="2"/>
  <c r="K141" i="2" s="1"/>
  <c r="K140" i="2" s="1"/>
  <c r="E141" i="2"/>
  <c r="M140" i="2"/>
  <c r="L140" i="2"/>
  <c r="J140" i="2"/>
  <c r="I140" i="2"/>
  <c r="H140" i="2"/>
  <c r="G140" i="2"/>
  <c r="F140" i="2"/>
  <c r="E140" i="2"/>
  <c r="D140" i="2"/>
  <c r="C140" i="2"/>
  <c r="L139" i="2"/>
  <c r="L138" i="2" s="1"/>
  <c r="I139" i="2"/>
  <c r="K139" i="2" s="1"/>
  <c r="K138" i="2" s="1"/>
  <c r="E139" i="2"/>
  <c r="M138" i="2"/>
  <c r="J138" i="2"/>
  <c r="D138" i="2"/>
  <c r="E138" i="2" s="1"/>
  <c r="C138" i="2"/>
  <c r="N137" i="2"/>
  <c r="O137" i="2" s="1"/>
  <c r="L137" i="2"/>
  <c r="I137" i="2"/>
  <c r="K137" i="2" s="1"/>
  <c r="E137" i="2"/>
  <c r="L136" i="2"/>
  <c r="N136" i="2" s="1"/>
  <c r="I136" i="2"/>
  <c r="E136" i="2"/>
  <c r="L135" i="2"/>
  <c r="N135" i="2" s="1"/>
  <c r="I135" i="2"/>
  <c r="K135" i="2" s="1"/>
  <c r="H135" i="2"/>
  <c r="E135" i="2"/>
  <c r="M134" i="2"/>
  <c r="J134" i="2"/>
  <c r="G134" i="2"/>
  <c r="H134" i="2" s="1"/>
  <c r="F134" i="2"/>
  <c r="D134" i="2"/>
  <c r="E134" i="2" s="1"/>
  <c r="C134" i="2"/>
  <c r="L133" i="2"/>
  <c r="N133" i="2" s="1"/>
  <c r="O133" i="2" s="1"/>
  <c r="I133" i="2"/>
  <c r="K133" i="2" s="1"/>
  <c r="E133" i="2"/>
  <c r="L132" i="2"/>
  <c r="N132" i="2" s="1"/>
  <c r="I132" i="2"/>
  <c r="K132" i="2" s="1"/>
  <c r="H132" i="2"/>
  <c r="N131" i="2"/>
  <c r="L131" i="2"/>
  <c r="I131" i="2"/>
  <c r="K131" i="2" s="1"/>
  <c r="E131" i="2"/>
  <c r="L130" i="2"/>
  <c r="N130" i="2" s="1"/>
  <c r="I130" i="2"/>
  <c r="K130" i="2" s="1"/>
  <c r="O130" i="2" s="1"/>
  <c r="E130" i="2"/>
  <c r="L129" i="2"/>
  <c r="N129" i="2" s="1"/>
  <c r="O129" i="2" s="1"/>
  <c r="K129" i="2"/>
  <c r="I129" i="2"/>
  <c r="E129" i="2"/>
  <c r="L128" i="2"/>
  <c r="N128" i="2" s="1"/>
  <c r="I128" i="2"/>
  <c r="K128" i="2" s="1"/>
  <c r="E128" i="2"/>
  <c r="L127" i="2"/>
  <c r="N127" i="2" s="1"/>
  <c r="I127" i="2"/>
  <c r="K127" i="2" s="1"/>
  <c r="L126" i="2"/>
  <c r="N126" i="2" s="1"/>
  <c r="K126" i="2"/>
  <c r="I126" i="2"/>
  <c r="E126" i="2"/>
  <c r="L125" i="2"/>
  <c r="N125" i="2" s="1"/>
  <c r="I125" i="2"/>
  <c r="K125" i="2" s="1"/>
  <c r="E125" i="2"/>
  <c r="L124" i="2"/>
  <c r="N124" i="2" s="1"/>
  <c r="I124" i="2"/>
  <c r="K124" i="2" s="1"/>
  <c r="H124" i="2"/>
  <c r="E124" i="2"/>
  <c r="M123" i="2"/>
  <c r="J123" i="2"/>
  <c r="G123" i="2"/>
  <c r="F123" i="2"/>
  <c r="D123" i="2"/>
  <c r="C123" i="2"/>
  <c r="L122" i="2"/>
  <c r="N122" i="2" s="1"/>
  <c r="O122" i="2" s="1"/>
  <c r="I122" i="2"/>
  <c r="K122" i="2" s="1"/>
  <c r="E122" i="2"/>
  <c r="E119" i="2" s="1"/>
  <c r="L121" i="2"/>
  <c r="N121" i="2" s="1"/>
  <c r="I121" i="2"/>
  <c r="K121" i="2" s="1"/>
  <c r="E121" i="2"/>
  <c r="L120" i="2"/>
  <c r="L119" i="2" s="1"/>
  <c r="I120" i="2"/>
  <c r="K120" i="2" s="1"/>
  <c r="H120" i="2"/>
  <c r="E120" i="2"/>
  <c r="M119" i="2"/>
  <c r="J119" i="2"/>
  <c r="I119" i="2"/>
  <c r="G119" i="2"/>
  <c r="F119" i="2"/>
  <c r="D119" i="2"/>
  <c r="C119" i="2"/>
  <c r="L118" i="2"/>
  <c r="N118" i="2" s="1"/>
  <c r="I118" i="2"/>
  <c r="K118" i="2" s="1"/>
  <c r="H118" i="2"/>
  <c r="E118" i="2"/>
  <c r="L117" i="2"/>
  <c r="N117" i="2" s="1"/>
  <c r="I117" i="2"/>
  <c r="H117" i="2"/>
  <c r="E117" i="2"/>
  <c r="L116" i="2"/>
  <c r="N116" i="2" s="1"/>
  <c r="O116" i="2" s="1"/>
  <c r="I116" i="2"/>
  <c r="K116" i="2" s="1"/>
  <c r="H116" i="2"/>
  <c r="E116" i="2"/>
  <c r="L115" i="2"/>
  <c r="L114" i="2" s="1"/>
  <c r="I115" i="2"/>
  <c r="K115" i="2" s="1"/>
  <c r="H115" i="2"/>
  <c r="E115" i="2"/>
  <c r="M114" i="2"/>
  <c r="J114" i="2"/>
  <c r="H114" i="2"/>
  <c r="G114" i="2"/>
  <c r="F114" i="2"/>
  <c r="D114" i="2"/>
  <c r="E114" i="2" s="1"/>
  <c r="C114" i="2"/>
  <c r="L113" i="2"/>
  <c r="N113" i="2" s="1"/>
  <c r="O113" i="2" s="1"/>
  <c r="K113" i="2"/>
  <c r="I113" i="2"/>
  <c r="E113" i="2"/>
  <c r="L112" i="2"/>
  <c r="N112" i="2" s="1"/>
  <c r="I112" i="2"/>
  <c r="K112" i="2" s="1"/>
  <c r="E112" i="2"/>
  <c r="L111" i="2"/>
  <c r="N111" i="2" s="1"/>
  <c r="I111" i="2"/>
  <c r="K111" i="2" s="1"/>
  <c r="E111" i="2"/>
  <c r="N110" i="2"/>
  <c r="L110" i="2"/>
  <c r="I110" i="2"/>
  <c r="K110" i="2" s="1"/>
  <c r="L109" i="2"/>
  <c r="N109" i="2" s="1"/>
  <c r="I109" i="2"/>
  <c r="K109" i="2" s="1"/>
  <c r="E109" i="2"/>
  <c r="L108" i="2"/>
  <c r="N108" i="2" s="1"/>
  <c r="O108" i="2" s="1"/>
  <c r="K108" i="2"/>
  <c r="I108" i="2"/>
  <c r="E108" i="2"/>
  <c r="L107" i="2"/>
  <c r="N107" i="2" s="1"/>
  <c r="I107" i="2"/>
  <c r="K107" i="2" s="1"/>
  <c r="E107" i="2"/>
  <c r="N106" i="2"/>
  <c r="L106" i="2"/>
  <c r="I106" i="2"/>
  <c r="K106" i="2" s="1"/>
  <c r="E106" i="2"/>
  <c r="L105" i="2"/>
  <c r="N105" i="2" s="1"/>
  <c r="I105" i="2"/>
  <c r="K105" i="2" s="1"/>
  <c r="O105" i="2" s="1"/>
  <c r="E105" i="2"/>
  <c r="L104" i="2"/>
  <c r="N104" i="2" s="1"/>
  <c r="I104" i="2"/>
  <c r="K104" i="2" s="1"/>
  <c r="E104" i="2"/>
  <c r="M103" i="2"/>
  <c r="J103" i="2"/>
  <c r="G103" i="2"/>
  <c r="F103" i="2"/>
  <c r="D103" i="2"/>
  <c r="C103" i="2"/>
  <c r="E103" i="2" s="1"/>
  <c r="N102" i="2"/>
  <c r="N101" i="2" s="1"/>
  <c r="L102" i="2"/>
  <c r="I102" i="2"/>
  <c r="I101" i="2" s="1"/>
  <c r="H102" i="2"/>
  <c r="H101" i="2" s="1"/>
  <c r="E102" i="2"/>
  <c r="M101" i="2"/>
  <c r="L101" i="2"/>
  <c r="J101" i="2"/>
  <c r="G101" i="2"/>
  <c r="F101" i="2"/>
  <c r="D101" i="2"/>
  <c r="C101" i="2"/>
  <c r="E101" i="2" s="1"/>
  <c r="L100" i="2"/>
  <c r="N100" i="2" s="1"/>
  <c r="I100" i="2"/>
  <c r="K100" i="2" s="1"/>
  <c r="O100" i="2" s="1"/>
  <c r="E100" i="2"/>
  <c r="N99" i="2"/>
  <c r="L99" i="2"/>
  <c r="I99" i="2"/>
  <c r="K99" i="2" s="1"/>
  <c r="H99" i="2"/>
  <c r="L98" i="2"/>
  <c r="N98" i="2" s="1"/>
  <c r="I98" i="2"/>
  <c r="K98" i="2" s="1"/>
  <c r="O98" i="2" s="1"/>
  <c r="L97" i="2"/>
  <c r="N97" i="2" s="1"/>
  <c r="K97" i="2"/>
  <c r="I97" i="2"/>
  <c r="L96" i="2"/>
  <c r="N96" i="2" s="1"/>
  <c r="I96" i="2"/>
  <c r="K96" i="2" s="1"/>
  <c r="L95" i="2"/>
  <c r="N95" i="2" s="1"/>
  <c r="I95" i="2"/>
  <c r="K95" i="2" s="1"/>
  <c r="H95" i="2"/>
  <c r="E95" i="2"/>
  <c r="L94" i="2"/>
  <c r="N94" i="2" s="1"/>
  <c r="I94" i="2"/>
  <c r="K94" i="2" s="1"/>
  <c r="H94" i="2"/>
  <c r="L93" i="2"/>
  <c r="N93" i="2" s="1"/>
  <c r="I93" i="2"/>
  <c r="K93" i="2" s="1"/>
  <c r="H93" i="2"/>
  <c r="E93" i="2"/>
  <c r="L92" i="2"/>
  <c r="N92" i="2" s="1"/>
  <c r="K92" i="2"/>
  <c r="I92" i="2"/>
  <c r="H92" i="2"/>
  <c r="L91" i="2"/>
  <c r="N91" i="2" s="1"/>
  <c r="I91" i="2"/>
  <c r="K91" i="2" s="1"/>
  <c r="H91" i="2"/>
  <c r="L90" i="2"/>
  <c r="N90" i="2" s="1"/>
  <c r="K90" i="2"/>
  <c r="I90" i="2"/>
  <c r="H90" i="2"/>
  <c r="E90" i="2"/>
  <c r="N89" i="2"/>
  <c r="L89" i="2"/>
  <c r="I89" i="2"/>
  <c r="K89" i="2" s="1"/>
  <c r="E89" i="2"/>
  <c r="L88" i="2"/>
  <c r="N88" i="2" s="1"/>
  <c r="I88" i="2"/>
  <c r="K88" i="2" s="1"/>
  <c r="E88" i="2"/>
  <c r="L87" i="2"/>
  <c r="N87" i="2" s="1"/>
  <c r="I87" i="2"/>
  <c r="K87" i="2" s="1"/>
  <c r="H87" i="2"/>
  <c r="E87" i="2"/>
  <c r="L86" i="2"/>
  <c r="N86" i="2" s="1"/>
  <c r="F86" i="2"/>
  <c r="C86" i="2"/>
  <c r="I86" i="2" s="1"/>
  <c r="K86" i="2" s="1"/>
  <c r="L85" i="2"/>
  <c r="N85" i="2" s="1"/>
  <c r="I85" i="2"/>
  <c r="K85" i="2" s="1"/>
  <c r="H85" i="2"/>
  <c r="E85" i="2"/>
  <c r="L84" i="2"/>
  <c r="N84" i="2" s="1"/>
  <c r="I84" i="2"/>
  <c r="K84" i="2" s="1"/>
  <c r="H84" i="2"/>
  <c r="E84" i="2"/>
  <c r="L83" i="2"/>
  <c r="N83" i="2" s="1"/>
  <c r="O83" i="2" s="1"/>
  <c r="I83" i="2"/>
  <c r="K83" i="2" s="1"/>
  <c r="H83" i="2"/>
  <c r="E83" i="2"/>
  <c r="L82" i="2"/>
  <c r="N82" i="2" s="1"/>
  <c r="I82" i="2"/>
  <c r="K82" i="2" s="1"/>
  <c r="H82" i="2"/>
  <c r="E82" i="2"/>
  <c r="L81" i="2"/>
  <c r="N81" i="2" s="1"/>
  <c r="I81" i="2"/>
  <c r="K81" i="2" s="1"/>
  <c r="H81" i="2"/>
  <c r="E81" i="2"/>
  <c r="L80" i="2"/>
  <c r="N80" i="2" s="1"/>
  <c r="I80" i="2"/>
  <c r="K80" i="2" s="1"/>
  <c r="H80" i="2"/>
  <c r="E80" i="2"/>
  <c r="N79" i="2"/>
  <c r="O79" i="2" s="1"/>
  <c r="L79" i="2"/>
  <c r="I79" i="2"/>
  <c r="K79" i="2" s="1"/>
  <c r="H79" i="2"/>
  <c r="E79" i="2"/>
  <c r="L78" i="2"/>
  <c r="N78" i="2" s="1"/>
  <c r="I78" i="2"/>
  <c r="K78" i="2" s="1"/>
  <c r="H78" i="2"/>
  <c r="E78" i="2"/>
  <c r="L77" i="2"/>
  <c r="N77" i="2" s="1"/>
  <c r="I77" i="2"/>
  <c r="K77" i="2" s="1"/>
  <c r="E77" i="2"/>
  <c r="L76" i="2"/>
  <c r="N76" i="2" s="1"/>
  <c r="I76" i="2"/>
  <c r="K76" i="2" s="1"/>
  <c r="E76" i="2"/>
  <c r="G75" i="2"/>
  <c r="L75" i="2" s="1"/>
  <c r="N75" i="2" s="1"/>
  <c r="F75" i="2"/>
  <c r="I75" i="2" s="1"/>
  <c r="K75" i="2" s="1"/>
  <c r="E75" i="2"/>
  <c r="L74" i="2"/>
  <c r="N74" i="2" s="1"/>
  <c r="I74" i="2"/>
  <c r="K74" i="2" s="1"/>
  <c r="H74" i="2"/>
  <c r="E74" i="2"/>
  <c r="N73" i="2"/>
  <c r="O73" i="2" s="1"/>
  <c r="L73" i="2"/>
  <c r="I73" i="2"/>
  <c r="K73" i="2" s="1"/>
  <c r="H73" i="2"/>
  <c r="E73" i="2"/>
  <c r="L72" i="2"/>
  <c r="N72" i="2" s="1"/>
  <c r="I72" i="2"/>
  <c r="K72" i="2" s="1"/>
  <c r="H72" i="2"/>
  <c r="E72" i="2"/>
  <c r="L71" i="2"/>
  <c r="N71" i="2" s="1"/>
  <c r="I71" i="2"/>
  <c r="K71" i="2" s="1"/>
  <c r="H71" i="2"/>
  <c r="E71" i="2"/>
  <c r="L70" i="2"/>
  <c r="N70" i="2" s="1"/>
  <c r="I70" i="2"/>
  <c r="K70" i="2" s="1"/>
  <c r="H70" i="2"/>
  <c r="E70" i="2"/>
  <c r="N69" i="2"/>
  <c r="O69" i="2" s="1"/>
  <c r="L69" i="2"/>
  <c r="I69" i="2"/>
  <c r="K69" i="2" s="1"/>
  <c r="H69" i="2"/>
  <c r="E69" i="2"/>
  <c r="L68" i="2"/>
  <c r="N68" i="2" s="1"/>
  <c r="H68" i="2"/>
  <c r="E68" i="2"/>
  <c r="C68" i="2"/>
  <c r="I68" i="2" s="1"/>
  <c r="K68" i="2" s="1"/>
  <c r="L67" i="2"/>
  <c r="N67" i="2" s="1"/>
  <c r="I67" i="2"/>
  <c r="K67" i="2" s="1"/>
  <c r="H67" i="2"/>
  <c r="L66" i="2"/>
  <c r="N66" i="2" s="1"/>
  <c r="I66" i="2"/>
  <c r="K66" i="2" s="1"/>
  <c r="E66" i="2"/>
  <c r="L65" i="2"/>
  <c r="N65" i="2" s="1"/>
  <c r="O65" i="2" s="1"/>
  <c r="K65" i="2"/>
  <c r="I65" i="2"/>
  <c r="E65" i="2"/>
  <c r="L64" i="2"/>
  <c r="N64" i="2" s="1"/>
  <c r="I64" i="2"/>
  <c r="K64" i="2" s="1"/>
  <c r="E64" i="2"/>
  <c r="L63" i="2"/>
  <c r="N63" i="2" s="1"/>
  <c r="K63" i="2"/>
  <c r="I63" i="2"/>
  <c r="E63" i="2"/>
  <c r="L62" i="2"/>
  <c r="N62" i="2" s="1"/>
  <c r="K62" i="2"/>
  <c r="I62" i="2"/>
  <c r="E62" i="2"/>
  <c r="L61" i="2"/>
  <c r="N61" i="2" s="1"/>
  <c r="I61" i="2"/>
  <c r="K61" i="2" s="1"/>
  <c r="E61" i="2"/>
  <c r="L60" i="2"/>
  <c r="N60" i="2" s="1"/>
  <c r="K60" i="2"/>
  <c r="I60" i="2"/>
  <c r="E60" i="2"/>
  <c r="L59" i="2"/>
  <c r="N59" i="2" s="1"/>
  <c r="I59" i="2"/>
  <c r="K59" i="2" s="1"/>
  <c r="E59" i="2"/>
  <c r="M58" i="2"/>
  <c r="J58" i="2"/>
  <c r="G58" i="2"/>
  <c r="D58" i="2"/>
  <c r="L57" i="2"/>
  <c r="N57" i="2" s="1"/>
  <c r="I57" i="2"/>
  <c r="K57" i="2" s="1"/>
  <c r="H57" i="2"/>
  <c r="L56" i="2"/>
  <c r="N56" i="2" s="1"/>
  <c r="I56" i="2"/>
  <c r="K56" i="2" s="1"/>
  <c r="H56" i="2"/>
  <c r="L55" i="2"/>
  <c r="N55" i="2" s="1"/>
  <c r="I55" i="2"/>
  <c r="K55" i="2" s="1"/>
  <c r="E55" i="2"/>
  <c r="L54" i="2"/>
  <c r="N54" i="2" s="1"/>
  <c r="I54" i="2"/>
  <c r="K54" i="2" s="1"/>
  <c r="H54" i="2"/>
  <c r="E54" i="2"/>
  <c r="L53" i="2"/>
  <c r="N53" i="2" s="1"/>
  <c r="O53" i="2" s="1"/>
  <c r="I53" i="2"/>
  <c r="K53" i="2" s="1"/>
  <c r="H53" i="2"/>
  <c r="E53" i="2"/>
  <c r="L52" i="2"/>
  <c r="N52" i="2" s="1"/>
  <c r="O52" i="2" s="1"/>
  <c r="I52" i="2"/>
  <c r="K52" i="2" s="1"/>
  <c r="H52" i="2"/>
  <c r="E52" i="2"/>
  <c r="L51" i="2"/>
  <c r="N51" i="2" s="1"/>
  <c r="I51" i="2"/>
  <c r="K51" i="2" s="1"/>
  <c r="H51" i="2"/>
  <c r="E51" i="2"/>
  <c r="L50" i="2"/>
  <c r="N50" i="2" s="1"/>
  <c r="I50" i="2"/>
  <c r="K50" i="2" s="1"/>
  <c r="H50" i="2"/>
  <c r="E50" i="2"/>
  <c r="L49" i="2"/>
  <c r="N49" i="2" s="1"/>
  <c r="O49" i="2" s="1"/>
  <c r="I49" i="2"/>
  <c r="K49" i="2" s="1"/>
  <c r="H49" i="2"/>
  <c r="E49" i="2"/>
  <c r="N48" i="2"/>
  <c r="L48" i="2"/>
  <c r="I48" i="2"/>
  <c r="K48" i="2" s="1"/>
  <c r="H48" i="2"/>
  <c r="E48" i="2"/>
  <c r="L47" i="2"/>
  <c r="N47" i="2" s="1"/>
  <c r="I47" i="2"/>
  <c r="K47" i="2" s="1"/>
  <c r="H47" i="2"/>
  <c r="E47" i="2"/>
  <c r="L46" i="2"/>
  <c r="N46" i="2" s="1"/>
  <c r="I46" i="2"/>
  <c r="K46" i="2" s="1"/>
  <c r="H46" i="2"/>
  <c r="E46" i="2"/>
  <c r="N45" i="2"/>
  <c r="O45" i="2" s="1"/>
  <c r="L45" i="2"/>
  <c r="I45" i="2"/>
  <c r="K45" i="2" s="1"/>
  <c r="H45" i="2"/>
  <c r="L44" i="2"/>
  <c r="N44" i="2" s="1"/>
  <c r="I44" i="2"/>
  <c r="K44" i="2" s="1"/>
  <c r="H44" i="2"/>
  <c r="L43" i="2"/>
  <c r="N43" i="2" s="1"/>
  <c r="I43" i="2"/>
  <c r="K43" i="2" s="1"/>
  <c r="H43" i="2"/>
  <c r="L42" i="2"/>
  <c r="N42" i="2" s="1"/>
  <c r="I42" i="2"/>
  <c r="K42" i="2" s="1"/>
  <c r="H42" i="2"/>
  <c r="L41" i="2"/>
  <c r="N41" i="2" s="1"/>
  <c r="O41" i="2" s="1"/>
  <c r="I41" i="2"/>
  <c r="K41" i="2" s="1"/>
  <c r="H41" i="2"/>
  <c r="L40" i="2"/>
  <c r="N40" i="2" s="1"/>
  <c r="I40" i="2"/>
  <c r="K40" i="2" s="1"/>
  <c r="O40" i="2" s="1"/>
  <c r="H40" i="2"/>
  <c r="E40" i="2"/>
  <c r="L39" i="2"/>
  <c r="N39" i="2" s="1"/>
  <c r="F39" i="2"/>
  <c r="H39" i="2" s="1"/>
  <c r="L38" i="2"/>
  <c r="N38" i="2" s="1"/>
  <c r="G38" i="2"/>
  <c r="H38" i="2" s="1"/>
  <c r="F38" i="2"/>
  <c r="I38" i="2" s="1"/>
  <c r="K38" i="2" s="1"/>
  <c r="L37" i="2"/>
  <c r="N37" i="2" s="1"/>
  <c r="O37" i="2" s="1"/>
  <c r="I37" i="2"/>
  <c r="K37" i="2" s="1"/>
  <c r="H37" i="2"/>
  <c r="L36" i="2"/>
  <c r="N36" i="2" s="1"/>
  <c r="I36" i="2"/>
  <c r="K36" i="2" s="1"/>
  <c r="H36" i="2"/>
  <c r="E36" i="2"/>
  <c r="N35" i="2"/>
  <c r="L35" i="2"/>
  <c r="I35" i="2"/>
  <c r="K35" i="2" s="1"/>
  <c r="H35" i="2"/>
  <c r="E35" i="2"/>
  <c r="L34" i="2"/>
  <c r="N34" i="2" s="1"/>
  <c r="I34" i="2"/>
  <c r="K34" i="2" s="1"/>
  <c r="H34" i="2"/>
  <c r="E34" i="2"/>
  <c r="L33" i="2"/>
  <c r="N33" i="2" s="1"/>
  <c r="I33" i="2"/>
  <c r="K33" i="2" s="1"/>
  <c r="L32" i="2"/>
  <c r="N32" i="2" s="1"/>
  <c r="I32" i="2"/>
  <c r="K32" i="2" s="1"/>
  <c r="L31" i="2"/>
  <c r="N31" i="2" s="1"/>
  <c r="I31" i="2"/>
  <c r="K31" i="2" s="1"/>
  <c r="E31" i="2"/>
  <c r="L30" i="2"/>
  <c r="N30" i="2" s="1"/>
  <c r="I30" i="2"/>
  <c r="K30" i="2" s="1"/>
  <c r="H30" i="2"/>
  <c r="E30" i="2"/>
  <c r="L29" i="2"/>
  <c r="K29" i="2"/>
  <c r="I29" i="2"/>
  <c r="E29" i="2"/>
  <c r="L28" i="2"/>
  <c r="N28" i="2" s="1"/>
  <c r="I28" i="2"/>
  <c r="K28" i="2" s="1"/>
  <c r="H28" i="2"/>
  <c r="E28" i="2"/>
  <c r="N27" i="2"/>
  <c r="O27" i="2" s="1"/>
  <c r="L27" i="2"/>
  <c r="I27" i="2"/>
  <c r="K27" i="2" s="1"/>
  <c r="H27" i="2"/>
  <c r="E27" i="2"/>
  <c r="M26" i="2"/>
  <c r="J26" i="2"/>
  <c r="G26" i="2"/>
  <c r="F26" i="2"/>
  <c r="H26" i="2" s="1"/>
  <c r="D26" i="2"/>
  <c r="C26" i="2"/>
  <c r="L25" i="2"/>
  <c r="N25" i="2" s="1"/>
  <c r="I25" i="2"/>
  <c r="K25" i="2" s="1"/>
  <c r="H25" i="2"/>
  <c r="E25" i="2"/>
  <c r="L24" i="2"/>
  <c r="N24" i="2" s="1"/>
  <c r="O24" i="2" s="1"/>
  <c r="K24" i="2"/>
  <c r="I24" i="2"/>
  <c r="H24" i="2"/>
  <c r="E24" i="2"/>
  <c r="L23" i="2"/>
  <c r="N23" i="2" s="1"/>
  <c r="I23" i="2"/>
  <c r="K23" i="2" s="1"/>
  <c r="H23" i="2"/>
  <c r="E23" i="2"/>
  <c r="L22" i="2"/>
  <c r="N22" i="2" s="1"/>
  <c r="I22" i="2"/>
  <c r="I21" i="2" s="1"/>
  <c r="H22" i="2"/>
  <c r="E22" i="2"/>
  <c r="M21" i="2"/>
  <c r="J21" i="2"/>
  <c r="G21" i="2"/>
  <c r="H21" i="2" s="1"/>
  <c r="F21" i="2"/>
  <c r="D21" i="2"/>
  <c r="C21" i="2"/>
  <c r="E21" i="2" s="1"/>
  <c r="N20" i="2"/>
  <c r="N19" i="2" s="1"/>
  <c r="L20" i="2"/>
  <c r="I20" i="2"/>
  <c r="I19" i="2" s="1"/>
  <c r="H20" i="2"/>
  <c r="H19" i="2" s="1"/>
  <c r="E20" i="2"/>
  <c r="M19" i="2"/>
  <c r="L19" i="2"/>
  <c r="J19" i="2"/>
  <c r="G19" i="2"/>
  <c r="F19" i="2"/>
  <c r="E19" i="2"/>
  <c r="D19" i="2"/>
  <c r="C19" i="2"/>
  <c r="L18" i="2"/>
  <c r="N18" i="2" s="1"/>
  <c r="I18" i="2"/>
  <c r="K18" i="2" s="1"/>
  <c r="H18" i="2"/>
  <c r="E18" i="2"/>
  <c r="N17" i="2"/>
  <c r="L17" i="2"/>
  <c r="I17" i="2"/>
  <c r="K17" i="2" s="1"/>
  <c r="H17" i="2"/>
  <c r="E17" i="2"/>
  <c r="L16" i="2"/>
  <c r="N16" i="2" s="1"/>
  <c r="I16" i="2"/>
  <c r="K16" i="2" s="1"/>
  <c r="H16" i="2"/>
  <c r="N15" i="2"/>
  <c r="L15" i="2"/>
  <c r="I15" i="2"/>
  <c r="K15" i="2" s="1"/>
  <c r="E15" i="2"/>
  <c r="L14" i="2"/>
  <c r="N14" i="2" s="1"/>
  <c r="I14" i="2"/>
  <c r="K14" i="2" s="1"/>
  <c r="E14" i="2"/>
  <c r="N13" i="2"/>
  <c r="L13" i="2"/>
  <c r="I13" i="2"/>
  <c r="K13" i="2" s="1"/>
  <c r="H13" i="2"/>
  <c r="E13" i="2"/>
  <c r="L12" i="2"/>
  <c r="N12" i="2" s="1"/>
  <c r="O12" i="2" s="1"/>
  <c r="I12" i="2"/>
  <c r="K12" i="2" s="1"/>
  <c r="E12" i="2"/>
  <c r="L11" i="2"/>
  <c r="N11" i="2" s="1"/>
  <c r="I11" i="2"/>
  <c r="K11" i="2" s="1"/>
  <c r="H11" i="2"/>
  <c r="E11" i="2"/>
  <c r="M10" i="2"/>
  <c r="J10" i="2"/>
  <c r="G10" i="2"/>
  <c r="F10" i="2"/>
  <c r="D10" i="2"/>
  <c r="C10" i="2"/>
  <c r="G8" i="1"/>
  <c r="H8" i="1"/>
  <c r="I8" i="1"/>
  <c r="J8" i="1"/>
  <c r="G22" i="1"/>
  <c r="H22" i="1"/>
  <c r="I22" i="1"/>
  <c r="J22" i="1"/>
  <c r="G27" i="1"/>
  <c r="H27" i="1"/>
  <c r="I27" i="1"/>
  <c r="J27" i="1"/>
  <c r="G30" i="1"/>
  <c r="H30" i="1"/>
  <c r="I30" i="1"/>
  <c r="J30" i="1"/>
  <c r="G40" i="1"/>
  <c r="H40" i="1"/>
  <c r="I40" i="1"/>
  <c r="J40" i="1"/>
  <c r="G43" i="1"/>
  <c r="H43" i="1"/>
  <c r="I43" i="1"/>
  <c r="J43" i="1"/>
  <c r="G46" i="1"/>
  <c r="H46" i="1"/>
  <c r="I46" i="1"/>
  <c r="J46" i="1"/>
  <c r="G57" i="1"/>
  <c r="H57" i="1"/>
  <c r="I57" i="1"/>
  <c r="J57" i="1"/>
  <c r="G61" i="1"/>
  <c r="H61" i="1"/>
  <c r="I61" i="1"/>
  <c r="J61" i="1"/>
  <c r="G64" i="1"/>
  <c r="H64" i="1"/>
  <c r="I64" i="1"/>
  <c r="I78" i="1" s="1"/>
  <c r="J64" i="1"/>
  <c r="J78" i="1" s="1"/>
  <c r="H75" i="1"/>
  <c r="I75" i="1"/>
  <c r="J75" i="1"/>
  <c r="G76" i="1"/>
  <c r="F76" i="1" s="1"/>
  <c r="H78" i="1"/>
  <c r="G81" i="1"/>
  <c r="H81" i="1"/>
  <c r="I81" i="1"/>
  <c r="I96" i="1" s="1"/>
  <c r="J81" i="1"/>
  <c r="I92" i="1"/>
  <c r="G93" i="1"/>
  <c r="H93" i="1"/>
  <c r="I93" i="1"/>
  <c r="J93" i="1"/>
  <c r="G96" i="1"/>
  <c r="H96" i="1"/>
  <c r="G99" i="1"/>
  <c r="H99" i="1"/>
  <c r="I99" i="1"/>
  <c r="J99" i="1"/>
  <c r="J112" i="1" s="1"/>
  <c r="H109" i="1"/>
  <c r="I109" i="1"/>
  <c r="J109" i="1"/>
  <c r="G110" i="1"/>
  <c r="E110" i="1" s="1"/>
  <c r="E109" i="1" s="1"/>
  <c r="H112" i="1"/>
  <c r="G115" i="1"/>
  <c r="H115" i="1"/>
  <c r="I115" i="1"/>
  <c r="I129" i="1" s="1"/>
  <c r="J115" i="1"/>
  <c r="J129" i="1" s="1"/>
  <c r="H127" i="1"/>
  <c r="I127" i="1"/>
  <c r="J127" i="1"/>
  <c r="G128" i="1"/>
  <c r="E128" i="1" s="1"/>
  <c r="G132" i="1"/>
  <c r="H132" i="1"/>
  <c r="H147" i="1" s="1"/>
  <c r="I132" i="1"/>
  <c r="I147" i="1" s="1"/>
  <c r="J132" i="1"/>
  <c r="H142" i="1"/>
  <c r="I142" i="1"/>
  <c r="J142" i="1"/>
  <c r="G143" i="1"/>
  <c r="G150" i="1"/>
  <c r="H150" i="1"/>
  <c r="H165" i="1" s="1"/>
  <c r="I150" i="1"/>
  <c r="I165" i="1" s="1"/>
  <c r="J150" i="1"/>
  <c r="H161" i="1"/>
  <c r="I161" i="1"/>
  <c r="J161" i="1"/>
  <c r="G162" i="1"/>
  <c r="G161" i="1" s="1"/>
  <c r="G165" i="1" s="1"/>
  <c r="G168" i="1"/>
  <c r="H168" i="1"/>
  <c r="I168" i="1"/>
  <c r="I182" i="1" s="1"/>
  <c r="J168" i="1"/>
  <c r="J182" i="1" s="1"/>
  <c r="H174" i="1"/>
  <c r="F174" i="1" s="1"/>
  <c r="L174" i="1" s="1"/>
  <c r="H179" i="1"/>
  <c r="H182" i="1" s="1"/>
  <c r="I179" i="1"/>
  <c r="J179" i="1"/>
  <c r="G180" i="1"/>
  <c r="G179" i="1" s="1"/>
  <c r="G182" i="1"/>
  <c r="G185" i="1"/>
  <c r="H185" i="1"/>
  <c r="I185" i="1"/>
  <c r="I199" i="1" s="1"/>
  <c r="J185" i="1"/>
  <c r="J199" i="1" s="1"/>
  <c r="H196" i="1"/>
  <c r="I196" i="1"/>
  <c r="J196" i="1"/>
  <c r="G197" i="1"/>
  <c r="E197" i="1" s="1"/>
  <c r="H199" i="1"/>
  <c r="G202" i="1"/>
  <c r="H202" i="1"/>
  <c r="I202" i="1"/>
  <c r="J202" i="1"/>
  <c r="J215" i="1" s="1"/>
  <c r="H208" i="1"/>
  <c r="G212" i="1"/>
  <c r="H212" i="1"/>
  <c r="I212" i="1"/>
  <c r="J212" i="1"/>
  <c r="G215" i="1"/>
  <c r="H215" i="1"/>
  <c r="I215" i="1"/>
  <c r="G219" i="1"/>
  <c r="H219" i="1"/>
  <c r="I219" i="1"/>
  <c r="J219" i="1"/>
  <c r="G220" i="1"/>
  <c r="F220" i="1" s="1"/>
  <c r="H220" i="1"/>
  <c r="I220" i="1"/>
  <c r="J220" i="1"/>
  <c r="G221" i="1"/>
  <c r="H221" i="1"/>
  <c r="I221" i="1"/>
  <c r="J221" i="1"/>
  <c r="G222" i="1"/>
  <c r="H222" i="1"/>
  <c r="I222" i="1"/>
  <c r="F222" i="1" s="1"/>
  <c r="J222" i="1"/>
  <c r="G223" i="1"/>
  <c r="H223" i="1"/>
  <c r="F223" i="1" s="1"/>
  <c r="I223" i="1"/>
  <c r="J223" i="1"/>
  <c r="G224" i="1"/>
  <c r="H224" i="1"/>
  <c r="I224" i="1"/>
  <c r="J224" i="1"/>
  <c r="G225" i="1"/>
  <c r="H225" i="1"/>
  <c r="I225" i="1"/>
  <c r="J225" i="1"/>
  <c r="G226" i="1"/>
  <c r="E226" i="1" s="1"/>
  <c r="H226" i="1"/>
  <c r="F226" i="1" s="1"/>
  <c r="L226" i="1" s="1"/>
  <c r="I226" i="1"/>
  <c r="J226" i="1"/>
  <c r="G227" i="1"/>
  <c r="H227" i="1"/>
  <c r="I227" i="1"/>
  <c r="J227" i="1"/>
  <c r="G228" i="1"/>
  <c r="H228" i="1"/>
  <c r="F228" i="1" s="1"/>
  <c r="I228" i="1"/>
  <c r="J228" i="1"/>
  <c r="G229" i="1"/>
  <c r="E229" i="1" s="1"/>
  <c r="H229" i="1"/>
  <c r="I229" i="1"/>
  <c r="J229" i="1"/>
  <c r="G230" i="1"/>
  <c r="F230" i="1" s="1"/>
  <c r="L230" i="1" s="1"/>
  <c r="H230" i="1"/>
  <c r="I230" i="1"/>
  <c r="J230" i="1"/>
  <c r="H231" i="1"/>
  <c r="I231" i="1"/>
  <c r="J231" i="1"/>
  <c r="G233" i="1"/>
  <c r="H233" i="1"/>
  <c r="I233" i="1"/>
  <c r="J233" i="1"/>
  <c r="E233" i="1" s="1"/>
  <c r="G234" i="1"/>
  <c r="H234" i="1"/>
  <c r="I234" i="1"/>
  <c r="J234" i="1"/>
  <c r="G235" i="1"/>
  <c r="G236" i="1"/>
  <c r="H236" i="1"/>
  <c r="I236" i="1"/>
  <c r="E236" i="1" s="1"/>
  <c r="J236" i="1"/>
  <c r="K236" i="1"/>
  <c r="F236" i="1"/>
  <c r="D236" i="1"/>
  <c r="F235" i="1"/>
  <c r="E235" i="1"/>
  <c r="K234" i="1"/>
  <c r="D234" i="1"/>
  <c r="K233" i="1"/>
  <c r="D233" i="1"/>
  <c r="K231" i="1"/>
  <c r="D231" i="1"/>
  <c r="K230" i="1"/>
  <c r="D230" i="1"/>
  <c r="K229" i="1"/>
  <c r="M229" i="1" s="1"/>
  <c r="D229" i="1"/>
  <c r="K228" i="1"/>
  <c r="D228" i="1"/>
  <c r="K227" i="1"/>
  <c r="D227" i="1"/>
  <c r="K226" i="1"/>
  <c r="N226" i="1" s="1"/>
  <c r="D226" i="1"/>
  <c r="K225" i="1"/>
  <c r="D225" i="1"/>
  <c r="K224" i="1"/>
  <c r="F224" i="1"/>
  <c r="D224" i="1"/>
  <c r="K223" i="1"/>
  <c r="D223" i="1"/>
  <c r="K222" i="1"/>
  <c r="E222" i="1"/>
  <c r="D222" i="1"/>
  <c r="K221" i="1"/>
  <c r="D221" i="1"/>
  <c r="K220" i="1"/>
  <c r="N220" i="1" s="1"/>
  <c r="D220" i="1"/>
  <c r="K219" i="1"/>
  <c r="E219" i="1"/>
  <c r="D219" i="1"/>
  <c r="F214" i="1"/>
  <c r="L214" i="1" s="1"/>
  <c r="E214" i="1"/>
  <c r="M214" i="1" s="1"/>
  <c r="N213" i="1"/>
  <c r="F213" i="1"/>
  <c r="L213" i="1" s="1"/>
  <c r="E213" i="1"/>
  <c r="K212" i="1"/>
  <c r="D212" i="1"/>
  <c r="F211" i="1"/>
  <c r="L211" i="1" s="1"/>
  <c r="E211" i="1"/>
  <c r="M211" i="1" s="1"/>
  <c r="F210" i="1"/>
  <c r="E210" i="1"/>
  <c r="N209" i="1"/>
  <c r="F209" i="1"/>
  <c r="L209" i="1" s="1"/>
  <c r="E209" i="1"/>
  <c r="M209" i="1" s="1"/>
  <c r="N208" i="1"/>
  <c r="F208" i="1"/>
  <c r="E208" i="1"/>
  <c r="M208" i="1" s="1"/>
  <c r="N207" i="1"/>
  <c r="F207" i="1"/>
  <c r="L207" i="1" s="1"/>
  <c r="E207" i="1"/>
  <c r="M207" i="1" s="1"/>
  <c r="N206" i="1"/>
  <c r="F206" i="1"/>
  <c r="L206" i="1" s="1"/>
  <c r="E206" i="1"/>
  <c r="M206" i="1" s="1"/>
  <c r="N205" i="1"/>
  <c r="F205" i="1"/>
  <c r="E205" i="1"/>
  <c r="M205" i="1" s="1"/>
  <c r="N204" i="1"/>
  <c r="F204" i="1"/>
  <c r="L204" i="1" s="1"/>
  <c r="E204" i="1"/>
  <c r="M204" i="1" s="1"/>
  <c r="N203" i="1"/>
  <c r="F203" i="1"/>
  <c r="L203" i="1" s="1"/>
  <c r="E203" i="1"/>
  <c r="K202" i="1"/>
  <c r="D202" i="1"/>
  <c r="F198" i="1"/>
  <c r="L198" i="1" s="1"/>
  <c r="E198" i="1"/>
  <c r="M198" i="1" s="1"/>
  <c r="N197" i="1"/>
  <c r="F197" i="1"/>
  <c r="K196" i="1"/>
  <c r="D196" i="1"/>
  <c r="F195" i="1"/>
  <c r="E195" i="1"/>
  <c r="F194" i="1"/>
  <c r="E194" i="1"/>
  <c r="F193" i="1"/>
  <c r="E193" i="1"/>
  <c r="F192" i="1"/>
  <c r="L192" i="1" s="1"/>
  <c r="E192" i="1"/>
  <c r="M192" i="1" s="1"/>
  <c r="N191" i="1"/>
  <c r="F191" i="1"/>
  <c r="L191" i="1" s="1"/>
  <c r="E191" i="1"/>
  <c r="M191" i="1" s="1"/>
  <c r="N190" i="1"/>
  <c r="F190" i="1"/>
  <c r="L190" i="1" s="1"/>
  <c r="E190" i="1"/>
  <c r="M190" i="1" s="1"/>
  <c r="N189" i="1"/>
  <c r="F189" i="1"/>
  <c r="L189" i="1" s="1"/>
  <c r="E189" i="1"/>
  <c r="M189" i="1" s="1"/>
  <c r="N188" i="1"/>
  <c r="F188" i="1"/>
  <c r="E188" i="1"/>
  <c r="M188" i="1" s="1"/>
  <c r="N187" i="1"/>
  <c r="F187" i="1"/>
  <c r="L187" i="1" s="1"/>
  <c r="E187" i="1"/>
  <c r="M187" i="1" s="1"/>
  <c r="N186" i="1"/>
  <c r="F186" i="1"/>
  <c r="L186" i="1" s="1"/>
  <c r="E186" i="1"/>
  <c r="M186" i="1" s="1"/>
  <c r="K185" i="1"/>
  <c r="D185" i="1"/>
  <c r="F181" i="1"/>
  <c r="E181" i="1"/>
  <c r="N180" i="1"/>
  <c r="F180" i="1"/>
  <c r="E180" i="1"/>
  <c r="K179" i="1"/>
  <c r="D179" i="1"/>
  <c r="F178" i="1"/>
  <c r="E178" i="1"/>
  <c r="F177" i="1"/>
  <c r="E177" i="1"/>
  <c r="F176" i="1"/>
  <c r="L176" i="1" s="1"/>
  <c r="E176" i="1"/>
  <c r="M176" i="1" s="1"/>
  <c r="F175" i="1"/>
  <c r="L175" i="1" s="1"/>
  <c r="E175" i="1"/>
  <c r="M175" i="1" s="1"/>
  <c r="N174" i="1"/>
  <c r="E174" i="1"/>
  <c r="M174" i="1" s="1"/>
  <c r="N173" i="1"/>
  <c r="L173" i="1"/>
  <c r="F173" i="1"/>
  <c r="E173" i="1"/>
  <c r="M173" i="1" s="1"/>
  <c r="N172" i="1"/>
  <c r="M172" i="1"/>
  <c r="F172" i="1"/>
  <c r="L172" i="1" s="1"/>
  <c r="E172" i="1"/>
  <c r="F171" i="1"/>
  <c r="L171" i="1" s="1"/>
  <c r="E171" i="1"/>
  <c r="M171" i="1" s="1"/>
  <c r="N170" i="1"/>
  <c r="F170" i="1"/>
  <c r="L170" i="1" s="1"/>
  <c r="E170" i="1"/>
  <c r="M170" i="1" s="1"/>
  <c r="N169" i="1"/>
  <c r="F169" i="1"/>
  <c r="L169" i="1" s="1"/>
  <c r="E169" i="1"/>
  <c r="M169" i="1" s="1"/>
  <c r="K168" i="1"/>
  <c r="D168" i="1"/>
  <c r="F164" i="1"/>
  <c r="L164" i="1" s="1"/>
  <c r="E164" i="1"/>
  <c r="M164" i="1" s="1"/>
  <c r="M163" i="1"/>
  <c r="F163" i="1"/>
  <c r="L163" i="1" s="1"/>
  <c r="E163" i="1"/>
  <c r="N162" i="1"/>
  <c r="L162" i="1"/>
  <c r="E162" i="1"/>
  <c r="F162" i="1"/>
  <c r="K161" i="1"/>
  <c r="D161" i="1"/>
  <c r="F160" i="1"/>
  <c r="E160" i="1"/>
  <c r="F159" i="1"/>
  <c r="L159" i="1" s="1"/>
  <c r="E159" i="1"/>
  <c r="M159" i="1" s="1"/>
  <c r="F158" i="1"/>
  <c r="L158" i="1" s="1"/>
  <c r="E158" i="1"/>
  <c r="M158" i="1" s="1"/>
  <c r="L157" i="1"/>
  <c r="F157" i="1"/>
  <c r="E157" i="1"/>
  <c r="M157" i="1" s="1"/>
  <c r="N156" i="1"/>
  <c r="M156" i="1"/>
  <c r="F156" i="1"/>
  <c r="L156" i="1" s="1"/>
  <c r="E156" i="1"/>
  <c r="N155" i="1"/>
  <c r="L155" i="1"/>
  <c r="F155" i="1"/>
  <c r="E155" i="1"/>
  <c r="M155" i="1" s="1"/>
  <c r="N154" i="1"/>
  <c r="M154" i="1"/>
  <c r="F154" i="1"/>
  <c r="E154" i="1"/>
  <c r="N153" i="1"/>
  <c r="L153" i="1"/>
  <c r="F153" i="1"/>
  <c r="E153" i="1"/>
  <c r="M153" i="1" s="1"/>
  <c r="N152" i="1"/>
  <c r="M152" i="1"/>
  <c r="F152" i="1"/>
  <c r="L152" i="1" s="1"/>
  <c r="E152" i="1"/>
  <c r="N151" i="1"/>
  <c r="L151" i="1"/>
  <c r="F151" i="1"/>
  <c r="E151" i="1"/>
  <c r="M151" i="1" s="1"/>
  <c r="K150" i="1"/>
  <c r="D150" i="1"/>
  <c r="F146" i="1"/>
  <c r="E146" i="1"/>
  <c r="N145" i="1"/>
  <c r="F145" i="1"/>
  <c r="L145" i="1" s="1"/>
  <c r="E145" i="1"/>
  <c r="M145" i="1" s="1"/>
  <c r="N144" i="1"/>
  <c r="F144" i="1"/>
  <c r="L144" i="1" s="1"/>
  <c r="E144" i="1"/>
  <c r="M144" i="1" s="1"/>
  <c r="N143" i="1"/>
  <c r="K142" i="1"/>
  <c r="D142" i="1"/>
  <c r="F141" i="1"/>
  <c r="L141" i="1" s="1"/>
  <c r="E141" i="1"/>
  <c r="M141" i="1" s="1"/>
  <c r="M140" i="1"/>
  <c r="F140" i="1"/>
  <c r="L140" i="1" s="1"/>
  <c r="E140" i="1"/>
  <c r="F139" i="1"/>
  <c r="L139" i="1" s="1"/>
  <c r="E139" i="1"/>
  <c r="M139" i="1" s="1"/>
  <c r="F138" i="1"/>
  <c r="L138" i="1" s="1"/>
  <c r="E138" i="1"/>
  <c r="M138" i="1" s="1"/>
  <c r="N137" i="1"/>
  <c r="F137" i="1"/>
  <c r="L137" i="1" s="1"/>
  <c r="E137" i="1"/>
  <c r="M137" i="1" s="1"/>
  <c r="N136" i="1"/>
  <c r="F136" i="1"/>
  <c r="L136" i="1" s="1"/>
  <c r="E136" i="1"/>
  <c r="M136" i="1" s="1"/>
  <c r="N135" i="1"/>
  <c r="F135" i="1"/>
  <c r="L135" i="1" s="1"/>
  <c r="E135" i="1"/>
  <c r="M135" i="1" s="1"/>
  <c r="N134" i="1"/>
  <c r="F134" i="1"/>
  <c r="L134" i="1" s="1"/>
  <c r="E134" i="1"/>
  <c r="M134" i="1" s="1"/>
  <c r="N133" i="1"/>
  <c r="F133" i="1"/>
  <c r="L133" i="1" s="1"/>
  <c r="E133" i="1"/>
  <c r="M133" i="1" s="1"/>
  <c r="K132" i="1"/>
  <c r="D132" i="1"/>
  <c r="N132" i="1" s="1"/>
  <c r="N128" i="1"/>
  <c r="K127" i="1"/>
  <c r="D127" i="1"/>
  <c r="F126" i="1"/>
  <c r="L126" i="1" s="1"/>
  <c r="E126" i="1"/>
  <c r="M126" i="1" s="1"/>
  <c r="N125" i="1"/>
  <c r="F125" i="1"/>
  <c r="L125" i="1" s="1"/>
  <c r="E125" i="1"/>
  <c r="M125" i="1" s="1"/>
  <c r="N124" i="1"/>
  <c r="F124" i="1"/>
  <c r="L124" i="1" s="1"/>
  <c r="E124" i="1"/>
  <c r="M124" i="1" s="1"/>
  <c r="F123" i="1"/>
  <c r="E123" i="1"/>
  <c r="N122" i="1"/>
  <c r="F122" i="1"/>
  <c r="L122" i="1" s="1"/>
  <c r="E122" i="1"/>
  <c r="M122" i="1" s="1"/>
  <c r="N121" i="1"/>
  <c r="F121" i="1"/>
  <c r="L121" i="1" s="1"/>
  <c r="E121" i="1"/>
  <c r="M121" i="1" s="1"/>
  <c r="N120" i="1"/>
  <c r="F120" i="1"/>
  <c r="L120" i="1" s="1"/>
  <c r="E120" i="1"/>
  <c r="M120" i="1" s="1"/>
  <c r="F119" i="1"/>
  <c r="E119" i="1"/>
  <c r="N118" i="1"/>
  <c r="F118" i="1"/>
  <c r="L118" i="1" s="1"/>
  <c r="E118" i="1"/>
  <c r="M118" i="1" s="1"/>
  <c r="N117" i="1"/>
  <c r="F117" i="1"/>
  <c r="L117" i="1" s="1"/>
  <c r="E117" i="1"/>
  <c r="M117" i="1" s="1"/>
  <c r="N116" i="1"/>
  <c r="F116" i="1"/>
  <c r="L116" i="1" s="1"/>
  <c r="E116" i="1"/>
  <c r="M116" i="1" s="1"/>
  <c r="K115" i="1"/>
  <c r="D115" i="1"/>
  <c r="F111" i="1"/>
  <c r="E111" i="1"/>
  <c r="N110" i="1"/>
  <c r="F110" i="1"/>
  <c r="K109" i="1"/>
  <c r="D109" i="1"/>
  <c r="F108" i="1"/>
  <c r="E108" i="1"/>
  <c r="F107" i="1"/>
  <c r="E107" i="1"/>
  <c r="F106" i="1"/>
  <c r="E106" i="1"/>
  <c r="N105" i="1"/>
  <c r="F105" i="1"/>
  <c r="L105" i="1" s="1"/>
  <c r="E105" i="1"/>
  <c r="M105" i="1" s="1"/>
  <c r="N104" i="1"/>
  <c r="M104" i="1"/>
  <c r="F104" i="1"/>
  <c r="L104" i="1" s="1"/>
  <c r="E104" i="1"/>
  <c r="N103" i="1"/>
  <c r="L103" i="1"/>
  <c r="F103" i="1"/>
  <c r="E103" i="1"/>
  <c r="N102" i="1"/>
  <c r="F102" i="1"/>
  <c r="L102" i="1" s="1"/>
  <c r="E102" i="1"/>
  <c r="M102" i="1" s="1"/>
  <c r="N101" i="1"/>
  <c r="L101" i="1"/>
  <c r="F101" i="1"/>
  <c r="E101" i="1"/>
  <c r="M101" i="1" s="1"/>
  <c r="N100" i="1"/>
  <c r="M100" i="1"/>
  <c r="F100" i="1"/>
  <c r="L100" i="1" s="1"/>
  <c r="E100" i="1"/>
  <c r="K99" i="1"/>
  <c r="D99" i="1"/>
  <c r="N99" i="1" s="1"/>
  <c r="F95" i="1"/>
  <c r="L95" i="1" s="1"/>
  <c r="E95" i="1"/>
  <c r="M95" i="1" s="1"/>
  <c r="N94" i="1"/>
  <c r="L94" i="1"/>
  <c r="F94" i="1"/>
  <c r="F93" i="1" s="1"/>
  <c r="E94" i="1"/>
  <c r="M94" i="1" s="1"/>
  <c r="K93" i="1"/>
  <c r="D93" i="1"/>
  <c r="N92" i="1"/>
  <c r="M92" i="1"/>
  <c r="F92" i="1"/>
  <c r="L92" i="1" s="1"/>
  <c r="F91" i="1"/>
  <c r="E91" i="1"/>
  <c r="F90" i="1"/>
  <c r="L90" i="1" s="1"/>
  <c r="E90" i="1"/>
  <c r="M90" i="1" s="1"/>
  <c r="N89" i="1"/>
  <c r="F89" i="1"/>
  <c r="L89" i="1" s="1"/>
  <c r="E89" i="1"/>
  <c r="M89" i="1" s="1"/>
  <c r="N88" i="1"/>
  <c r="F88" i="1"/>
  <c r="L88" i="1" s="1"/>
  <c r="E88" i="1"/>
  <c r="M88" i="1" s="1"/>
  <c r="N87" i="1"/>
  <c r="F87" i="1"/>
  <c r="L87" i="1" s="1"/>
  <c r="E87" i="1"/>
  <c r="M87" i="1" s="1"/>
  <c r="N86" i="1"/>
  <c r="F86" i="1"/>
  <c r="L86" i="1" s="1"/>
  <c r="E86" i="1"/>
  <c r="M86" i="1" s="1"/>
  <c r="N85" i="1"/>
  <c r="F85" i="1"/>
  <c r="E85" i="1"/>
  <c r="M85" i="1" s="1"/>
  <c r="N84" i="1"/>
  <c r="F84" i="1"/>
  <c r="L84" i="1" s="1"/>
  <c r="E84" i="1"/>
  <c r="M84" i="1" s="1"/>
  <c r="N83" i="1"/>
  <c r="F83" i="1"/>
  <c r="L83" i="1" s="1"/>
  <c r="E83" i="1"/>
  <c r="M83" i="1" s="1"/>
  <c r="N82" i="1"/>
  <c r="F82" i="1"/>
  <c r="L82" i="1" s="1"/>
  <c r="E82" i="1"/>
  <c r="M82" i="1" s="1"/>
  <c r="K81" i="1"/>
  <c r="D81" i="1"/>
  <c r="F77" i="1"/>
  <c r="L77" i="1" s="1"/>
  <c r="E77" i="1"/>
  <c r="M77" i="1" s="1"/>
  <c r="N76" i="1"/>
  <c r="K75" i="1"/>
  <c r="D75" i="1"/>
  <c r="F74" i="1"/>
  <c r="E74" i="1"/>
  <c r="F73" i="1"/>
  <c r="L73" i="1" s="1"/>
  <c r="E73" i="1"/>
  <c r="M73" i="1" s="1"/>
  <c r="N72" i="1"/>
  <c r="F72" i="1"/>
  <c r="L72" i="1" s="1"/>
  <c r="E72" i="1"/>
  <c r="M72" i="1" s="1"/>
  <c r="F71" i="1"/>
  <c r="L71" i="1" s="1"/>
  <c r="E71" i="1"/>
  <c r="N70" i="1"/>
  <c r="F70" i="1"/>
  <c r="L70" i="1" s="1"/>
  <c r="E70" i="1"/>
  <c r="M70" i="1" s="1"/>
  <c r="N69" i="1"/>
  <c r="F69" i="1"/>
  <c r="L69" i="1" s="1"/>
  <c r="E69" i="1"/>
  <c r="M69" i="1" s="1"/>
  <c r="N68" i="1"/>
  <c r="F68" i="1"/>
  <c r="L68" i="1" s="1"/>
  <c r="E68" i="1"/>
  <c r="N67" i="1"/>
  <c r="F67" i="1"/>
  <c r="L67" i="1" s="1"/>
  <c r="E67" i="1"/>
  <c r="M67" i="1" s="1"/>
  <c r="N66" i="1"/>
  <c r="F66" i="1"/>
  <c r="L66" i="1" s="1"/>
  <c r="E66" i="1"/>
  <c r="M66" i="1" s="1"/>
  <c r="N65" i="1"/>
  <c r="F65" i="1"/>
  <c r="L65" i="1" s="1"/>
  <c r="E65" i="1"/>
  <c r="M65" i="1" s="1"/>
  <c r="K64" i="1"/>
  <c r="D64" i="1"/>
  <c r="N60" i="1"/>
  <c r="F60" i="1"/>
  <c r="E60" i="1"/>
  <c r="F59" i="1"/>
  <c r="L59" i="1" s="1"/>
  <c r="E59" i="1"/>
  <c r="M59" i="1" s="1"/>
  <c r="N58" i="1"/>
  <c r="F58" i="1"/>
  <c r="L58" i="1" s="1"/>
  <c r="E58" i="1"/>
  <c r="M58" i="1" s="1"/>
  <c r="K57" i="1"/>
  <c r="D57" i="1"/>
  <c r="F56" i="1"/>
  <c r="E56" i="1"/>
  <c r="N55" i="1"/>
  <c r="M55" i="1"/>
  <c r="F55" i="1"/>
  <c r="L55" i="1" s="1"/>
  <c r="E55" i="1"/>
  <c r="N54" i="1"/>
  <c r="F54" i="1"/>
  <c r="L54" i="1" s="1"/>
  <c r="E54" i="1"/>
  <c r="M54" i="1" s="1"/>
  <c r="F53" i="1"/>
  <c r="L53" i="1" s="1"/>
  <c r="E53" i="1"/>
  <c r="M53" i="1" s="1"/>
  <c r="N52" i="1"/>
  <c r="F52" i="1"/>
  <c r="L52" i="1" s="1"/>
  <c r="E52" i="1"/>
  <c r="M52" i="1" s="1"/>
  <c r="N51" i="1"/>
  <c r="F51" i="1"/>
  <c r="E51" i="1"/>
  <c r="N50" i="1"/>
  <c r="F50" i="1"/>
  <c r="E50" i="1"/>
  <c r="M50" i="1" s="1"/>
  <c r="N49" i="1"/>
  <c r="F49" i="1"/>
  <c r="L49" i="1" s="1"/>
  <c r="E49" i="1"/>
  <c r="M49" i="1" s="1"/>
  <c r="N48" i="1"/>
  <c r="F48" i="1"/>
  <c r="L48" i="1" s="1"/>
  <c r="E48" i="1"/>
  <c r="M48" i="1" s="1"/>
  <c r="N47" i="1"/>
  <c r="F47" i="1"/>
  <c r="L47" i="1" s="1"/>
  <c r="E47" i="1"/>
  <c r="M47" i="1" s="1"/>
  <c r="K46" i="1"/>
  <c r="D46" i="1"/>
  <c r="F42" i="1"/>
  <c r="L42" i="1" s="1"/>
  <c r="E42" i="1"/>
  <c r="N41" i="1"/>
  <c r="F41" i="1"/>
  <c r="E41" i="1"/>
  <c r="M41" i="1" s="1"/>
  <c r="K40" i="1"/>
  <c r="D40" i="1"/>
  <c r="F39" i="1"/>
  <c r="F38" i="1"/>
  <c r="N37" i="1"/>
  <c r="M37" i="1"/>
  <c r="F37" i="1"/>
  <c r="E37" i="1"/>
  <c r="F36" i="1"/>
  <c r="L36" i="1" s="1"/>
  <c r="E36" i="1"/>
  <c r="M36" i="1" s="1"/>
  <c r="N35" i="1"/>
  <c r="F35" i="1"/>
  <c r="L35" i="1" s="1"/>
  <c r="E35" i="1"/>
  <c r="M35" i="1" s="1"/>
  <c r="N34" i="1"/>
  <c r="F34" i="1"/>
  <c r="L34" i="1" s="1"/>
  <c r="E34" i="1"/>
  <c r="M34" i="1" s="1"/>
  <c r="N33" i="1"/>
  <c r="F33" i="1"/>
  <c r="L33" i="1" s="1"/>
  <c r="E33" i="1"/>
  <c r="M33" i="1" s="1"/>
  <c r="N32" i="1"/>
  <c r="F32" i="1"/>
  <c r="L32" i="1" s="1"/>
  <c r="E32" i="1"/>
  <c r="M32" i="1" s="1"/>
  <c r="N31" i="1"/>
  <c r="F31" i="1"/>
  <c r="L31" i="1" s="1"/>
  <c r="E31" i="1"/>
  <c r="M31" i="1" s="1"/>
  <c r="K30" i="1"/>
  <c r="D30" i="1"/>
  <c r="F26" i="1"/>
  <c r="L26" i="1" s="1"/>
  <c r="E26" i="1"/>
  <c r="M26" i="1" s="1"/>
  <c r="F25" i="1"/>
  <c r="L25" i="1" s="1"/>
  <c r="E25" i="1"/>
  <c r="M25" i="1" s="1"/>
  <c r="F24" i="1"/>
  <c r="L24" i="1" s="1"/>
  <c r="E24" i="1"/>
  <c r="M24" i="1" s="1"/>
  <c r="N23" i="1"/>
  <c r="F23" i="1"/>
  <c r="E23" i="1"/>
  <c r="M23" i="1" s="1"/>
  <c r="K22" i="1"/>
  <c r="D22" i="1"/>
  <c r="F21" i="1"/>
  <c r="E21" i="1"/>
  <c r="N20" i="1"/>
  <c r="F20" i="1"/>
  <c r="L20" i="1" s="1"/>
  <c r="E20" i="1"/>
  <c r="M20" i="1" s="1"/>
  <c r="N19" i="1"/>
  <c r="F19" i="1"/>
  <c r="L19" i="1" s="1"/>
  <c r="E19" i="1"/>
  <c r="M19" i="1" s="1"/>
  <c r="N18" i="1"/>
  <c r="F18" i="1"/>
  <c r="L18" i="1" s="1"/>
  <c r="E18" i="1"/>
  <c r="M18" i="1" s="1"/>
  <c r="N17" i="1"/>
  <c r="F17" i="1"/>
  <c r="L17" i="1" s="1"/>
  <c r="E17" i="1"/>
  <c r="M17" i="1" s="1"/>
  <c r="N16" i="1"/>
  <c r="F16" i="1"/>
  <c r="L16" i="1" s="1"/>
  <c r="E16" i="1"/>
  <c r="M16" i="1" s="1"/>
  <c r="N15" i="1"/>
  <c r="F15" i="1"/>
  <c r="L15" i="1" s="1"/>
  <c r="E15" i="1"/>
  <c r="M15" i="1" s="1"/>
  <c r="N14" i="1"/>
  <c r="F14" i="1"/>
  <c r="E14" i="1"/>
  <c r="N13" i="1"/>
  <c r="F13" i="1"/>
  <c r="L13" i="1" s="1"/>
  <c r="E13" i="1"/>
  <c r="M13" i="1" s="1"/>
  <c r="N12" i="1"/>
  <c r="F12" i="1"/>
  <c r="E12" i="1"/>
  <c r="M12" i="1" s="1"/>
  <c r="N11" i="1"/>
  <c r="F11" i="1"/>
  <c r="L11" i="1" s="1"/>
  <c r="E11" i="1"/>
  <c r="M11" i="1" s="1"/>
  <c r="N10" i="1"/>
  <c r="F10" i="1"/>
  <c r="L10" i="1" s="1"/>
  <c r="E10" i="1"/>
  <c r="M10" i="1" s="1"/>
  <c r="N9" i="1"/>
  <c r="F9" i="1"/>
  <c r="L9" i="1" s="1"/>
  <c r="E9" i="1"/>
  <c r="M9" i="1" s="1"/>
  <c r="K8" i="1"/>
  <c r="D8" i="1"/>
  <c r="N140" i="2" l="1"/>
  <c r="O141" i="2"/>
  <c r="O39" i="2"/>
  <c r="O80" i="2"/>
  <c r="O128" i="2"/>
  <c r="O64" i="2"/>
  <c r="O107" i="2"/>
  <c r="O112" i="2"/>
  <c r="O14" i="2"/>
  <c r="O38" i="2"/>
  <c r="O48" i="2"/>
  <c r="O56" i="2"/>
  <c r="O82" i="2"/>
  <c r="O99" i="2"/>
  <c r="O111" i="2"/>
  <c r="O60" i="2"/>
  <c r="O18" i="2"/>
  <c r="O28" i="2"/>
  <c r="O34" i="2"/>
  <c r="O36" i="2"/>
  <c r="I39" i="2"/>
  <c r="K39" i="2" s="1"/>
  <c r="O44" i="2"/>
  <c r="O46" i="2"/>
  <c r="O72" i="2"/>
  <c r="O74" i="2"/>
  <c r="O78" i="2"/>
  <c r="O87" i="2"/>
  <c r="O91" i="2"/>
  <c r="L134" i="2"/>
  <c r="I134" i="2"/>
  <c r="O50" i="2"/>
  <c r="O66" i="2"/>
  <c r="O75" i="2"/>
  <c r="O106" i="2"/>
  <c r="O131" i="2"/>
  <c r="I138" i="2"/>
  <c r="O54" i="2"/>
  <c r="H75" i="2"/>
  <c r="O84" i="2"/>
  <c r="E86" i="2"/>
  <c r="O90" i="2"/>
  <c r="N115" i="2"/>
  <c r="N114" i="2" s="1"/>
  <c r="I114" i="2"/>
  <c r="K145" i="2"/>
  <c r="K142" i="2" s="1"/>
  <c r="E10" i="2"/>
  <c r="O13" i="2"/>
  <c r="O15" i="2"/>
  <c r="O31" i="2"/>
  <c r="O42" i="2"/>
  <c r="O47" i="2"/>
  <c r="C58" i="2"/>
  <c r="C146" i="2" s="1"/>
  <c r="O67" i="2"/>
  <c r="K102" i="2"/>
  <c r="H123" i="2"/>
  <c r="O132" i="2"/>
  <c r="E123" i="2"/>
  <c r="O126" i="2"/>
  <c r="L123" i="2"/>
  <c r="K119" i="2"/>
  <c r="N120" i="2"/>
  <c r="O109" i="2"/>
  <c r="O96" i="2"/>
  <c r="O95" i="2"/>
  <c r="O94" i="2"/>
  <c r="O93" i="2"/>
  <c r="O81" i="2"/>
  <c r="O70" i="2"/>
  <c r="O57" i="2"/>
  <c r="O55" i="2"/>
  <c r="O43" i="2"/>
  <c r="E26" i="2"/>
  <c r="M146" i="2"/>
  <c r="I26" i="2"/>
  <c r="L26" i="2"/>
  <c r="D146" i="2"/>
  <c r="H10" i="2"/>
  <c r="O16" i="2"/>
  <c r="I10" i="2"/>
  <c r="O11" i="2"/>
  <c r="N10" i="2"/>
  <c r="N103" i="2"/>
  <c r="O104" i="2"/>
  <c r="O23" i="2"/>
  <c r="N21" i="2"/>
  <c r="K10" i="2"/>
  <c r="O17" i="2"/>
  <c r="K26" i="2"/>
  <c r="O30" i="2"/>
  <c r="O35" i="2"/>
  <c r="O25" i="2"/>
  <c r="K123" i="2"/>
  <c r="O125" i="2"/>
  <c r="O115" i="2"/>
  <c r="O120" i="2"/>
  <c r="N119" i="2"/>
  <c r="G146" i="2"/>
  <c r="L10" i="2"/>
  <c r="K20" i="2"/>
  <c r="L58" i="2"/>
  <c r="O71" i="2"/>
  <c r="N139" i="2"/>
  <c r="N143" i="2"/>
  <c r="N142" i="2" s="1"/>
  <c r="L21" i="2"/>
  <c r="O51" i="2"/>
  <c r="N58" i="2"/>
  <c r="O97" i="2"/>
  <c r="L103" i="2"/>
  <c r="K117" i="2"/>
  <c r="O117" i="2" s="1"/>
  <c r="O118" i="2"/>
  <c r="O121" i="2"/>
  <c r="I123" i="2"/>
  <c r="K136" i="2"/>
  <c r="O136" i="2" s="1"/>
  <c r="K58" i="2"/>
  <c r="K22" i="2"/>
  <c r="N29" i="2"/>
  <c r="O29" i="2" s="1"/>
  <c r="K103" i="2"/>
  <c r="J146" i="2"/>
  <c r="O59" i="2"/>
  <c r="O68" i="2"/>
  <c r="H86" i="2"/>
  <c r="F58" i="2"/>
  <c r="I103" i="2"/>
  <c r="O124" i="2"/>
  <c r="N123" i="2"/>
  <c r="O135" i="2"/>
  <c r="N134" i="2"/>
  <c r="O140" i="2"/>
  <c r="F234" i="1"/>
  <c r="L234" i="1" s="1"/>
  <c r="F161" i="1"/>
  <c r="J147" i="1"/>
  <c r="D147" i="1"/>
  <c r="F99" i="1"/>
  <c r="L99" i="1" s="1"/>
  <c r="H232" i="1"/>
  <c r="G232" i="1"/>
  <c r="J96" i="1"/>
  <c r="I218" i="1"/>
  <c r="E223" i="1"/>
  <c r="M223" i="1" s="1"/>
  <c r="H218" i="1"/>
  <c r="H237" i="1" s="1"/>
  <c r="G218" i="1"/>
  <c r="G237" i="1" s="1"/>
  <c r="J218" i="1"/>
  <c r="E224" i="1"/>
  <c r="G75" i="1"/>
  <c r="G78" i="1" s="1"/>
  <c r="D129" i="1"/>
  <c r="J165" i="1"/>
  <c r="F22" i="1"/>
  <c r="L22" i="1" s="1"/>
  <c r="L41" i="1"/>
  <c r="F40" i="1"/>
  <c r="E76" i="1"/>
  <c r="M76" i="1" s="1"/>
  <c r="J232" i="1"/>
  <c r="G196" i="1"/>
  <c r="G199" i="1" s="1"/>
  <c r="H129" i="1"/>
  <c r="F168" i="1"/>
  <c r="I232" i="1"/>
  <c r="F143" i="1"/>
  <c r="L143" i="1" s="1"/>
  <c r="E143" i="1"/>
  <c r="G142" i="1"/>
  <c r="G147" i="1" s="1"/>
  <c r="I112" i="1"/>
  <c r="L168" i="1"/>
  <c r="D199" i="1"/>
  <c r="D215" i="1"/>
  <c r="M219" i="1"/>
  <c r="M233" i="1"/>
  <c r="G127" i="1"/>
  <c r="G129" i="1" s="1"/>
  <c r="F128" i="1"/>
  <c r="L128" i="1" s="1"/>
  <c r="L161" i="1"/>
  <c r="F212" i="1"/>
  <c r="L212" i="1" s="1"/>
  <c r="N230" i="1"/>
  <c r="G109" i="1"/>
  <c r="G112" i="1" s="1"/>
  <c r="K27" i="1"/>
  <c r="D78" i="1"/>
  <c r="E81" i="1"/>
  <c r="M81" i="1" s="1"/>
  <c r="D182" i="1"/>
  <c r="N222" i="1"/>
  <c r="N224" i="1"/>
  <c r="D232" i="1"/>
  <c r="F8" i="1"/>
  <c r="L8" i="1" s="1"/>
  <c r="N22" i="1"/>
  <c r="N64" i="1"/>
  <c r="D165" i="1"/>
  <c r="E179" i="1"/>
  <c r="M179" i="1" s="1"/>
  <c r="D218" i="1"/>
  <c r="N228" i="1"/>
  <c r="D96" i="1"/>
  <c r="L222" i="1"/>
  <c r="L228" i="1"/>
  <c r="M236" i="1"/>
  <c r="F57" i="1"/>
  <c r="L57" i="1" s="1"/>
  <c r="N8" i="1"/>
  <c r="D43" i="1"/>
  <c r="D61" i="1"/>
  <c r="N127" i="1"/>
  <c r="L220" i="1"/>
  <c r="D27" i="1"/>
  <c r="N30" i="1"/>
  <c r="E40" i="1"/>
  <c r="M40" i="1" s="1"/>
  <c r="M42" i="1"/>
  <c r="N81" i="1"/>
  <c r="E127" i="1"/>
  <c r="M128" i="1"/>
  <c r="N202" i="1"/>
  <c r="L12" i="1"/>
  <c r="E22" i="1"/>
  <c r="L23" i="1"/>
  <c r="N57" i="1"/>
  <c r="E93" i="1"/>
  <c r="L110" i="1"/>
  <c r="F109" i="1"/>
  <c r="F112" i="1" s="1"/>
  <c r="N150" i="1"/>
  <c r="K165" i="1"/>
  <c r="M222" i="1"/>
  <c r="E8" i="1"/>
  <c r="M8" i="1" s="1"/>
  <c r="L37" i="1"/>
  <c r="F30" i="1"/>
  <c r="F43" i="1" s="1"/>
  <c r="L40" i="1"/>
  <c r="E46" i="1"/>
  <c r="M46" i="1" s="1"/>
  <c r="F46" i="1"/>
  <c r="L46" i="1" s="1"/>
  <c r="L50" i="1"/>
  <c r="E57" i="1"/>
  <c r="E61" i="1" s="1"/>
  <c r="F64" i="1"/>
  <c r="L64" i="1" s="1"/>
  <c r="M68" i="1"/>
  <c r="E64" i="1"/>
  <c r="M64" i="1" s="1"/>
  <c r="E75" i="1"/>
  <c r="L76" i="1"/>
  <c r="F75" i="1"/>
  <c r="L75" i="1" s="1"/>
  <c r="L93" i="1"/>
  <c r="N93" i="1"/>
  <c r="K96" i="1"/>
  <c r="M110" i="1"/>
  <c r="D112" i="1"/>
  <c r="E115" i="1"/>
  <c r="M115" i="1" s="1"/>
  <c r="F115" i="1"/>
  <c r="L115" i="1" s="1"/>
  <c r="E196" i="1"/>
  <c r="M197" i="1"/>
  <c r="M103" i="1"/>
  <c r="E99" i="1"/>
  <c r="M99" i="1" s="1"/>
  <c r="E30" i="1"/>
  <c r="M30" i="1" s="1"/>
  <c r="N40" i="1"/>
  <c r="N46" i="1"/>
  <c r="K61" i="1"/>
  <c r="N75" i="1"/>
  <c r="K78" i="1"/>
  <c r="F81" i="1"/>
  <c r="L81" i="1" s="1"/>
  <c r="L85" i="1"/>
  <c r="K112" i="1"/>
  <c r="N109" i="1"/>
  <c r="M109" i="1"/>
  <c r="F132" i="1"/>
  <c r="L132" i="1" s="1"/>
  <c r="N142" i="1"/>
  <c r="K147" i="1"/>
  <c r="K182" i="1"/>
  <c r="N179" i="1"/>
  <c r="N212" i="1"/>
  <c r="K215" i="1"/>
  <c r="L223" i="1"/>
  <c r="L236" i="1"/>
  <c r="K43" i="1"/>
  <c r="N115" i="1"/>
  <c r="N161" i="1"/>
  <c r="N168" i="1"/>
  <c r="L197" i="1"/>
  <c r="F196" i="1"/>
  <c r="M203" i="1"/>
  <c r="E202" i="1"/>
  <c r="M202" i="1" s="1"/>
  <c r="M213" i="1"/>
  <c r="E212" i="1"/>
  <c r="F227" i="1"/>
  <c r="L227" i="1" s="1"/>
  <c r="E227" i="1"/>
  <c r="M227" i="1" s="1"/>
  <c r="N227" i="1"/>
  <c r="K129" i="1"/>
  <c r="L180" i="1"/>
  <c r="F179" i="1"/>
  <c r="F182" i="1" s="1"/>
  <c r="L208" i="1"/>
  <c r="F202" i="1"/>
  <c r="L202" i="1" s="1"/>
  <c r="F221" i="1"/>
  <c r="L221" i="1" s="1"/>
  <c r="E221" i="1"/>
  <c r="M221" i="1" s="1"/>
  <c r="N221" i="1"/>
  <c r="E225" i="1"/>
  <c r="M225" i="1" s="1"/>
  <c r="M226" i="1"/>
  <c r="F231" i="1"/>
  <c r="E231" i="1"/>
  <c r="E132" i="1"/>
  <c r="M132" i="1" s="1"/>
  <c r="E150" i="1"/>
  <c r="M150" i="1" s="1"/>
  <c r="F150" i="1"/>
  <c r="L150" i="1" s="1"/>
  <c r="L154" i="1"/>
  <c r="M162" i="1"/>
  <c r="E161" i="1"/>
  <c r="M161" i="1" s="1"/>
  <c r="M180" i="1"/>
  <c r="E185" i="1"/>
  <c r="M185" i="1" s="1"/>
  <c r="F185" i="1"/>
  <c r="L185" i="1" s="1"/>
  <c r="N196" i="1"/>
  <c r="K199" i="1"/>
  <c r="L196" i="1"/>
  <c r="E220" i="1"/>
  <c r="M220" i="1"/>
  <c r="F225" i="1"/>
  <c r="L225" i="1" s="1"/>
  <c r="E228" i="1"/>
  <c r="M228" i="1" s="1"/>
  <c r="F229" i="1"/>
  <c r="L229" i="1" s="1"/>
  <c r="E230" i="1"/>
  <c r="M230" i="1" s="1"/>
  <c r="E234" i="1"/>
  <c r="M234" i="1" s="1"/>
  <c r="E168" i="1"/>
  <c r="M168" i="1" s="1"/>
  <c r="N185" i="1"/>
  <c r="F219" i="1"/>
  <c r="L219" i="1" s="1"/>
  <c r="N219" i="1"/>
  <c r="N223" i="1"/>
  <c r="N225" i="1"/>
  <c r="N229" i="1"/>
  <c r="F233" i="1"/>
  <c r="F232" i="1" s="1"/>
  <c r="N233" i="1"/>
  <c r="K218" i="1"/>
  <c r="K232" i="1"/>
  <c r="O114" i="2" l="1"/>
  <c r="K114" i="2"/>
  <c r="E58" i="2"/>
  <c r="E146" i="2"/>
  <c r="O102" i="2"/>
  <c r="K101" i="2"/>
  <c r="O101" i="2" s="1"/>
  <c r="O123" i="2"/>
  <c r="O119" i="2"/>
  <c r="O103" i="2"/>
  <c r="I58" i="2"/>
  <c r="H58" i="2"/>
  <c r="K21" i="2"/>
  <c r="O21" i="2" s="1"/>
  <c r="O22" i="2"/>
  <c r="F146" i="2"/>
  <c r="O58" i="2"/>
  <c r="N138" i="2"/>
  <c r="O138" i="2" s="1"/>
  <c r="O139" i="2"/>
  <c r="N26" i="2"/>
  <c r="O26" i="2" s="1"/>
  <c r="O10" i="2"/>
  <c r="K134" i="2"/>
  <c r="K19" i="2"/>
  <c r="O19" i="2" s="1"/>
  <c r="O20" i="2"/>
  <c r="E182" i="1"/>
  <c r="D237" i="1"/>
  <c r="I237" i="1"/>
  <c r="J237" i="1"/>
  <c r="F142" i="1"/>
  <c r="L142" i="1" s="1"/>
  <c r="N27" i="1"/>
  <c r="M57" i="1"/>
  <c r="F127" i="1"/>
  <c r="L127" i="1" s="1"/>
  <c r="E142" i="1"/>
  <c r="M142" i="1" s="1"/>
  <c r="M143" i="1"/>
  <c r="F165" i="1"/>
  <c r="L165" i="1" s="1"/>
  <c r="F27" i="1"/>
  <c r="L27" i="1" s="1"/>
  <c r="L109" i="1"/>
  <c r="L30" i="1"/>
  <c r="F215" i="1"/>
  <c r="E218" i="1"/>
  <c r="M218" i="1" s="1"/>
  <c r="E215" i="1"/>
  <c r="M215" i="1" s="1"/>
  <c r="F61" i="1"/>
  <c r="E199" i="1"/>
  <c r="M199" i="1" s="1"/>
  <c r="L233" i="1"/>
  <c r="M196" i="1"/>
  <c r="E232" i="1"/>
  <c r="F199" i="1"/>
  <c r="L199" i="1" s="1"/>
  <c r="L43" i="1"/>
  <c r="N43" i="1"/>
  <c r="N215" i="1"/>
  <c r="L215" i="1"/>
  <c r="N182" i="1"/>
  <c r="M182" i="1"/>
  <c r="L182" i="1"/>
  <c r="L61" i="1"/>
  <c r="N61" i="1"/>
  <c r="M61" i="1"/>
  <c r="F78" i="1"/>
  <c r="L78" i="1" s="1"/>
  <c r="M127" i="1"/>
  <c r="E129" i="1"/>
  <c r="M129" i="1" s="1"/>
  <c r="L179" i="1"/>
  <c r="N96" i="1"/>
  <c r="M96" i="1"/>
  <c r="F96" i="1"/>
  <c r="L96" i="1" s="1"/>
  <c r="E27" i="1"/>
  <c r="M27" i="1" s="1"/>
  <c r="M22" i="1"/>
  <c r="E112" i="1"/>
  <c r="E43" i="1"/>
  <c r="M43" i="1" s="1"/>
  <c r="N218" i="1"/>
  <c r="N199" i="1"/>
  <c r="N147" i="1"/>
  <c r="N232" i="1"/>
  <c r="K237" i="1"/>
  <c r="L232" i="1"/>
  <c r="F218" i="1"/>
  <c r="L218" i="1" s="1"/>
  <c r="E165" i="1"/>
  <c r="M165" i="1" s="1"/>
  <c r="N129" i="1"/>
  <c r="M212" i="1"/>
  <c r="N112" i="1"/>
  <c r="M112" i="1"/>
  <c r="L112" i="1"/>
  <c r="N78" i="1"/>
  <c r="E78" i="1"/>
  <c r="M78" i="1" s="1"/>
  <c r="M75" i="1"/>
  <c r="N165" i="1"/>
  <c r="E96" i="1"/>
  <c r="M93" i="1"/>
  <c r="N146" i="2" l="1"/>
  <c r="K146" i="2"/>
  <c r="O134" i="2"/>
  <c r="H146" i="2"/>
  <c r="E147" i="1"/>
  <c r="M147" i="1" s="1"/>
  <c r="F147" i="1"/>
  <c r="L147" i="1" s="1"/>
  <c r="F129" i="1"/>
  <c r="L129" i="1" s="1"/>
  <c r="F237" i="1"/>
  <c r="L237" i="1" s="1"/>
  <c r="E237" i="1"/>
  <c r="M237" i="1" s="1"/>
  <c r="N237" i="1"/>
  <c r="M232" i="1"/>
  <c r="O146" i="2" l="1"/>
</calcChain>
</file>

<file path=xl/sharedStrings.xml><?xml version="1.0" encoding="utf-8"?>
<sst xmlns="http://schemas.openxmlformats.org/spreadsheetml/2006/main" count="732" uniqueCount="290">
  <si>
    <t>Отчет об исполнении консолидированного бюджета Октябрьского района по состоянию на 01.09.2021</t>
  </si>
  <si>
    <t>(тыс.руб.)</t>
  </si>
  <si>
    <t xml:space="preserve"> </t>
  </si>
  <si>
    <t>Первонач. план на 2021 год</t>
  </si>
  <si>
    <t>Уточн. план на 2021 год</t>
  </si>
  <si>
    <t>План                 на 9 месяцев 2021 года</t>
  </si>
  <si>
    <t>1 квартал</t>
  </si>
  <si>
    <t>2 квартал</t>
  </si>
  <si>
    <t>3 квартал</t>
  </si>
  <si>
    <t>4 квартал</t>
  </si>
  <si>
    <t>Исполнение на 01.09.2021</t>
  </si>
  <si>
    <t xml:space="preserve">% исп-ия к плану за 9 месяцев 2021 года </t>
  </si>
  <si>
    <t xml:space="preserve">% исп-ия к уточн. плану на 2021 год </t>
  </si>
  <si>
    <t xml:space="preserve">% исп-ия к первонач. плану на 2021 год </t>
  </si>
  <si>
    <t>КБК</t>
  </si>
  <si>
    <t>Наименование дохода</t>
  </si>
  <si>
    <t>Октябрьский район</t>
  </si>
  <si>
    <t>00010000000000000000</t>
  </si>
  <si>
    <t>НАЛОГОВЫЕ И НЕНАЛОГОВЫЕ ДОХОДЫ</t>
  </si>
  <si>
    <t>00010102000010000110</t>
  </si>
  <si>
    <t>Налог на доходы физических лиц</t>
  </si>
  <si>
    <t>00010302000010000110</t>
  </si>
  <si>
    <t>Акцизы по подакцизным товарам (продукции), производимым на территории Российской Федерации</t>
  </si>
  <si>
    <t>00010500000000000000</t>
  </si>
  <si>
    <t>Налоги на совокупный доход</t>
  </si>
  <si>
    <t>00010600000000000000</t>
  </si>
  <si>
    <t>Налоги  на  имущество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</si>
  <si>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</si>
  <si>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</si>
  <si>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</si>
  <si>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</si>
  <si>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</si>
  <si>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 , находящегося  в государственной и муниципальной собственности</t>
  </si>
  <si>
    <t>00011200000000000000</t>
  </si>
  <si>
    <t>Платежи при пользовании  природными  ресурсами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</si>
  <si>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</si>
  <si>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</si>
  <si>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</si>
  <si>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</si>
  <si>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00011500000000000000</t>
  </si>
  <si>
    <t>Административные платежи и сборы</t>
  </si>
  <si>
    <t>00011600000000000000</t>
  </si>
  <si>
    <t>Штрафы, санкции, возмещение  ущерба</t>
  </si>
  <si>
    <t>00011700000000000000</t>
  </si>
  <si>
    <t>Прочие неналоговые доходы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</si>
  <si>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</si>
  <si>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</si>
  <si>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</si>
  <si>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</si>
  <si>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00020700000000000000</t>
  </si>
  <si>
    <t>Прочие безвозмездные поступления</t>
  </si>
  <si>
    <t>00021800000000000000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</si>
  <si>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</si>
  <si>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</si>
  <si>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</si>
  <si>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</si>
  <si>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</si>
  <si>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</si>
  <si>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</si>
  <si>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</si>
  <si>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00011900000000000000</t>
  </si>
  <si>
    <t>Возврат остатков субсидий и субвенций прошлых лет</t>
  </si>
  <si>
    <t>сельское поселение Каменное</t>
  </si>
  <si>
    <t>сельское поселение Карымкары</t>
  </si>
  <si>
    <t>сельское поселение М-Атлым</t>
  </si>
  <si>
    <t>00020700000000000180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</si>
  <si>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</si>
  <si>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</si>
  <si>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</si>
  <si>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</si>
  <si>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105</t>
  </si>
  <si>
    <t>Октябрьский район (консолидированный бюджет)</t>
  </si>
  <si>
    <t>106</t>
  </si>
  <si>
    <t>108</t>
  </si>
  <si>
    <t xml:space="preserve"> -</t>
  </si>
  <si>
    <t>111</t>
  </si>
  <si>
    <t>112</t>
  </si>
  <si>
    <t>113</t>
  </si>
  <si>
    <t>114</t>
  </si>
  <si>
    <t>116</t>
  </si>
  <si>
    <t>202</t>
  </si>
  <si>
    <t>207</t>
  </si>
  <si>
    <t>Отчет  об  исполнении  консолидированного  бюджета  района  по  расходам на 1 сентября 2021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</si>
  <si>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</si>
  <si>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</si>
  <si>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</si>
  <si>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</si>
  <si>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</si>
  <si>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</si>
  <si>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01.09.2021</t>
  </si>
  <si>
    <t>% исполнения</t>
  </si>
  <si>
    <r>
      <t xml:space="preserve">план                </t>
    </r>
    <r>
      <rPr>
        <b/>
        <i/>
        <sz val="12"/>
        <rFont val="Times New Roman"/>
        <family val="1"/>
        <charset val="204"/>
      </rPr>
      <t xml:space="preserve"> итого</t>
    </r>
    <r>
      <rPr>
        <b/>
        <i/>
        <sz val="11"/>
        <rFont val="Times New Roman"/>
        <family val="1"/>
        <charset val="204"/>
      </rPr>
      <t xml:space="preserve"> </t>
    </r>
  </si>
  <si>
    <t>суммы подлежащие исключению</t>
  </si>
  <si>
    <r>
      <t xml:space="preserve">исполнение               </t>
    </r>
    <r>
      <rPr>
        <i/>
        <sz val="12"/>
        <rFont val="Times New Roman"/>
        <family val="1"/>
        <charset val="204"/>
      </rPr>
      <t xml:space="preserve"> итого</t>
    </r>
    <r>
      <rPr>
        <i/>
        <sz val="11"/>
        <rFont val="Times New Roman"/>
        <family val="1"/>
        <charset val="204"/>
      </rPr>
      <t xml:space="preserve"> </t>
    </r>
  </si>
  <si>
    <t>исполнения на 01.09.2021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</si>
  <si>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</si>
  <si>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</si>
  <si>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</si>
  <si>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</si>
  <si>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</si>
  <si>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</si>
  <si>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</si>
  <si>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</si>
  <si>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</si>
  <si>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</si>
  <si>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</si>
  <si>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</si>
  <si>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</si>
  <si>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</si>
  <si>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</si>
  <si>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</si>
  <si>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</si>
  <si>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</si>
  <si>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</si>
  <si>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</si>
  <si>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</si>
  <si>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</si>
  <si>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</si>
  <si>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</si>
  <si>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</si>
  <si>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</si>
  <si>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</si>
  <si>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</si>
  <si>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</si>
  <si>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</si>
  <si>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</si>
  <si>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</si>
  <si>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</si>
  <si>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</si>
  <si>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</si>
  <si>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</si>
  <si>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</si>
  <si>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</si>
  <si>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</si>
  <si>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</si>
  <si>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</si>
  <si>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(1140199990 - район, 4030099990, 4110089020, 0120199990 -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</si>
  <si>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</si>
  <si>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</si>
  <si>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район" (11101S2390)</t>
  </si>
  <si>
    <t>Муниципальная  программа" Развитие транспортной  системы муниципального  образования Октябрьский  район"  (1110182390) окружные средства</t>
  </si>
  <si>
    <t>Содержание автомобильных дорог общего пользования (1110199990)  (дорожный фонд)</t>
  </si>
  <si>
    <r>
      <t>Основное мероприятие "Выполнение работ по содержанию автомобильных дорог общего пользования местного  значения, внутриквартальных автомобильных дорог, тротуаров в  городском поселении Приобье". (</t>
    </r>
    <r>
      <rPr>
        <sz val="11"/>
        <rFont val="Times New Roman"/>
        <family val="1"/>
        <charset val="204"/>
      </rPr>
      <t>2560189111</t>
    </r>
    <r>
      <rPr>
        <sz val="11"/>
        <color indexed="8"/>
        <rFont val="Times New Roman"/>
        <family val="1"/>
        <charset val="204"/>
      </rPr>
      <t xml:space="preserve">,2560199990, </t>
    </r>
    <r>
      <rPr>
        <sz val="11"/>
        <rFont val="Times New Roman"/>
        <family val="1"/>
        <charset val="204"/>
      </rPr>
      <t>2560189112</t>
    </r>
    <r>
      <rPr>
        <sz val="11"/>
        <color indexed="8"/>
        <rFont val="Times New Roman"/>
        <family val="1"/>
        <charset val="204"/>
      </rPr>
      <t xml:space="preserve">, </t>
    </r>
    <r>
      <rPr>
        <sz val="11"/>
        <rFont val="Times New Roman"/>
        <family val="1"/>
        <charset val="204"/>
      </rPr>
      <t>2570199990</t>
    </r>
    <r>
      <rPr>
        <sz val="11"/>
        <color indexed="8"/>
        <rFont val="Times New Roman"/>
        <family val="1"/>
        <charset val="204"/>
      </rPr>
      <t>)</t>
    </r>
  </si>
  <si>
    <t>Основное мероприятие "Капитальный ремонт и ремонт автомобильных дорог местного значения городского поселения Талинка". (0300189111, 0300289112, 0300199990, 0300399990)</t>
  </si>
  <si>
    <t>Основное мероприятие "Содержание автомобильных дорог" (0400299990)</t>
  </si>
  <si>
    <r>
      <t>Иные межбюджетные трансферты на проведение диагностики, капитальный ремонт и ремонт автомобильных дорог общего пользования местного значения (</t>
    </r>
    <r>
      <rPr>
        <sz val="11"/>
        <rFont val="Times New Roman"/>
        <family val="1"/>
        <charset val="204"/>
      </rPr>
      <t>1110189111, 1110189112</t>
    </r>
    <r>
      <rPr>
        <sz val="11"/>
        <color indexed="8"/>
        <rFont val="Times New Roman"/>
        <family val="1"/>
        <charset val="204"/>
      </rPr>
      <t>, 1110189113, 1500289152)(0110189111, 0110189112, 0110199990, 4030089112 поселения)</t>
    </r>
  </si>
  <si>
    <t>Основное мероприятие "Реализация мероприятий в рамках дорожной деятельности" (0100199990, 0100189111, 0100489112, 0100189113, ,0100189152, 4030089111,0100190105, 0100189112)</t>
  </si>
  <si>
    <t>Основное мероприятие "Проведение диагностики автомобильных дорог" ( 0100490106)</t>
  </si>
  <si>
    <t>Основное мероприятие "Содержание автомобильных дорог" (0100299990)</t>
  </si>
  <si>
    <t>Основное мероприятие "Приобретение дорожных знаков и краски для разметки" (0100399990)</t>
  </si>
  <si>
    <t>Основное мероприятие "Закупка товаров, работ и услуг для обеспечения  государственных (муниципальных) нужд" (0100199990, 0100189111, 0100189112)</t>
  </si>
  <si>
    <t>Расходы на реализацию мероприятий (2560199990, 2570199990)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</si>
  <si>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</si>
  <si>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</si>
  <si>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</si>
  <si>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</si>
  <si>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Иные межбюджетные трансферты на межевание земельных участков (1800289182)(4030089182, 4010089182, 4050089182 поселения)</t>
  </si>
  <si>
    <t>Реализация мероприятий по градостроительной деятельностиа (0910282761, 09102S2761)</t>
  </si>
  <si>
    <t>Реализация мероприятий муниципальной программы "Поддержка малого и среднего предпринимательства в Октябрьском районе" ( 0810199990) местный бюджет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</si>
  <si>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районе" ( 082I482380, 082I4S2380) окружной бюджет</t>
  </si>
  <si>
    <t>Осуществление полномочий по государственному управлению охраной труда (1910184120) тс. 01.30.39</t>
  </si>
  <si>
    <t xml:space="preserve">Реализация мероприятий муниципальной программы "Финансовая поддержка субъектов малого и среднего предпринимательства в Октябрьском районе" (0820199990) </t>
  </si>
  <si>
    <t xml:space="preserve">Основное мероприятие "Управлене и распоряжение земельными ресурсами" (1800299990) </t>
  </si>
  <si>
    <t>Осуществление полномочий по государственному управлению охраной труда (1910199990) местный бюджет</t>
  </si>
  <si>
    <t>Реализация мероприятий муниципальной программы "Развитие агропромышленного комплекса в муниципальном образовании Октябрьский район" Расходы на развитие  системы заготовки и переработки дикиросов (0500284190)</t>
  </si>
  <si>
    <t>Реализация мероприятий в области жилищно-коммунального хозяйтсва(4060099990)</t>
  </si>
  <si>
    <t>Реализация мероприятий в рамках непрограммного направления деятельности (4030099990)</t>
  </si>
  <si>
    <t>05</t>
  </si>
  <si>
    <t>Жилищно-коммунальное хозяйство</t>
  </si>
  <si>
    <t>0501</t>
  </si>
  <si>
    <t>Развитие жилищной сферы в муниципальном образовании Октябрьский район" (0910182661, 0910199990, 09101S2661, 091F382661, 091F3S2661, 0910342110) 01.40.04, 01.02.00, 01.00.00, 01.40.01</t>
  </si>
  <si>
    <t xml:space="preserve"> "Управление и распоряжение  муниципальным  имуществом муниципального  образования Октябрьский  район" (1800199990)</t>
  </si>
  <si>
    <t>Укрепление материально-технической базы объектов муниципальной собственности (1800742110)</t>
  </si>
  <si>
    <t>Строительство и реконструкция  объектов  муниципальной  собственности (0910342110)</t>
  </si>
  <si>
    <t>Основное мероприятие "Приобретение жилых помещений в целях предоставления гражданам, формирование муниципального маневренного жилищного фонда" (0910182762, 09101S2762)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</si>
  <si>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бюджета автономного округа (091F367484)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</si>
  <si>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местного бюджета  (091F36748S)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</si>
  <si>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поступивших от гос.корпорации - Фонда содействия реформированию ЖКХ. (091F367483)</t>
  </si>
  <si>
    <t>Основное мероприятие "Повышение эффективности управления и содержания муниципального жилого фонда" (0230199990,0240199990)</t>
  </si>
  <si>
    <t>Капитальный ремонт жилого фонда 1030189102, 1030142120 (4060099990,4060089102, 4010089102, 4010099990 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</si>
  <si>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</si>
  <si>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 (1020161100, 1020189103 т.с 01.00) местный бюджет (0220161100, 4060061100, 4060089103 поселения)</t>
  </si>
  <si>
    <t xml:space="preserve"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(расходы на финансовое обеспечение затрат в целях оплаты задолженности организаций коммунального компдлекса за потребление топливо-энергетические ресурсы перед гарантирующими поставщиками) 1020185150 т.с. 01.51.22 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</si>
  <si>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в городских поселениях Талинка, Октябрьское) (1020161100 т.с. 01.00)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</si>
  <si>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</si>
  <si>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(электроснабжение) (1020182240) окружной бюджет</t>
  </si>
  <si>
    <t>Субвенции на возмещение недополученных доходов организациям, осуществляющим реализацию населению   сжиженного газа по социально-ориентированным розничным ценам  (1020184340)</t>
  </si>
  <si>
    <t>Расходы на реализацию полномочий в сфере ЖКХ (1010182591, 1010199990, 10101S2591)(4060082591, 40600S2591 , 0210182591, 02101S2591, 0210199990 , 4060099990 поселения)</t>
  </si>
  <si>
    <t>Субсидия на возмещение расходов организации за доставку населению сжиженного газа для бытовых нужд (1020182830, 10201S2830)</t>
  </si>
  <si>
    <t>Региональный проект "Чистая вода" (101F5S2190)</t>
  </si>
  <si>
    <t>Основное мероприятие "Реализация мероприятий обеспечения качественными коммунальными услугами". Расходы на реконструкцию, расширение, модернизацию, строительство коммунальных объектов (101F582190)</t>
  </si>
  <si>
    <t>Основное мероприятие "Реализация мероприятий обеспечения качественными коммунальными услугами" (1010120030, 1010189101) (0210189101, 4060089101 поселения)</t>
  </si>
  <si>
    <t>Межбюджетные трансферты, передаваемые бюджетным муниципальным образованиям на осуществление части полномочий по решению вопросов местного значения в соответствии с заключенными соглашениями (4110089020 поселения)</t>
  </si>
  <si>
    <t>Основное мероприятие "Расходы на аварийно-технический запас в сфере ЖКХ"(0210199990 , 4060099990 поселения)</t>
  </si>
  <si>
    <t>Строительство и реконструкция объектов муниципальной собственности (1010142110)</t>
  </si>
  <si>
    <t>Разработка проектно-сметной документации (1010142130, 1010189104, 1010189105)(4060089104, 4060089105 поселения)</t>
  </si>
  <si>
    <t>Основное мероприятие "Реализация мероприятий обеспечения качественными коммунальными услугами". Подпрограмма "Формирование комфортной городской среды". (105F255550)</t>
  </si>
  <si>
    <t>0503</t>
  </si>
  <si>
    <t>Основное мероприятие "Реализация мероприятий обеспечения качественными коммунальными услугами". Подпрограмма "Формирование комфортной городской среды". (105F255550, 105F2S2600, 105F282600), (025F255550, 406F255550, 105F255550, 406F282600, 406F2S2600 поселения)</t>
  </si>
  <si>
    <t>Реализация  мероприятий  муниципальной  программы "Обеспечение и организация мероприятий по благоустройству улиц, тротуаров, сохранение объектов внешнего благоустройства (зеленое хозяйство), содержание, ремонт объектов уличного освещения(1500189151, 4060089151 поселения)</t>
  </si>
  <si>
    <t>Иные межбюджетные трансферты на финансирование наказов избирателей депутатам Думы ХМАО-Югры  (4120085160)</t>
  </si>
  <si>
    <t>Расходы на благоустройство территорий муниципальных образований (105F282600, 105F2S2600)</t>
  </si>
  <si>
    <t>"Улучшение экологической ситуации на территории Октябрьского района" расходы на создание площадок временного накопления твердых коммунальных отходов(0600289061)(4060089061 поселения)</t>
  </si>
  <si>
    <t>Реализация мероприятий муниципальной программы "Развитие гражданского общества в муниципальном образовании Октябрьский район" (2200282751, 2200282753) (0500182751, 05001S2751, 02000S2753,  0200082753 поселения)</t>
  </si>
  <si>
    <t>"Улучшение экологической ситуации на территории Октябрьского района"  за счет средств резервного фонда Правительства Ханты-Мансийского автономного округа -Югры(0600285150)</t>
  </si>
  <si>
    <t>Основное мероприятие "Увеличение количества благоустроенных дворовых территорий и мест общего пользования" (1050199990)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</si>
  <si>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</si>
  <si>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(105F255550)</t>
  </si>
  <si>
    <t>Расходы на капитальный ремонт муниципального жилищного фонда (10501S2600, 105F282600)</t>
  </si>
  <si>
    <t>Расходы на благоустройство территорий муниципальных образований (105F2S2600)</t>
  </si>
  <si>
    <t>Основное мероприятие "Реализация социально значимых инициативных проектов на территории муниципального образования Октябрьский район"( 0500182751, 05001S2751)</t>
  </si>
  <si>
    <t xml:space="preserve"> Реализация мероприятий (0100199990, 4060099990, 0250199990, 0500199991)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</si>
  <si>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</si>
  <si>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</si>
  <si>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</si>
  <si>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</si>
  <si>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</si>
  <si>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</si>
  <si>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</si>
  <si>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</si>
  <si>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</si>
  <si>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</si>
  <si>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 xml:space="preserve">Субсидии на строительство и реконструкцию объектов муниципальной собственности (0140442110) </t>
  </si>
  <si>
    <t>0702</t>
  </si>
  <si>
    <t>Общее образование</t>
  </si>
  <si>
    <t>Бесплатное питание (0140284030)</t>
  </si>
  <si>
    <t>Расходы на организацию бесплатного горячего питания обучающихся, получающих начальное общее образование в гоосударственных и муниципальных образовательных организациях (01402L3040)</t>
  </si>
  <si>
    <t>Муниципальная программа  "Развитие образоания в муниципальном образовании Октябрьский район" Расходы на создание в общеобразовательных организациях, расположенных в сельской местности, условий для занятий физ культурой и спортом. (014E250970)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</si>
  <si>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(0140482030) 01.40.18 и местн. 01404S2030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</si>
  <si>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</si>
  <si>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</si>
  <si>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</si>
  <si>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</si>
  <si>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</si>
  <si>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</si>
  <si>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</si>
  <si>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</si>
  <si>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</si>
  <si>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</si>
  <si>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03101S2520, 4070082520, 40700S2520 поселения)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</si>
  <si>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</si>
  <si>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</si>
  <si>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</si>
  <si>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</si>
  <si>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</si>
  <si>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</si>
  <si>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0907</t>
  </si>
  <si>
    <t>Дотация по обеспечению  санитарно-эпидемиологической безопасности при подготовке к проведению общероссийского голосования (140W058530)</t>
  </si>
  <si>
    <t>0909</t>
  </si>
  <si>
    <t>Бюджетные инвестиции в объекты капитального строительства государственной собственности субъектов РФ (1800542110)</t>
  </si>
  <si>
    <t>Расходы на организацию мероприятий по проведению дезинсекции и дератизации (1800684280)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</si>
  <si>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</si>
  <si>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</si>
  <si>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 (09202D1340 01.30.15) 0920251340</t>
  </si>
  <si>
    <t>1003</t>
  </si>
  <si>
    <t>Мероприятие на реализацию мер, направленных на профилактику и устранение последствий распространения новой коронавирусной инфекции (1350191350)</t>
  </si>
  <si>
    <t>Субсидии на софинансирование мероприятий подпрограммы "Обеспечение жильем молодых семей"  за счет средств бюджета автономного округа (0920251760)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</si>
  <si>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</si>
  <si>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</si>
  <si>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</si>
  <si>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Югры" за счет средств автономного округа (1310184310)</t>
  </si>
  <si>
    <t>Обеспечение жильем молодых семей (09201L4970) 01.40.02, 01.02.00, 01.41.04,</t>
  </si>
  <si>
    <t>1006</t>
  </si>
  <si>
    <t>Реализация мероприятий по защите населения и территории от чрезвычайных ситуацийприродного и техногенного характера, гражданская оборона (4020099990)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</si>
  <si>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</si>
  <si>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</si>
  <si>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</si>
  <si>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</si>
  <si>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1103</t>
  </si>
  <si>
    <t>Спорт высших достижений</t>
  </si>
  <si>
    <t>Средства массовой информации</t>
  </si>
  <si>
    <t>1202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</si>
  <si>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</si>
  <si>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</si>
  <si>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</si>
  <si>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</si>
  <si>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</si>
  <si>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</si>
  <si>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</si>
  <si>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</si>
  <si>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</si>
  <si>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</si>
  <si>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</si>
  <si>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</si>
  <si>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Мальгин С.В.</t>
  </si>
  <si>
    <t>Заведующий бюджетным отделом</t>
  </si>
  <si>
    <t>Заворотынская Н.А.</t>
  </si>
  <si>
    <t>Заведующий отделом  доходов</t>
  </si>
  <si>
    <t>Мартюшова О.Г.</t>
  </si>
  <si>
    <t xml:space="preserve">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</si>
</sst>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₽&quot;_-;\-* #,##0.00\ &quot;₽&quot;_-;_-* &quot;-&quot;??\ &quot;₽&quot;_-;_-@_-"/>
    <numFmt numFmtId="164" formatCode="#,##0.0"/>
    <numFmt numFmtId="166" formatCode="0.0"/>
    <numFmt numFmtId="167" formatCode="_-* #,##0.0_р_._-;\-* #,##0.0_р_._-;_-* &quot;-&quot;?_р_._-;_-@_-"/>
    <numFmt numFmtId="168" formatCode="#,##0.00_ ;\-#,##0.00\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charset val="204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10"/>
      <name val="Arial Cyr"/>
      <charset val="204"/>
    </font>
    <font>
      <sz val="10"/>
      <name val="Arial Cyr"/>
    </font>
    <font>
      <b/>
      <sz val="12"/>
      <color indexed="3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Arial Cyr"/>
      <charset val="204"/>
    </font>
    <font>
      <b/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36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3" fillId="0" borderId="0"/>
    <xf numFmtId="0" fontId="30" fillId="0" borderId="0"/>
  </cellStyleXfs>
  <cellXfs count="206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Alignment="1"/>
    <xf numFmtId="0" fontId="4" fillId="0" borderId="0" xfId="0" applyFont="1" applyFill="1" applyAlignment="1"/>
    <xf numFmtId="0" fontId="0" fillId="0" borderId="0" xfId="0" applyFill="1" applyAlignment="1"/>
    <xf numFmtId="0" fontId="0" fillId="0" borderId="0" xfId="0" applyFill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49" fontId="7" fillId="0" borderId="8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/>
    </xf>
    <xf numFmtId="164" fontId="6" fillId="0" borderId="8" xfId="0" applyNumberFormat="1" applyFont="1" applyFill="1" applyBorder="1" applyAlignment="1">
      <alignment horizontal="right" vertical="top"/>
    </xf>
    <xf numFmtId="164" fontId="6" fillId="0" borderId="8" xfId="0" applyNumberFormat="1" applyFont="1" applyFill="1" applyBorder="1" applyAlignment="1">
      <alignment vertical="top"/>
    </xf>
    <xf numFmtId="49" fontId="8" fillId="0" borderId="5" xfId="0" applyNumberFormat="1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vertical="top" wrapText="1"/>
    </xf>
    <xf numFmtId="164" fontId="9" fillId="0" borderId="5" xfId="0" applyNumberFormat="1" applyFont="1" applyFill="1" applyBorder="1" applyAlignment="1">
      <alignment vertical="top" wrapText="1"/>
    </xf>
    <xf numFmtId="164" fontId="10" fillId="0" borderId="5" xfId="0" applyNumberFormat="1" applyFont="1" applyFill="1" applyBorder="1" applyAlignment="1">
      <alignment horizontal="right" vertical="top"/>
    </xf>
    <xf numFmtId="164" fontId="10" fillId="0" borderId="5" xfId="0" applyNumberFormat="1" applyFont="1" applyFill="1" applyBorder="1" applyAlignment="1">
      <alignment vertical="top"/>
    </xf>
    <xf numFmtId="164" fontId="10" fillId="0" borderId="8" xfId="0" applyNumberFormat="1" applyFont="1" applyFill="1" applyBorder="1" applyAlignment="1">
      <alignment vertical="top"/>
    </xf>
    <xf numFmtId="0" fontId="9" fillId="0" borderId="8" xfId="0" applyFont="1" applyFill="1" applyBorder="1" applyAlignment="1">
      <alignment vertical="top" wrapText="1"/>
    </xf>
    <xf numFmtId="164" fontId="9" fillId="0" borderId="8" xfId="0" applyNumberFormat="1" applyFont="1" applyFill="1" applyBorder="1" applyAlignment="1">
      <alignment vertical="top" wrapText="1"/>
    </xf>
    <xf numFmtId="164" fontId="10" fillId="0" borderId="8" xfId="0" applyNumberFormat="1" applyFont="1" applyFill="1" applyBorder="1" applyAlignment="1">
      <alignment horizontal="right" vertical="top"/>
    </xf>
    <xf numFmtId="49" fontId="8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/>
    </xf>
    <xf numFmtId="49" fontId="8" fillId="0" borderId="8" xfId="0" applyNumberFormat="1" applyFont="1" applyFill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horizontal="center" vertical="top" wrapText="1"/>
    </xf>
    <xf numFmtId="49" fontId="9" fillId="0" borderId="9" xfId="0" applyNumberFormat="1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vertical="top"/>
    </xf>
    <xf numFmtId="164" fontId="7" fillId="0" borderId="8" xfId="0" applyNumberFormat="1" applyFont="1" applyFill="1" applyBorder="1" applyAlignment="1">
      <alignment horizontal="right" vertical="top" wrapText="1"/>
    </xf>
    <xf numFmtId="164" fontId="6" fillId="0" borderId="5" xfId="0" applyNumberFormat="1" applyFont="1" applyFill="1" applyBorder="1" applyAlignment="1">
      <alignment horizontal="right" vertical="top"/>
    </xf>
    <xf numFmtId="49" fontId="9" fillId="0" borderId="5" xfId="0" applyNumberFormat="1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justify" vertical="top" wrapText="1"/>
    </xf>
    <xf numFmtId="164" fontId="9" fillId="0" borderId="8" xfId="0" applyNumberFormat="1" applyFont="1" applyFill="1" applyBorder="1" applyAlignment="1">
      <alignment horizontal="right" vertical="top" wrapText="1"/>
    </xf>
    <xf numFmtId="0" fontId="9" fillId="0" borderId="8" xfId="0" applyFont="1" applyFill="1" applyBorder="1" applyAlignment="1">
      <alignment vertical="top"/>
    </xf>
    <xf numFmtId="164" fontId="9" fillId="0" borderId="8" xfId="0" applyNumberFormat="1" applyFont="1" applyFill="1" applyBorder="1" applyAlignment="1">
      <alignment vertical="top"/>
    </xf>
    <xf numFmtId="49" fontId="9" fillId="0" borderId="9" xfId="0" applyNumberFormat="1" applyFont="1" applyFill="1" applyBorder="1" applyAlignment="1">
      <alignment vertical="top" wrapText="1"/>
    </xf>
    <xf numFmtId="49" fontId="8" fillId="0" borderId="9" xfId="0" applyNumberFormat="1" applyFont="1" applyFill="1" applyBorder="1" applyAlignment="1">
      <alignment vertical="top" wrapText="1"/>
    </xf>
    <xf numFmtId="0" fontId="9" fillId="0" borderId="9" xfId="0" applyFont="1" applyFill="1" applyBorder="1" applyAlignment="1">
      <alignment vertical="top" wrapText="1" shrinkToFit="1"/>
    </xf>
    <xf numFmtId="164" fontId="9" fillId="0" borderId="8" xfId="0" applyNumberFormat="1" applyFont="1" applyFill="1" applyBorder="1" applyAlignment="1">
      <alignment vertical="top" wrapText="1" shrinkToFit="1"/>
    </xf>
    <xf numFmtId="49" fontId="8" fillId="0" borderId="9" xfId="0" applyNumberFormat="1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/>
    </xf>
    <xf numFmtId="49" fontId="3" fillId="0" borderId="9" xfId="0" applyNumberFormat="1" applyFont="1" applyFill="1" applyBorder="1" applyAlignment="1">
      <alignment horizontal="center" vertical="top"/>
    </xf>
    <xf numFmtId="164" fontId="9" fillId="0" borderId="9" xfId="0" applyNumberFormat="1" applyFont="1" applyFill="1" applyBorder="1" applyAlignment="1">
      <alignment vertical="top" wrapText="1"/>
    </xf>
    <xf numFmtId="164" fontId="6" fillId="0" borderId="3" xfId="0" applyNumberFormat="1" applyFont="1" applyFill="1" applyBorder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164" fontId="6" fillId="0" borderId="10" xfId="0" applyNumberFormat="1" applyFont="1" applyFill="1" applyBorder="1" applyAlignment="1">
      <alignment horizontal="center" vertical="top"/>
    </xf>
    <xf numFmtId="49" fontId="9" fillId="0" borderId="8" xfId="0" applyNumberFormat="1" applyFont="1" applyFill="1" applyBorder="1" applyAlignment="1">
      <alignment horizontal="center" vertical="top" wrapText="1"/>
    </xf>
    <xf numFmtId="164" fontId="10" fillId="0" borderId="2" xfId="0" applyNumberFormat="1" applyFont="1" applyFill="1" applyBorder="1" applyAlignment="1">
      <alignment horizontal="right" vertical="top"/>
    </xf>
    <xf numFmtId="164" fontId="9" fillId="0" borderId="8" xfId="0" applyNumberFormat="1" applyFont="1" applyFill="1" applyBorder="1" applyAlignment="1">
      <alignment horizontal="right" vertical="top" wrapText="1" shrinkToFit="1"/>
    </xf>
    <xf numFmtId="49" fontId="8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164" fontId="6" fillId="0" borderId="2" xfId="0" applyNumberFormat="1" applyFont="1" applyFill="1" applyBorder="1" applyAlignment="1">
      <alignment vertical="top"/>
    </xf>
    <xf numFmtId="164" fontId="9" fillId="0" borderId="5" xfId="0" applyNumberFormat="1" applyFont="1" applyFill="1" applyBorder="1" applyAlignment="1">
      <alignment horizontal="right" vertical="top" wrapText="1"/>
    </xf>
    <xf numFmtId="164" fontId="7" fillId="0" borderId="6" xfId="0" applyNumberFormat="1" applyFont="1" applyFill="1" applyBorder="1" applyAlignment="1">
      <alignment horizontal="right" vertical="top" wrapText="1"/>
    </xf>
    <xf numFmtId="164" fontId="9" fillId="0" borderId="8" xfId="0" applyNumberFormat="1" applyFont="1" applyFill="1" applyBorder="1" applyAlignment="1">
      <alignment horizontal="right" vertical="top"/>
    </xf>
    <xf numFmtId="0" fontId="9" fillId="0" borderId="6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/>
    </xf>
    <xf numFmtId="164" fontId="7" fillId="0" borderId="8" xfId="0" applyNumberFormat="1" applyFont="1" applyFill="1" applyBorder="1" applyAlignment="1">
      <alignment vertical="top" wrapText="1"/>
    </xf>
    <xf numFmtId="44" fontId="8" fillId="0" borderId="1" xfId="1" applyFont="1" applyFill="1" applyBorder="1" applyAlignment="1">
      <alignment horizontal="center" vertical="top" wrapText="1"/>
    </xf>
    <xf numFmtId="44" fontId="8" fillId="0" borderId="10" xfId="1" applyFont="1" applyFill="1" applyBorder="1" applyAlignment="1">
      <alignment horizontal="center" vertical="top" wrapText="1"/>
    </xf>
    <xf numFmtId="49" fontId="9" fillId="0" borderId="8" xfId="0" applyNumberFormat="1" applyFont="1" applyFill="1" applyBorder="1" applyAlignment="1">
      <alignment vertical="top" wrapText="1"/>
    </xf>
    <xf numFmtId="49" fontId="8" fillId="0" borderId="5" xfId="0" applyNumberFormat="1" applyFont="1" applyFill="1" applyBorder="1" applyAlignment="1">
      <alignment horizontal="left" vertical="top" wrapText="1"/>
    </xf>
    <xf numFmtId="49" fontId="7" fillId="0" borderId="5" xfId="0" applyNumberFormat="1" applyFont="1" applyFill="1" applyBorder="1" applyAlignment="1">
      <alignment horizontal="left" vertical="top" wrapText="1"/>
    </xf>
    <xf numFmtId="166" fontId="10" fillId="0" borderId="8" xfId="0" applyNumberFormat="1" applyFont="1" applyFill="1" applyBorder="1" applyAlignment="1">
      <alignment vertical="top"/>
    </xf>
    <xf numFmtId="49" fontId="8" fillId="0" borderId="2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/>
    </xf>
    <xf numFmtId="49" fontId="3" fillId="0" borderId="2" xfId="0" applyNumberFormat="1" applyFont="1" applyFill="1" applyBorder="1" applyAlignment="1">
      <alignment horizontal="left" vertical="top"/>
    </xf>
    <xf numFmtId="164" fontId="8" fillId="0" borderId="8" xfId="0" applyNumberFormat="1" applyFont="1" applyFill="1" applyBorder="1" applyAlignment="1">
      <alignment horizontal="right" vertical="top" wrapText="1"/>
    </xf>
    <xf numFmtId="49" fontId="8" fillId="0" borderId="8" xfId="0" applyNumberFormat="1" applyFont="1" applyFill="1" applyBorder="1" applyAlignment="1">
      <alignment horizontal="left" vertical="top" wrapText="1"/>
    </xf>
    <xf numFmtId="49" fontId="9" fillId="0" borderId="9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164" fontId="0" fillId="0" borderId="0" xfId="0" applyNumberFormat="1" applyFill="1"/>
    <xf numFmtId="0" fontId="14" fillId="0" borderId="0" xfId="2" applyNumberFormat="1" applyFont="1" applyAlignment="1">
      <alignment horizontal="center" vertical="center" wrapText="1"/>
    </xf>
    <xf numFmtId="49" fontId="15" fillId="0" borderId="0" xfId="2" applyNumberFormat="1" applyFont="1" applyAlignment="1">
      <alignment horizontal="center" vertical="center" wrapText="1"/>
    </xf>
    <xf numFmtId="0" fontId="15" fillId="0" borderId="0" xfId="2" applyNumberFormat="1" applyFont="1" applyAlignment="1">
      <alignment horizontal="left" vertical="center" wrapText="1"/>
    </xf>
    <xf numFmtId="167" fontId="16" fillId="2" borderId="0" xfId="2" applyNumberFormat="1" applyFont="1" applyFill="1" applyAlignment="1">
      <alignment horizontal="center" vertical="center" wrapText="1"/>
    </xf>
    <xf numFmtId="167" fontId="17" fillId="2" borderId="0" xfId="2" applyNumberFormat="1" applyFont="1" applyFill="1" applyBorder="1" applyAlignment="1">
      <alignment horizontal="center" vertical="center" wrapText="1"/>
    </xf>
    <xf numFmtId="167" fontId="17" fillId="0" borderId="0" xfId="2" applyNumberFormat="1" applyFont="1" applyFill="1" applyAlignment="1">
      <alignment horizontal="center" vertical="center" wrapText="1"/>
    </xf>
    <xf numFmtId="167" fontId="17" fillId="2" borderId="0" xfId="0" applyNumberFormat="1" applyFont="1" applyFill="1" applyAlignment="1">
      <alignment horizontal="center" vertical="center" wrapText="1"/>
    </xf>
    <xf numFmtId="167" fontId="17" fillId="0" borderId="0" xfId="0" applyNumberFormat="1" applyFont="1" applyAlignment="1">
      <alignment horizontal="center" vertical="center" wrapText="1"/>
    </xf>
    <xf numFmtId="167" fontId="18" fillId="0" borderId="0" xfId="0" applyNumberFormat="1" applyFont="1" applyFill="1" applyAlignment="1">
      <alignment horizontal="center" vertical="center" wrapText="1"/>
    </xf>
    <xf numFmtId="167" fontId="17" fillId="0" borderId="0" xfId="0" applyNumberFormat="1" applyFont="1" applyFill="1" applyAlignment="1">
      <alignment horizontal="center" vertical="center" wrapText="1"/>
    </xf>
    <xf numFmtId="167" fontId="18" fillId="2" borderId="0" xfId="0" applyNumberFormat="1" applyFont="1" applyFill="1" applyAlignment="1">
      <alignment horizontal="center" vertical="center" wrapText="1"/>
    </xf>
    <xf numFmtId="167" fontId="18" fillId="0" borderId="0" xfId="0" applyNumberFormat="1" applyFont="1" applyAlignment="1">
      <alignment horizontal="center" vertical="center" wrapText="1"/>
    </xf>
    <xf numFmtId="49" fontId="19" fillId="0" borderId="11" xfId="2" applyNumberFormat="1" applyFont="1" applyBorder="1" applyAlignment="1">
      <alignment horizontal="center" vertical="center" wrapText="1"/>
    </xf>
    <xf numFmtId="0" fontId="19" fillId="0" borderId="12" xfId="2" applyNumberFormat="1" applyFont="1" applyBorder="1" applyAlignment="1">
      <alignment horizontal="center" vertical="center" wrapText="1"/>
    </xf>
    <xf numFmtId="167" fontId="20" fillId="0" borderId="12" xfId="2" applyNumberFormat="1" applyFont="1" applyFill="1" applyBorder="1" applyAlignment="1">
      <alignment horizontal="center" vertical="center" wrapText="1"/>
    </xf>
    <xf numFmtId="167" fontId="20" fillId="0" borderId="12" xfId="0" applyNumberFormat="1" applyFont="1" applyBorder="1" applyAlignment="1">
      <alignment horizontal="center" vertical="center" wrapText="1"/>
    </xf>
    <xf numFmtId="167" fontId="21" fillId="0" borderId="13" xfId="0" applyNumberFormat="1" applyFont="1" applyFill="1" applyBorder="1" applyAlignment="1">
      <alignment horizontal="center" vertical="center" wrapText="1"/>
    </xf>
    <xf numFmtId="167" fontId="21" fillId="0" borderId="14" xfId="0" applyNumberFormat="1" applyFont="1" applyFill="1" applyBorder="1" applyAlignment="1">
      <alignment horizontal="center" vertical="center" wrapText="1"/>
    </xf>
    <xf numFmtId="167" fontId="21" fillId="0" borderId="15" xfId="0" applyNumberFormat="1" applyFont="1" applyFill="1" applyBorder="1" applyAlignment="1">
      <alignment horizontal="center" vertical="center" wrapText="1"/>
    </xf>
    <xf numFmtId="49" fontId="19" fillId="0" borderId="16" xfId="2" applyNumberFormat="1" applyFont="1" applyBorder="1" applyAlignment="1">
      <alignment horizontal="center" vertical="center" wrapText="1"/>
    </xf>
    <xf numFmtId="0" fontId="19" fillId="0" borderId="8" xfId="2" applyNumberFormat="1" applyFont="1" applyBorder="1" applyAlignment="1">
      <alignment horizontal="center" vertical="center" wrapText="1"/>
    </xf>
    <xf numFmtId="167" fontId="20" fillId="2" borderId="8" xfId="2" applyNumberFormat="1" applyFont="1" applyFill="1" applyBorder="1" applyAlignment="1">
      <alignment horizontal="center" vertical="center" wrapText="1"/>
    </xf>
    <xf numFmtId="167" fontId="20" fillId="0" borderId="8" xfId="2" applyNumberFormat="1" applyFont="1" applyFill="1" applyBorder="1" applyAlignment="1">
      <alignment horizontal="center" vertical="center" wrapText="1"/>
    </xf>
    <xf numFmtId="167" fontId="20" fillId="0" borderId="8" xfId="2" applyNumberFormat="1" applyFont="1" applyBorder="1" applyAlignment="1">
      <alignment horizontal="center" vertical="center" wrapText="1"/>
    </xf>
    <xf numFmtId="167" fontId="22" fillId="3" borderId="8" xfId="0" applyNumberFormat="1" applyFont="1" applyFill="1" applyBorder="1" applyAlignment="1">
      <alignment horizontal="center" vertical="center" wrapText="1"/>
    </xf>
    <xf numFmtId="167" fontId="21" fillId="0" borderId="8" xfId="2" applyNumberFormat="1" applyFont="1" applyFill="1" applyBorder="1" applyAlignment="1">
      <alignment horizontal="center" vertical="center" wrapText="1"/>
    </xf>
    <xf numFmtId="167" fontId="21" fillId="2" borderId="8" xfId="2" applyNumberFormat="1" applyFont="1" applyFill="1" applyBorder="1" applyAlignment="1">
      <alignment horizontal="center" vertical="center" wrapText="1"/>
    </xf>
    <xf numFmtId="167" fontId="21" fillId="0" borderId="17" xfId="2" applyNumberFormat="1" applyFont="1" applyBorder="1" applyAlignment="1">
      <alignment horizontal="center" vertical="center" wrapText="1"/>
    </xf>
    <xf numFmtId="167" fontId="20" fillId="2" borderId="8" xfId="0" applyNumberFormat="1" applyFont="1" applyFill="1" applyBorder="1" applyAlignment="1">
      <alignment horizontal="center" vertical="center" wrapText="1"/>
    </xf>
    <xf numFmtId="167" fontId="26" fillId="0" borderId="8" xfId="0" applyNumberFormat="1" applyFont="1" applyBorder="1" applyAlignment="1">
      <alignment horizontal="center" vertical="center"/>
    </xf>
    <xf numFmtId="167" fontId="20" fillId="0" borderId="8" xfId="0" applyNumberFormat="1" applyFont="1" applyBorder="1" applyAlignment="1">
      <alignment horizontal="center" vertical="center" wrapText="1"/>
    </xf>
    <xf numFmtId="167" fontId="21" fillId="0" borderId="8" xfId="0" applyNumberFormat="1" applyFont="1" applyBorder="1" applyAlignment="1">
      <alignment horizontal="center" vertical="center" wrapText="1"/>
    </xf>
    <xf numFmtId="167" fontId="21" fillId="0" borderId="17" xfId="0" applyNumberFormat="1" applyFont="1" applyBorder="1" applyAlignment="1">
      <alignment horizontal="center" vertical="center" wrapText="1"/>
    </xf>
    <xf numFmtId="0" fontId="0" fillId="0" borderId="0" xfId="0"/>
    <xf numFmtId="49" fontId="19" fillId="0" borderId="16" xfId="2" applyNumberFormat="1" applyFont="1" applyBorder="1" applyAlignment="1">
      <alignment horizontal="center" vertical="center" wrapText="1"/>
    </xf>
    <xf numFmtId="0" fontId="27" fillId="0" borderId="8" xfId="2" applyNumberFormat="1" applyFont="1" applyFill="1" applyBorder="1" applyAlignment="1">
      <alignment horizontal="center" vertical="center" wrapText="1"/>
    </xf>
    <xf numFmtId="0" fontId="19" fillId="0" borderId="8" xfId="2" applyNumberFormat="1" applyFont="1" applyFill="1" applyBorder="1" applyAlignment="1">
      <alignment horizontal="center" vertical="center" wrapText="1"/>
    </xf>
    <xf numFmtId="0" fontId="27" fillId="0" borderId="17" xfId="2" applyNumberFormat="1" applyFont="1" applyFill="1" applyBorder="1" applyAlignment="1">
      <alignment horizontal="center" vertical="center" wrapText="1"/>
    </xf>
    <xf numFmtId="49" fontId="27" fillId="4" borderId="16" xfId="2" quotePrefix="1" applyNumberFormat="1" applyFont="1" applyFill="1" applyBorder="1" applyAlignment="1">
      <alignment horizontal="center" vertical="center" wrapText="1"/>
    </xf>
    <xf numFmtId="0" fontId="27" fillId="4" borderId="8" xfId="2" applyNumberFormat="1" applyFont="1" applyFill="1" applyBorder="1" applyAlignment="1">
      <alignment horizontal="left" vertical="center" wrapText="1"/>
    </xf>
    <xf numFmtId="167" fontId="21" fillId="4" borderId="8" xfId="2" applyNumberFormat="1" applyFont="1" applyFill="1" applyBorder="1" applyAlignment="1">
      <alignment horizontal="center" vertical="center" wrapText="1"/>
    </xf>
    <xf numFmtId="167" fontId="20" fillId="4" borderId="8" xfId="0" applyNumberFormat="1" applyFont="1" applyFill="1" applyBorder="1" applyAlignment="1">
      <alignment horizontal="center" vertical="center" wrapText="1"/>
    </xf>
    <xf numFmtId="167" fontId="21" fillId="4" borderId="17" xfId="0" applyNumberFormat="1" applyFont="1" applyFill="1" applyBorder="1" applyAlignment="1">
      <alignment horizontal="center" vertical="center" wrapText="1"/>
    </xf>
    <xf numFmtId="49" fontId="19" fillId="0" borderId="16" xfId="2" quotePrefix="1" applyNumberFormat="1" applyFont="1" applyFill="1" applyBorder="1" applyAlignment="1">
      <alignment horizontal="center" vertical="center" wrapText="1"/>
    </xf>
    <xf numFmtId="0" fontId="19" fillId="0" borderId="8" xfId="2" applyNumberFormat="1" applyFont="1" applyFill="1" applyBorder="1" applyAlignment="1">
      <alignment horizontal="left" vertical="center" wrapText="1"/>
    </xf>
    <xf numFmtId="167" fontId="20" fillId="2" borderId="8" xfId="2" applyNumberFormat="1" applyFont="1" applyFill="1" applyBorder="1" applyAlignment="1">
      <alignment horizontal="center" vertical="center" wrapText="1"/>
    </xf>
    <xf numFmtId="167" fontId="20" fillId="0" borderId="8" xfId="2" applyNumberFormat="1" applyFont="1" applyFill="1" applyBorder="1" applyAlignment="1">
      <alignment horizontal="center" vertical="center" wrapText="1"/>
    </xf>
    <xf numFmtId="167" fontId="20" fillId="2" borderId="8" xfId="0" applyNumberFormat="1" applyFont="1" applyFill="1" applyBorder="1" applyAlignment="1">
      <alignment horizontal="center" vertical="center" wrapText="1"/>
    </xf>
    <xf numFmtId="167" fontId="20" fillId="0" borderId="8" xfId="0" applyNumberFormat="1" applyFont="1" applyFill="1" applyBorder="1" applyAlignment="1">
      <alignment horizontal="center" vertical="center" wrapText="1"/>
    </xf>
    <xf numFmtId="167" fontId="28" fillId="5" borderId="8" xfId="0" applyNumberFormat="1" applyFont="1" applyFill="1" applyBorder="1" applyAlignment="1">
      <alignment horizontal="center" vertical="center" wrapText="1"/>
    </xf>
    <xf numFmtId="167" fontId="28" fillId="3" borderId="8" xfId="0" applyNumberFormat="1" applyFont="1" applyFill="1" applyBorder="1" applyAlignment="1">
      <alignment horizontal="center" vertical="center" wrapText="1"/>
    </xf>
    <xf numFmtId="167" fontId="21" fillId="2" borderId="8" xfId="0" applyNumberFormat="1" applyFont="1" applyFill="1" applyBorder="1" applyAlignment="1">
      <alignment horizontal="center" vertical="center" wrapText="1"/>
    </xf>
    <xf numFmtId="167" fontId="21" fillId="0" borderId="17" xfId="0" applyNumberFormat="1" applyFont="1" applyFill="1" applyBorder="1" applyAlignment="1">
      <alignment horizontal="center" vertical="center" wrapText="1"/>
    </xf>
    <xf numFmtId="49" fontId="19" fillId="0" borderId="16" xfId="2" applyNumberFormat="1" applyFont="1" applyFill="1" applyBorder="1" applyAlignment="1">
      <alignment horizontal="center" vertical="center" wrapText="1"/>
    </xf>
    <xf numFmtId="167" fontId="29" fillId="3" borderId="8" xfId="0" applyNumberFormat="1" applyFont="1" applyFill="1" applyBorder="1" applyAlignment="1">
      <alignment horizontal="center" vertical="center" wrapText="1"/>
    </xf>
    <xf numFmtId="167" fontId="20" fillId="4" borderId="8" xfId="2" applyNumberFormat="1" applyFont="1" applyFill="1" applyBorder="1" applyAlignment="1">
      <alignment horizontal="center" vertical="center" wrapText="1"/>
    </xf>
    <xf numFmtId="167" fontId="21" fillId="4" borderId="17" xfId="2" applyNumberFormat="1" applyFont="1" applyFill="1" applyBorder="1" applyAlignment="1">
      <alignment horizontal="center" vertical="center" wrapText="1"/>
    </xf>
    <xf numFmtId="0" fontId="27" fillId="4" borderId="2" xfId="2" applyNumberFormat="1" applyFont="1" applyFill="1" applyBorder="1" applyAlignment="1">
      <alignment vertical="center" wrapText="1"/>
    </xf>
    <xf numFmtId="167" fontId="21" fillId="4" borderId="2" xfId="2" applyNumberFormat="1" applyFont="1" applyFill="1" applyBorder="1" applyAlignment="1">
      <alignment vertical="center" wrapText="1"/>
    </xf>
    <xf numFmtId="167" fontId="21" fillId="4" borderId="2" xfId="2" applyNumberFormat="1" applyFont="1" applyFill="1" applyBorder="1" applyAlignment="1">
      <alignment horizontal="center" wrapText="1"/>
    </xf>
    <xf numFmtId="49" fontId="19" fillId="2" borderId="16" xfId="2" quotePrefix="1" applyNumberFormat="1" applyFont="1" applyFill="1" applyBorder="1" applyAlignment="1">
      <alignment horizontal="center" vertical="center" wrapText="1"/>
    </xf>
    <xf numFmtId="0" fontId="19" fillId="6" borderId="8" xfId="2" applyNumberFormat="1" applyFont="1" applyFill="1" applyBorder="1" applyAlignment="1">
      <alignment horizontal="left" vertical="center" wrapText="1"/>
    </xf>
    <xf numFmtId="0" fontId="20" fillId="0" borderId="8" xfId="3" applyNumberFormat="1" applyFont="1" applyFill="1" applyBorder="1" applyAlignment="1" applyProtection="1">
      <alignment horizontal="left" vertical="center" wrapText="1"/>
      <protection hidden="1"/>
    </xf>
    <xf numFmtId="49" fontId="19" fillId="2" borderId="16" xfId="2" applyNumberFormat="1" applyFont="1" applyFill="1" applyBorder="1" applyAlignment="1">
      <alignment horizontal="center" vertical="center" wrapText="1"/>
    </xf>
    <xf numFmtId="167" fontId="21" fillId="4" borderId="8" xfId="0" applyNumberFormat="1" applyFont="1" applyFill="1" applyBorder="1" applyAlignment="1">
      <alignment horizontal="center" vertical="center" wrapText="1"/>
    </xf>
    <xf numFmtId="167" fontId="31" fillId="4" borderId="8" xfId="0" applyNumberFormat="1" applyFont="1" applyFill="1" applyBorder="1" applyAlignment="1">
      <alignment horizontal="center" vertical="center" wrapText="1"/>
    </xf>
    <xf numFmtId="0" fontId="32" fillId="0" borderId="8" xfId="2" applyNumberFormat="1" applyFont="1" applyFill="1" applyBorder="1" applyAlignment="1">
      <alignment horizontal="left" vertical="center" wrapText="1"/>
    </xf>
    <xf numFmtId="0" fontId="20" fillId="2" borderId="8" xfId="3" applyNumberFormat="1" applyFont="1" applyFill="1" applyBorder="1" applyAlignment="1" applyProtection="1">
      <alignment horizontal="left" vertical="center" wrapText="1"/>
      <protection hidden="1"/>
    </xf>
    <xf numFmtId="2" fontId="21" fillId="0" borderId="17" xfId="0" applyNumberFormat="1" applyFont="1" applyFill="1" applyBorder="1" applyAlignment="1">
      <alignment horizontal="center" vertical="center" wrapText="1"/>
    </xf>
    <xf numFmtId="49" fontId="20" fillId="0" borderId="16" xfId="2" applyNumberFormat="1" applyFont="1" applyFill="1" applyBorder="1" applyAlignment="1">
      <alignment horizontal="center" vertical="center" wrapText="1"/>
    </xf>
    <xf numFmtId="0" fontId="20" fillId="0" borderId="8" xfId="2" applyNumberFormat="1" applyFont="1" applyFill="1" applyBorder="1" applyAlignment="1">
      <alignment horizontal="left" vertical="center" wrapText="1"/>
    </xf>
    <xf numFmtId="0" fontId="19" fillId="2" borderId="8" xfId="2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wrapText="1"/>
    </xf>
    <xf numFmtId="166" fontId="21" fillId="0" borderId="17" xfId="0" applyNumberFormat="1" applyFont="1" applyFill="1" applyBorder="1" applyAlignment="1">
      <alignment horizontal="center" vertical="center" wrapText="1"/>
    </xf>
    <xf numFmtId="49" fontId="27" fillId="4" borderId="16" xfId="2" applyNumberFormat="1" applyFont="1" applyFill="1" applyBorder="1" applyAlignment="1">
      <alignment horizontal="center" vertical="center" wrapText="1"/>
    </xf>
    <xf numFmtId="0" fontId="27" fillId="4" borderId="8" xfId="0" applyNumberFormat="1" applyFont="1" applyFill="1" applyBorder="1" applyAlignment="1">
      <alignment horizontal="left" vertical="center" wrapText="1"/>
    </xf>
    <xf numFmtId="166" fontId="21" fillId="4" borderId="17" xfId="0" applyNumberFormat="1" applyFont="1" applyFill="1" applyBorder="1" applyAlignment="1">
      <alignment horizontal="center" vertical="center" wrapText="1"/>
    </xf>
    <xf numFmtId="0" fontId="19" fillId="0" borderId="8" xfId="0" applyNumberFormat="1" applyFont="1" applyFill="1" applyBorder="1" applyAlignment="1">
      <alignment horizontal="left" vertical="center" wrapText="1"/>
    </xf>
    <xf numFmtId="167" fontId="21" fillId="2" borderId="17" xfId="0" applyNumberFormat="1" applyFont="1" applyFill="1" applyBorder="1" applyAlignment="1">
      <alignment horizontal="center" vertical="center" wrapText="1"/>
    </xf>
    <xf numFmtId="167" fontId="20" fillId="7" borderId="8" xfId="0" applyNumberFormat="1" applyFont="1" applyFill="1" applyBorder="1" applyAlignment="1">
      <alignment horizontal="center" vertical="center" wrapText="1"/>
    </xf>
    <xf numFmtId="167" fontId="28" fillId="3" borderId="8" xfId="2" applyNumberFormat="1" applyFont="1" applyFill="1" applyBorder="1" applyAlignment="1">
      <alignment horizontal="center" vertical="center" wrapText="1"/>
    </xf>
    <xf numFmtId="0" fontId="33" fillId="4" borderId="18" xfId="2" applyNumberFormat="1" applyFont="1" applyFill="1" applyBorder="1" applyAlignment="1">
      <alignment horizontal="center" vertical="center" wrapText="1"/>
    </xf>
    <xf numFmtId="0" fontId="33" fillId="4" borderId="19" xfId="2" applyNumberFormat="1" applyFont="1" applyFill="1" applyBorder="1" applyAlignment="1">
      <alignment horizontal="center" vertical="center" wrapText="1"/>
    </xf>
    <xf numFmtId="167" fontId="21" fillId="4" borderId="19" xfId="2" applyNumberFormat="1" applyFont="1" applyFill="1" applyBorder="1" applyAlignment="1">
      <alignment horizontal="center" vertical="center" wrapText="1"/>
    </xf>
    <xf numFmtId="167" fontId="21" fillId="4" borderId="19" xfId="0" applyNumberFormat="1" applyFont="1" applyFill="1" applyBorder="1" applyAlignment="1">
      <alignment horizontal="center" vertical="center" wrapText="1"/>
    </xf>
    <xf numFmtId="167" fontId="20" fillId="4" borderId="19" xfId="2" applyNumberFormat="1" applyFont="1" applyFill="1" applyBorder="1" applyAlignment="1">
      <alignment horizontal="center" vertical="center" wrapText="1"/>
    </xf>
    <xf numFmtId="167" fontId="21" fillId="4" borderId="20" xfId="0" applyNumberFormat="1" applyFont="1" applyFill="1" applyBorder="1" applyAlignment="1">
      <alignment horizontal="center" vertical="center" wrapText="1"/>
    </xf>
    <xf numFmtId="49" fontId="15" fillId="0" borderId="0" xfId="2" applyNumberFormat="1" applyFont="1" applyFill="1" applyBorder="1" applyAlignment="1">
      <alignment horizontal="center" vertical="center" wrapText="1"/>
    </xf>
    <xf numFmtId="0" fontId="15" fillId="0" borderId="0" xfId="2" applyNumberFormat="1" applyFont="1" applyFill="1" applyBorder="1" applyAlignment="1">
      <alignment horizontal="left" vertical="center" wrapText="1"/>
    </xf>
    <xf numFmtId="168" fontId="16" fillId="2" borderId="0" xfId="2" applyNumberFormat="1" applyFont="1" applyFill="1" applyBorder="1" applyAlignment="1">
      <alignment horizontal="center" vertical="center" wrapText="1"/>
    </xf>
    <xf numFmtId="167" fontId="18" fillId="0" borderId="0" xfId="2" applyNumberFormat="1" applyFont="1" applyFill="1" applyBorder="1" applyAlignment="1">
      <alignment horizontal="center" vertical="center" wrapText="1"/>
    </xf>
    <xf numFmtId="0" fontId="32" fillId="0" borderId="0" xfId="2" applyNumberFormat="1" applyFont="1" applyFill="1" applyBorder="1" applyAlignment="1">
      <alignment horizontal="right" vertical="center" wrapText="1"/>
    </xf>
    <xf numFmtId="167" fontId="34" fillId="2" borderId="0" xfId="0" applyNumberFormat="1" applyFont="1" applyFill="1" applyAlignment="1">
      <alignment horizontal="center" vertical="center" wrapText="1"/>
    </xf>
    <xf numFmtId="167" fontId="34" fillId="0" borderId="0" xfId="0" applyNumberFormat="1" applyFont="1" applyAlignment="1">
      <alignment horizontal="center" vertical="center" wrapText="1"/>
    </xf>
    <xf numFmtId="167" fontId="34" fillId="2" borderId="9" xfId="2" applyNumberFormat="1" applyFont="1" applyFill="1" applyBorder="1" applyAlignment="1">
      <alignment horizontal="center" vertical="center" wrapText="1"/>
    </xf>
    <xf numFmtId="167" fontId="34" fillId="0" borderId="0" xfId="2" applyNumberFormat="1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>
      <alignment horizontal="right" vertical="center" wrapText="1"/>
    </xf>
    <xf numFmtId="0" fontId="32" fillId="0" borderId="0" xfId="2" applyNumberFormat="1" applyFont="1" applyFill="1" applyBorder="1" applyAlignment="1">
      <alignment horizontal="left" vertical="center" wrapText="1"/>
    </xf>
    <xf numFmtId="167" fontId="35" fillId="2" borderId="0" xfId="2" applyNumberFormat="1" applyFont="1" applyFill="1" applyBorder="1" applyAlignment="1">
      <alignment horizontal="center" vertical="center" wrapText="1"/>
    </xf>
    <xf numFmtId="167" fontId="34" fillId="2" borderId="0" xfId="2" applyNumberFormat="1" applyFont="1" applyFill="1" applyBorder="1" applyAlignment="1">
      <alignment horizontal="center" vertical="center" wrapText="1"/>
    </xf>
    <xf numFmtId="167" fontId="34" fillId="0" borderId="0" xfId="0" applyNumberFormat="1" applyFont="1" applyFill="1" applyBorder="1" applyAlignment="1">
      <alignment horizontal="left" vertical="center" wrapText="1"/>
    </xf>
    <xf numFmtId="167" fontId="34" fillId="2" borderId="0" xfId="0" applyNumberFormat="1" applyFont="1" applyFill="1" applyAlignment="1">
      <alignment horizontal="left" vertical="center" wrapText="1"/>
    </xf>
    <xf numFmtId="167" fontId="34" fillId="2" borderId="9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left" vertical="center" wrapText="1"/>
    </xf>
    <xf numFmtId="167" fontId="35" fillId="2" borderId="0" xfId="0" applyNumberFormat="1" applyFont="1" applyFill="1" applyBorder="1" applyAlignment="1">
      <alignment horizontal="center" vertical="center" wrapText="1"/>
    </xf>
    <xf numFmtId="167" fontId="34" fillId="2" borderId="0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167" fontId="35" fillId="2" borderId="0" xfId="0" applyNumberFormat="1" applyFont="1" applyFill="1" applyAlignment="1">
      <alignment horizontal="center" vertical="center" wrapText="1"/>
    </xf>
    <xf numFmtId="167" fontId="34" fillId="0" borderId="0" xfId="0" applyNumberFormat="1" applyFont="1" applyFill="1" applyAlignment="1">
      <alignment horizontal="center" vertical="center" wrapText="1"/>
    </xf>
    <xf numFmtId="0" fontId="12" fillId="0" borderId="0" xfId="0" applyFont="1"/>
    <xf numFmtId="0" fontId="34" fillId="2" borderId="0" xfId="0" applyFont="1" applyFill="1" applyAlignment="1">
      <alignment horizontal="right"/>
    </xf>
    <xf numFmtId="0" fontId="12" fillId="2" borderId="9" xfId="0" applyFont="1" applyFill="1" applyBorder="1"/>
    <xf numFmtId="0" fontId="34" fillId="0" borderId="0" xfId="0" applyFont="1"/>
    <xf numFmtId="0" fontId="12" fillId="2" borderId="0" xfId="0" applyFont="1" applyFill="1"/>
    <xf numFmtId="0" fontId="0" fillId="2" borderId="0" xfId="0" applyFill="1"/>
    <xf numFmtId="0" fontId="0" fillId="0" borderId="0" xfId="0" applyFont="1"/>
  </cellXfs>
  <cellStyles count="4">
    <cellStyle name="Денежный" xfId="1" builtinId="4"/>
    <cellStyle name="Обычный" xfId="0" builtinId="0"/>
    <cellStyle name="Обычный_Tmp7" xfId="3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8"/>
  <sheetViews>
    <sheetView workbookViewId="0">
      <selection activeCell="A224" sqref="A224:XFD224"/>
    </sheetView>
  </sheetViews>
  <sheetFormatPr defaultRowHeight="15" x14ac:dyDescent="0.25"/>
  <cols>
    <col min="1" max="1" width="26.85546875" customWidth="1"/>
    <col min="2" max="2" width="0" hidden="1" customWidth="1"/>
    <col min="3" max="3" width="38" customWidth="1"/>
    <col min="4" max="4" width="14.42578125" customWidth="1"/>
    <col min="5" max="5" width="12.28515625" customWidth="1"/>
    <col min="6" max="6" width="13.7109375" customWidth="1"/>
    <col min="7" max="10" width="0" hidden="1" customWidth="1"/>
    <col min="11" max="11" width="14.85546875" customWidth="1"/>
    <col min="12" max="12" width="14.7109375" customWidth="1"/>
    <col min="13" max="13" width="12.5703125" customWidth="1"/>
    <col min="14" max="14" width="14.28515625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</row>
    <row r="3" spans="1:14" x14ac:dyDescent="0.25">
      <c r="A3" s="4"/>
      <c r="B3" s="4"/>
      <c r="C3" s="5"/>
      <c r="D3" s="5"/>
      <c r="E3" s="5"/>
      <c r="F3" s="5"/>
      <c r="G3" s="5"/>
      <c r="H3" s="5"/>
      <c r="I3" s="6"/>
      <c r="J3" s="6"/>
      <c r="K3" s="7" t="s">
        <v>1</v>
      </c>
      <c r="L3" s="3"/>
      <c r="M3" s="3"/>
      <c r="N3" s="3"/>
    </row>
    <row r="4" spans="1:14" x14ac:dyDescent="0.25">
      <c r="A4" s="8" t="s">
        <v>2</v>
      </c>
      <c r="B4" s="8"/>
      <c r="C4" s="9"/>
      <c r="D4" s="10" t="s">
        <v>3</v>
      </c>
      <c r="E4" s="10" t="s">
        <v>4</v>
      </c>
      <c r="F4" s="10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0" t="s">
        <v>10</v>
      </c>
      <c r="L4" s="10" t="s">
        <v>11</v>
      </c>
      <c r="M4" s="10" t="s">
        <v>12</v>
      </c>
      <c r="N4" s="10" t="s">
        <v>13</v>
      </c>
    </row>
    <row r="5" spans="1:14" x14ac:dyDescent="0.25">
      <c r="A5" s="12" t="s">
        <v>14</v>
      </c>
      <c r="B5" s="12"/>
      <c r="C5" s="13" t="s">
        <v>15</v>
      </c>
      <c r="D5" s="14"/>
      <c r="E5" s="14"/>
      <c r="F5" s="14"/>
      <c r="G5" s="15"/>
      <c r="H5" s="15"/>
      <c r="I5" s="15"/>
      <c r="J5" s="15"/>
      <c r="K5" s="14"/>
      <c r="L5" s="14"/>
      <c r="M5" s="14"/>
      <c r="N5" s="14"/>
    </row>
    <row r="6" spans="1:14" ht="21.75" customHeight="1" x14ac:dyDescent="0.25">
      <c r="A6" s="12"/>
      <c r="B6" s="12"/>
      <c r="C6" s="13"/>
      <c r="D6" s="16"/>
      <c r="E6" s="16"/>
      <c r="F6" s="16"/>
      <c r="G6" s="17"/>
      <c r="H6" s="17"/>
      <c r="I6" s="17"/>
      <c r="J6" s="17"/>
      <c r="K6" s="16"/>
      <c r="L6" s="16"/>
      <c r="M6" s="16"/>
      <c r="N6" s="16"/>
    </row>
    <row r="7" spans="1:14" x14ac:dyDescent="0.25">
      <c r="A7" s="18" t="s">
        <v>16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x14ac:dyDescent="0.25">
      <c r="A8" s="20" t="s">
        <v>17</v>
      </c>
      <c r="B8" s="20"/>
      <c r="C8" s="21" t="s">
        <v>18</v>
      </c>
      <c r="D8" s="22">
        <f t="shared" ref="D8:J8" si="0">D9+D11+D12+D13+D15+D16+D18+D20+D14+D21+D17+D19+D10</f>
        <v>791176.00000000023</v>
      </c>
      <c r="E8" s="22">
        <f t="shared" si="0"/>
        <v>857953.30000000016</v>
      </c>
      <c r="F8" s="22">
        <f>F9+F11+F12+F13+F15+F16+F18+F20+F14+F21+F17+F19+F10</f>
        <v>646444.30000000005</v>
      </c>
      <c r="G8" s="22">
        <f t="shared" si="0"/>
        <v>234619.5</v>
      </c>
      <c r="H8" s="22">
        <f t="shared" si="0"/>
        <v>235335.1</v>
      </c>
      <c r="I8" s="22">
        <f t="shared" si="0"/>
        <v>176489.69999999998</v>
      </c>
      <c r="J8" s="22">
        <f t="shared" si="0"/>
        <v>211509</v>
      </c>
      <c r="K8" s="22">
        <f>K9+K11+K12+K13+K15+K16+K18+K20+K14+K21+K17+K19+K10+0.1</f>
        <v>618924.5</v>
      </c>
      <c r="L8" s="22">
        <f>K8*100/F8</f>
        <v>95.742896951833274</v>
      </c>
      <c r="M8" s="23">
        <f>K8*100/E8</f>
        <v>72.139649092788602</v>
      </c>
      <c r="N8" s="23">
        <f>K8*100/D8</f>
        <v>78.228421994600424</v>
      </c>
    </row>
    <row r="9" spans="1:14" ht="13.5" customHeight="1" x14ac:dyDescent="0.25">
      <c r="A9" s="24" t="s">
        <v>19</v>
      </c>
      <c r="B9" s="24"/>
      <c r="C9" s="25" t="s">
        <v>20</v>
      </c>
      <c r="D9" s="26">
        <v>603281.9</v>
      </c>
      <c r="E9" s="26">
        <f>G9+H9+I9+J9</f>
        <v>603281.9</v>
      </c>
      <c r="F9" s="26">
        <f>G9+H9+I9</f>
        <v>442187.3</v>
      </c>
      <c r="G9" s="26">
        <v>147654.5</v>
      </c>
      <c r="H9" s="26">
        <v>158497.1</v>
      </c>
      <c r="I9" s="27">
        <v>136035.70000000001</v>
      </c>
      <c r="J9" s="28">
        <v>161094.6</v>
      </c>
      <c r="K9" s="28">
        <v>398425.9</v>
      </c>
      <c r="L9" s="27">
        <f>K9*100/F9</f>
        <v>90.103424499075388</v>
      </c>
      <c r="M9" s="28">
        <f>K9*100/E9</f>
        <v>66.0430720696245</v>
      </c>
      <c r="N9" s="29">
        <f>K9*100/D9</f>
        <v>66.0430720696245</v>
      </c>
    </row>
    <row r="10" spans="1:14" ht="42" customHeight="1" x14ac:dyDescent="0.25">
      <c r="A10" s="24" t="s">
        <v>21</v>
      </c>
      <c r="B10" s="24"/>
      <c r="C10" s="30" t="s">
        <v>22</v>
      </c>
      <c r="D10" s="31">
        <v>3505.3</v>
      </c>
      <c r="E10" s="31">
        <f>G10+H10+I10+J10</f>
        <v>3505.2999999999997</v>
      </c>
      <c r="F10" s="26">
        <f>G10+H10+I10</f>
        <v>2647.7</v>
      </c>
      <c r="G10" s="31">
        <v>877.7</v>
      </c>
      <c r="H10" s="31">
        <v>905.7</v>
      </c>
      <c r="I10" s="32">
        <v>864.3</v>
      </c>
      <c r="J10" s="29">
        <v>857.6</v>
      </c>
      <c r="K10" s="29">
        <v>2522.5</v>
      </c>
      <c r="L10" s="27">
        <f>K10*100/F10</f>
        <v>95.271367602069731</v>
      </c>
      <c r="M10" s="29">
        <f>K10*100/E10</f>
        <v>71.962456851054128</v>
      </c>
      <c r="N10" s="29">
        <f>K10*100/D10</f>
        <v>71.962456851054114</v>
      </c>
    </row>
    <row r="11" spans="1:14" ht="15" customHeight="1" x14ac:dyDescent="0.25">
      <c r="A11" s="24" t="s">
        <v>23</v>
      </c>
      <c r="B11" s="24"/>
      <c r="C11" s="30" t="s">
        <v>24</v>
      </c>
      <c r="D11" s="31">
        <v>38268</v>
      </c>
      <c r="E11" s="31">
        <f>G11+H11+I11+J11</f>
        <v>47282.3</v>
      </c>
      <c r="F11" s="26">
        <f>G11+H11+I11</f>
        <v>41569.800000000003</v>
      </c>
      <c r="G11" s="31">
        <v>14864.8</v>
      </c>
      <c r="H11" s="31">
        <v>20423</v>
      </c>
      <c r="I11" s="32">
        <v>6282</v>
      </c>
      <c r="J11" s="29">
        <v>5712.5</v>
      </c>
      <c r="K11" s="29">
        <v>52470.5</v>
      </c>
      <c r="L11" s="27">
        <f>K11*100/F11</f>
        <v>126.22264239904931</v>
      </c>
      <c r="M11" s="29">
        <f>K11*100/E11</f>
        <v>110.97281646620405</v>
      </c>
      <c r="N11" s="29">
        <f>K11*100/D11</f>
        <v>137.11325389359257</v>
      </c>
    </row>
    <row r="12" spans="1:14" ht="18" customHeight="1" x14ac:dyDescent="0.25">
      <c r="A12" s="24" t="s">
        <v>25</v>
      </c>
      <c r="B12" s="24"/>
      <c r="C12" s="30" t="s">
        <v>26</v>
      </c>
      <c r="D12" s="31">
        <v>8017</v>
      </c>
      <c r="E12" s="31">
        <f>G12+H12+I12+J12</f>
        <v>8017</v>
      </c>
      <c r="F12" s="26">
        <f>G12+H12+I12</f>
        <v>4399.3999999999996</v>
      </c>
      <c r="G12" s="31">
        <v>1721.2</v>
      </c>
      <c r="H12" s="31">
        <v>1331.7</v>
      </c>
      <c r="I12" s="32">
        <v>1346.5</v>
      </c>
      <c r="J12" s="29">
        <v>3617.6</v>
      </c>
      <c r="K12" s="29">
        <v>5190.8</v>
      </c>
      <c r="L12" s="27">
        <f>K12*100/F12</f>
        <v>117.98881665681685</v>
      </c>
      <c r="M12" s="29">
        <f>K12*100/E12</f>
        <v>64.747411750031191</v>
      </c>
      <c r="N12" s="29">
        <f>K12*100/D12</f>
        <v>64.747411750031191</v>
      </c>
    </row>
    <row r="13" spans="1:14" ht="15.75" customHeight="1" x14ac:dyDescent="0.25">
      <c r="A13" s="24" t="s">
        <v>27</v>
      </c>
      <c r="B13" s="24"/>
      <c r="C13" s="30" t="s">
        <v>28</v>
      </c>
      <c r="D13" s="31">
        <v>3755</v>
      </c>
      <c r="E13" s="31">
        <f>G13+H13+I13+J13</f>
        <v>3755</v>
      </c>
      <c r="F13" s="26">
        <f>G13+H13+I13</f>
        <v>2774.2</v>
      </c>
      <c r="G13" s="31">
        <v>894.2</v>
      </c>
      <c r="H13" s="31">
        <v>937.5</v>
      </c>
      <c r="I13" s="32">
        <v>942.5</v>
      </c>
      <c r="J13" s="29">
        <v>980.8</v>
      </c>
      <c r="K13" s="29">
        <v>2776</v>
      </c>
      <c r="L13" s="27">
        <f>K13*100/F13</f>
        <v>100.06488357003822</v>
      </c>
      <c r="M13" s="29">
        <f>K13*100/E13</f>
        <v>73.928095872170445</v>
      </c>
      <c r="N13" s="29">
        <f>K13*100/D13</f>
        <v>73.928095872170445</v>
      </c>
    </row>
    <row r="14" spans="1:14" ht="41.25" hidden="1" customHeight="1" x14ac:dyDescent="0.25">
      <c r="A14" s="24" t="s">
        <v>29</v>
      </c>
      <c r="B14" s="24"/>
      <c r="C14" s="30" t="s">
        <v>30</v>
      </c>
      <c r="D14" s="31"/>
      <c r="E14" s="31">
        <f>G14+H14+I14+J14</f>
        <v>0</v>
      </c>
      <c r="F14" s="26">
        <f>G14+H14+I14</f>
        <v>0</v>
      </c>
      <c r="G14" s="31"/>
      <c r="H14" s="31"/>
      <c r="I14" s="32"/>
      <c r="J14" s="29"/>
      <c r="K14" s="29"/>
      <c r="L14" s="27"/>
      <c r="M14" s="29"/>
      <c r="N14" s="29" t="e">
        <f>K14*100/D14</f>
        <v>#DIV/0!</v>
      </c>
    </row>
    <row r="15" spans="1:14" ht="39.75" customHeight="1" x14ac:dyDescent="0.25">
      <c r="A15" s="33" t="s">
        <v>31</v>
      </c>
      <c r="B15" s="33"/>
      <c r="C15" s="30" t="s">
        <v>32</v>
      </c>
      <c r="D15" s="31">
        <v>98757.9</v>
      </c>
      <c r="E15" s="31">
        <f>G15+H15+I15+J15</f>
        <v>103607.9</v>
      </c>
      <c r="F15" s="26">
        <f>G15+H15+I15</f>
        <v>79207.3</v>
      </c>
      <c r="G15" s="31">
        <v>18527.3</v>
      </c>
      <c r="H15" s="31">
        <v>36670.199999999997</v>
      </c>
      <c r="I15" s="32">
        <v>24009.8</v>
      </c>
      <c r="J15" s="29">
        <v>24400.6</v>
      </c>
      <c r="K15" s="29">
        <v>59877</v>
      </c>
      <c r="L15" s="27">
        <f>K15*100/F15</f>
        <v>75.595304978202762</v>
      </c>
      <c r="M15" s="29">
        <f>K15*100/E15</f>
        <v>57.791925133122092</v>
      </c>
      <c r="N15" s="29">
        <f>K15*100/D15</f>
        <v>60.630086301956609</v>
      </c>
    </row>
    <row r="16" spans="1:14" ht="26.25" customHeight="1" x14ac:dyDescent="0.25">
      <c r="A16" s="34" t="s">
        <v>33</v>
      </c>
      <c r="B16" s="34"/>
      <c r="C16" s="30" t="s">
        <v>34</v>
      </c>
      <c r="D16" s="31">
        <v>6005.5</v>
      </c>
      <c r="E16" s="31">
        <f>G16+H16+I16+J16</f>
        <v>16213.000000000002</v>
      </c>
      <c r="F16" s="26">
        <f>G16+H16+I16</f>
        <v>13129.600000000002</v>
      </c>
      <c r="G16" s="31">
        <v>5285.3</v>
      </c>
      <c r="H16" s="31">
        <v>4760.6000000000004</v>
      </c>
      <c r="I16" s="32">
        <v>3083.7</v>
      </c>
      <c r="J16" s="29">
        <v>3083.4</v>
      </c>
      <c r="K16" s="29">
        <v>15373.6</v>
      </c>
      <c r="L16" s="27">
        <f>K16*100/F16</f>
        <v>117.09115281501339</v>
      </c>
      <c r="M16" s="29">
        <f>K16*100/E16</f>
        <v>94.822673163510757</v>
      </c>
      <c r="N16" s="29">
        <f>K16*100/D16</f>
        <v>255.99200732661726</v>
      </c>
    </row>
    <row r="17" spans="1:14" ht="25.5" customHeight="1" x14ac:dyDescent="0.25">
      <c r="A17" s="35" t="s">
        <v>35</v>
      </c>
      <c r="B17" s="35"/>
      <c r="C17" s="30" t="s">
        <v>36</v>
      </c>
      <c r="D17" s="31">
        <v>15466.8</v>
      </c>
      <c r="E17" s="31">
        <f>G17+H17+I17+J17</f>
        <v>20066.8</v>
      </c>
      <c r="F17" s="26">
        <f>G17+H17+I17</f>
        <v>14324.4</v>
      </c>
      <c r="G17" s="31">
        <v>4876.3</v>
      </c>
      <c r="H17" s="31">
        <v>7335.2</v>
      </c>
      <c r="I17" s="32">
        <v>2112.9</v>
      </c>
      <c r="J17" s="29">
        <v>5742.4</v>
      </c>
      <c r="K17" s="29">
        <v>17570.599999999999</v>
      </c>
      <c r="L17" s="27">
        <f>K17*100/F17</f>
        <v>122.6620312194577</v>
      </c>
      <c r="M17" s="29">
        <f>K17*100/E17</f>
        <v>87.560547770446703</v>
      </c>
      <c r="N17" s="29">
        <f>K17*100/D17</f>
        <v>113.60203791346625</v>
      </c>
    </row>
    <row r="18" spans="1:14" ht="25.5" customHeight="1" x14ac:dyDescent="0.25">
      <c r="A18" s="35" t="s">
        <v>37</v>
      </c>
      <c r="B18" s="35"/>
      <c r="C18" s="30" t="s">
        <v>38</v>
      </c>
      <c r="D18" s="31">
        <v>10514.8</v>
      </c>
      <c r="E18" s="31">
        <f>G18+H18+I18+J18</f>
        <v>13091</v>
      </c>
      <c r="F18" s="26">
        <f>G18+H18+I18</f>
        <v>7156.7999999999993</v>
      </c>
      <c r="G18" s="31">
        <v>3613.6</v>
      </c>
      <c r="H18" s="31">
        <v>1828.8</v>
      </c>
      <c r="I18" s="32">
        <v>1714.4</v>
      </c>
      <c r="J18" s="29">
        <v>5934.2</v>
      </c>
      <c r="K18" s="29">
        <v>15717.3</v>
      </c>
      <c r="L18" s="27">
        <f>K18*100/F18</f>
        <v>219.61351441985246</v>
      </c>
      <c r="M18" s="29">
        <f>K18*100/E18</f>
        <v>120.06187457031548</v>
      </c>
      <c r="N18" s="29">
        <f>K18*100/D18</f>
        <v>149.47787879940657</v>
      </c>
    </row>
    <row r="19" spans="1:14" ht="19.5" customHeight="1" x14ac:dyDescent="0.25">
      <c r="A19" s="35" t="s">
        <v>39</v>
      </c>
      <c r="B19" s="35"/>
      <c r="C19" s="30" t="s">
        <v>40</v>
      </c>
      <c r="D19" s="31">
        <v>11</v>
      </c>
      <c r="E19" s="31">
        <f>G19+H19+I19+J19</f>
        <v>11</v>
      </c>
      <c r="F19" s="26">
        <f>G19+H19+I19</f>
        <v>6</v>
      </c>
      <c r="G19" s="31">
        <v>1</v>
      </c>
      <c r="H19" s="31">
        <v>3</v>
      </c>
      <c r="I19" s="32">
        <v>2</v>
      </c>
      <c r="J19" s="29">
        <v>5</v>
      </c>
      <c r="K19" s="29">
        <v>2</v>
      </c>
      <c r="L19" s="27">
        <f>K19*100/F19</f>
        <v>33.333333333333336</v>
      </c>
      <c r="M19" s="29">
        <f>K19*100/E19</f>
        <v>18.181818181818183</v>
      </c>
      <c r="N19" s="29">
        <f>K19*100/D19</f>
        <v>18.181818181818183</v>
      </c>
    </row>
    <row r="20" spans="1:14" ht="19.5" customHeight="1" x14ac:dyDescent="0.25">
      <c r="A20" s="36" t="s">
        <v>41</v>
      </c>
      <c r="B20" s="36"/>
      <c r="C20" s="30" t="s">
        <v>42</v>
      </c>
      <c r="D20" s="31">
        <v>3592.8</v>
      </c>
      <c r="E20" s="31">
        <f>G20+H20+I20+J20</f>
        <v>39122.100000000006</v>
      </c>
      <c r="F20" s="26">
        <f>G20+H20+I20</f>
        <v>39041.800000000003</v>
      </c>
      <c r="G20" s="31">
        <v>36303.599999999999</v>
      </c>
      <c r="H20" s="31">
        <v>2642.3</v>
      </c>
      <c r="I20" s="32">
        <v>95.9</v>
      </c>
      <c r="J20" s="29">
        <v>80.3</v>
      </c>
      <c r="K20" s="29">
        <v>48973.2</v>
      </c>
      <c r="L20" s="27">
        <f>K20*100/F20</f>
        <v>125.43786403290831</v>
      </c>
      <c r="M20" s="29">
        <f>K20*100/E20</f>
        <v>125.18039675784273</v>
      </c>
      <c r="N20" s="29">
        <f>K20*100/D20</f>
        <v>1363.0928523714094</v>
      </c>
    </row>
    <row r="21" spans="1:14" ht="18" customHeight="1" x14ac:dyDescent="0.25">
      <c r="A21" s="37" t="s">
        <v>43</v>
      </c>
      <c r="B21" s="38"/>
      <c r="C21" s="39" t="s">
        <v>44</v>
      </c>
      <c r="D21" s="31"/>
      <c r="E21" s="31">
        <f>G21+H21+I21+J21</f>
        <v>0</v>
      </c>
      <c r="F21" s="26">
        <f>G21+H21+I21</f>
        <v>0</v>
      </c>
      <c r="G21" s="31"/>
      <c r="H21" s="31"/>
      <c r="I21" s="32"/>
      <c r="J21" s="29"/>
      <c r="K21" s="29">
        <v>25</v>
      </c>
      <c r="L21" s="27"/>
      <c r="M21" s="29"/>
      <c r="N21" s="29"/>
    </row>
    <row r="22" spans="1:14" x14ac:dyDescent="0.25">
      <c r="A22" s="40" t="s">
        <v>45</v>
      </c>
      <c r="B22" s="40"/>
      <c r="C22" s="41" t="s">
        <v>46</v>
      </c>
      <c r="D22" s="42">
        <f t="shared" ref="D22:J22" si="1">D23+D24+D26+D25</f>
        <v>2873084.6</v>
      </c>
      <c r="E22" s="42">
        <f>E23+E24+E26+E25</f>
        <v>3069292.9</v>
      </c>
      <c r="F22" s="42">
        <f t="shared" si="1"/>
        <v>2319561.8000000003</v>
      </c>
      <c r="G22" s="42">
        <f t="shared" si="1"/>
        <v>723216.6</v>
      </c>
      <c r="H22" s="42">
        <f t="shared" si="1"/>
        <v>731261.6</v>
      </c>
      <c r="I22" s="42">
        <f t="shared" si="1"/>
        <v>865083.6</v>
      </c>
      <c r="J22" s="42">
        <f t="shared" si="1"/>
        <v>749731.10000000009</v>
      </c>
      <c r="K22" s="42">
        <f>K23+K24+K26+K25</f>
        <v>1914086.2</v>
      </c>
      <c r="L22" s="43">
        <f>K22*100/F22</f>
        <v>82.519301706037737</v>
      </c>
      <c r="M22" s="23">
        <f>K22*100/E22</f>
        <v>62.362448367179297</v>
      </c>
      <c r="N22" s="23">
        <f>K22*100/D22</f>
        <v>66.621296149789671</v>
      </c>
    </row>
    <row r="23" spans="1:14" ht="45.75" customHeight="1" x14ac:dyDescent="0.25">
      <c r="A23" s="44" t="s">
        <v>47</v>
      </c>
      <c r="B23" s="24"/>
      <c r="C23" s="45" t="s">
        <v>48</v>
      </c>
      <c r="D23" s="46">
        <v>2873084.6</v>
      </c>
      <c r="E23" s="31">
        <f>G23+H23+I23+J23</f>
        <v>3062104.8</v>
      </c>
      <c r="F23" s="26">
        <f>G23+H23+I23</f>
        <v>2314083</v>
      </c>
      <c r="G23" s="31">
        <v>725629.5</v>
      </c>
      <c r="H23" s="31">
        <v>726369.9</v>
      </c>
      <c r="I23" s="29">
        <v>862083.6</v>
      </c>
      <c r="J23" s="29">
        <v>748021.8</v>
      </c>
      <c r="K23" s="29">
        <v>1909912.4</v>
      </c>
      <c r="L23" s="27">
        <f>K23*100/F23</f>
        <v>82.534308406396832</v>
      </c>
      <c r="M23" s="29">
        <f>K23*100/E23</f>
        <v>62.372535388076855</v>
      </c>
      <c r="N23" s="29">
        <f>K23*100/D23</f>
        <v>66.476023713328871</v>
      </c>
    </row>
    <row r="24" spans="1:14" x14ac:dyDescent="0.25">
      <c r="A24" s="44" t="s">
        <v>49</v>
      </c>
      <c r="B24" s="44"/>
      <c r="C24" s="47" t="s">
        <v>50</v>
      </c>
      <c r="D24" s="48"/>
      <c r="E24" s="31">
        <f>G24+H24+I24+J24</f>
        <v>11500</v>
      </c>
      <c r="F24" s="26">
        <f>G24+H24+I24</f>
        <v>9790.7000000000007</v>
      </c>
      <c r="G24" s="48">
        <v>1500</v>
      </c>
      <c r="H24" s="48">
        <v>5290.7</v>
      </c>
      <c r="I24" s="29">
        <v>3000</v>
      </c>
      <c r="J24" s="29">
        <v>1709.3</v>
      </c>
      <c r="K24" s="29">
        <v>8496.9</v>
      </c>
      <c r="L24" s="27">
        <f>K24*100/F24</f>
        <v>86.785418815815007</v>
      </c>
      <c r="M24" s="29">
        <f>K24*100/E24</f>
        <v>73.886086956521737</v>
      </c>
      <c r="N24" s="29"/>
    </row>
    <row r="25" spans="1:14" ht="72" customHeight="1" x14ac:dyDescent="0.25">
      <c r="A25" s="44" t="s">
        <v>51</v>
      </c>
      <c r="B25" s="49" t="s">
        <v>52</v>
      </c>
      <c r="C25" s="39" t="s">
        <v>52</v>
      </c>
      <c r="D25" s="31"/>
      <c r="E25" s="31">
        <f>G25+H25+I25+J25</f>
        <v>563.6</v>
      </c>
      <c r="F25" s="26">
        <f>G25+H25+I25</f>
        <v>563.6</v>
      </c>
      <c r="G25" s="31">
        <v>563.6</v>
      </c>
      <c r="H25" s="31"/>
      <c r="I25" s="29"/>
      <c r="J25" s="29"/>
      <c r="K25" s="29">
        <v>563.6</v>
      </c>
      <c r="L25" s="27">
        <f>K25*100/F25</f>
        <v>100</v>
      </c>
      <c r="M25" s="29">
        <f>K25*100/E25</f>
        <v>100</v>
      </c>
      <c r="N25" s="29"/>
    </row>
    <row r="26" spans="1:14" ht="39.75" customHeight="1" x14ac:dyDescent="0.25">
      <c r="A26" s="44" t="s">
        <v>53</v>
      </c>
      <c r="B26" s="50"/>
      <c r="C26" s="51" t="s">
        <v>54</v>
      </c>
      <c r="D26" s="52"/>
      <c r="E26" s="31">
        <f>G26+H26+I26+J26</f>
        <v>-4875.5</v>
      </c>
      <c r="F26" s="26">
        <f>G26+H26+I26</f>
        <v>-4875.5</v>
      </c>
      <c r="G26" s="52">
        <v>-4476.5</v>
      </c>
      <c r="H26" s="52">
        <v>-399</v>
      </c>
      <c r="I26" s="29"/>
      <c r="J26" s="29"/>
      <c r="K26" s="29">
        <v>-4886.7</v>
      </c>
      <c r="L26" s="27">
        <f>K26*100/F26</f>
        <v>100.22972002871501</v>
      </c>
      <c r="M26" s="29">
        <f>K26*100/E26</f>
        <v>100.22972002871501</v>
      </c>
      <c r="N26" s="29"/>
    </row>
    <row r="27" spans="1:14" ht="11.25" customHeight="1" x14ac:dyDescent="0.25">
      <c r="A27" s="36"/>
      <c r="B27" s="53"/>
      <c r="C27" s="54" t="s">
        <v>55</v>
      </c>
      <c r="D27" s="23">
        <f t="shared" ref="D27:J27" si="2">D22+D8</f>
        <v>3664260.6000000006</v>
      </c>
      <c r="E27" s="23">
        <f t="shared" si="2"/>
        <v>3927246.2</v>
      </c>
      <c r="F27" s="23">
        <f t="shared" si="2"/>
        <v>2966006.1000000006</v>
      </c>
      <c r="G27" s="23">
        <f t="shared" si="2"/>
        <v>957836.1</v>
      </c>
      <c r="H27" s="23">
        <f t="shared" si="2"/>
        <v>966596.7</v>
      </c>
      <c r="I27" s="23">
        <f t="shared" si="2"/>
        <v>1041573.2999999999</v>
      </c>
      <c r="J27" s="23">
        <f t="shared" si="2"/>
        <v>961240.10000000009</v>
      </c>
      <c r="K27" s="23">
        <f>K22+K8</f>
        <v>2533010.7000000002</v>
      </c>
      <c r="L27" s="43">
        <f>K27*100/F27</f>
        <v>85.401398871027268</v>
      </c>
      <c r="M27" s="23">
        <f>K27*100/E27</f>
        <v>64.498393301647354</v>
      </c>
      <c r="N27" s="23">
        <f>K27*100/D27</f>
        <v>69.127471446763366</v>
      </c>
    </row>
    <row r="28" spans="1:14" x14ac:dyDescent="0.25">
      <c r="A28" s="55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43"/>
      <c r="M28" s="23"/>
      <c r="N28" s="29"/>
    </row>
    <row r="29" spans="1:14" x14ac:dyDescent="0.25">
      <c r="A29" s="18" t="s">
        <v>56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x14ac:dyDescent="0.25">
      <c r="A30" s="40" t="s">
        <v>17</v>
      </c>
      <c r="B30" s="40"/>
      <c r="C30" s="57" t="s">
        <v>18</v>
      </c>
      <c r="D30" s="43">
        <f t="shared" ref="D30:J30" si="3">D31+D33+D35+D37+D34+D36+D39+D32</f>
        <v>18456</v>
      </c>
      <c r="E30" s="43">
        <f t="shared" si="3"/>
        <v>18511</v>
      </c>
      <c r="F30" s="43">
        <f t="shared" si="3"/>
        <v>14078.099999999999</v>
      </c>
      <c r="G30" s="43">
        <f t="shared" si="3"/>
        <v>4498.4000000000005</v>
      </c>
      <c r="H30" s="43">
        <f t="shared" si="3"/>
        <v>5153.5</v>
      </c>
      <c r="I30" s="43">
        <f t="shared" si="3"/>
        <v>4426.2</v>
      </c>
      <c r="J30" s="43">
        <f t="shared" si="3"/>
        <v>4432.8999999999996</v>
      </c>
      <c r="K30" s="43">
        <f>K31+K33+K35+K37+K34+K36+K39+K32+K38</f>
        <v>13577</v>
      </c>
      <c r="L30" s="43">
        <f>K30*100/F30</f>
        <v>96.44057081566406</v>
      </c>
      <c r="M30" s="23">
        <f>K30*100/E30</f>
        <v>73.345578304791744</v>
      </c>
      <c r="N30" s="23">
        <f>K30*100/D30</f>
        <v>73.564152579107059</v>
      </c>
    </row>
    <row r="31" spans="1:14" ht="18.75" customHeight="1" x14ac:dyDescent="0.25">
      <c r="A31" s="24" t="s">
        <v>19</v>
      </c>
      <c r="B31" s="24"/>
      <c r="C31" s="25" t="s">
        <v>20</v>
      </c>
      <c r="D31" s="26">
        <v>15000</v>
      </c>
      <c r="E31" s="31">
        <f>G31+H31+I31+J31</f>
        <v>15325</v>
      </c>
      <c r="F31" s="26">
        <f>G31+H31+I31</f>
        <v>12010</v>
      </c>
      <c r="G31" s="26">
        <v>3735</v>
      </c>
      <c r="H31" s="26">
        <v>4660</v>
      </c>
      <c r="I31" s="32">
        <v>3615</v>
      </c>
      <c r="J31" s="29">
        <v>3315</v>
      </c>
      <c r="K31" s="28">
        <v>11683.3</v>
      </c>
      <c r="L31" s="27">
        <f>K31*100/F31</f>
        <v>97.279766860949209</v>
      </c>
      <c r="M31" s="29">
        <f>K31*100/E31</f>
        <v>76.236867862969007</v>
      </c>
      <c r="N31" s="29">
        <f>K31*100/D31</f>
        <v>77.888666666666666</v>
      </c>
    </row>
    <row r="32" spans="1:14" ht="39.75" customHeight="1" x14ac:dyDescent="0.25">
      <c r="A32" s="24" t="s">
        <v>21</v>
      </c>
      <c r="B32" s="24"/>
      <c r="C32" s="30" t="s">
        <v>22</v>
      </c>
      <c r="D32" s="31">
        <v>1636.6</v>
      </c>
      <c r="E32" s="31">
        <f>G32+H32+I32+J32</f>
        <v>1316.6000000000001</v>
      </c>
      <c r="F32" s="26">
        <f>G32+H32+I32</f>
        <v>905.80000000000007</v>
      </c>
      <c r="G32" s="26">
        <v>408.6</v>
      </c>
      <c r="H32" s="26">
        <v>88.6</v>
      </c>
      <c r="I32" s="32">
        <v>408.6</v>
      </c>
      <c r="J32" s="29">
        <v>410.8</v>
      </c>
      <c r="K32" s="28">
        <v>1177.7</v>
      </c>
      <c r="L32" s="27">
        <f>K32*100/F32</f>
        <v>130.01766394347538</v>
      </c>
      <c r="M32" s="29">
        <f>K32*100/E32</f>
        <v>89.450098739176653</v>
      </c>
      <c r="N32" s="29">
        <f>K32*100/D32</f>
        <v>71.960161310033001</v>
      </c>
    </row>
    <row r="33" spans="1:14" ht="18" customHeight="1" x14ac:dyDescent="0.25">
      <c r="A33" s="24" t="s">
        <v>25</v>
      </c>
      <c r="B33" s="24"/>
      <c r="C33" s="30" t="s">
        <v>26</v>
      </c>
      <c r="D33" s="31">
        <v>1081.2</v>
      </c>
      <c r="E33" s="31">
        <f>G33+H33+I33+J33</f>
        <v>1081.2</v>
      </c>
      <c r="F33" s="26">
        <f>G33+H33+I33</f>
        <v>563.30000000000007</v>
      </c>
      <c r="G33" s="31">
        <v>171.8</v>
      </c>
      <c r="H33" s="31">
        <v>171.9</v>
      </c>
      <c r="I33" s="32">
        <v>219.6</v>
      </c>
      <c r="J33" s="29">
        <v>517.9</v>
      </c>
      <c r="K33" s="29">
        <v>397.4</v>
      </c>
      <c r="L33" s="27">
        <f>K33*100/F33</f>
        <v>70.548553168826544</v>
      </c>
      <c r="M33" s="29">
        <f>K33*100/E33</f>
        <v>36.755456899741027</v>
      </c>
      <c r="N33" s="29">
        <f>K33*100/D33</f>
        <v>36.755456899741027</v>
      </c>
    </row>
    <row r="34" spans="1:14" ht="13.5" customHeight="1" x14ac:dyDescent="0.25">
      <c r="A34" s="24" t="s">
        <v>27</v>
      </c>
      <c r="B34" s="24"/>
      <c r="C34" s="30" t="s">
        <v>28</v>
      </c>
      <c r="D34" s="31">
        <v>26</v>
      </c>
      <c r="E34" s="31">
        <f>G34+H34+I34+J34</f>
        <v>26</v>
      </c>
      <c r="F34" s="26">
        <f>G34+H34+I34</f>
        <v>18</v>
      </c>
      <c r="G34" s="31">
        <v>6</v>
      </c>
      <c r="H34" s="31">
        <v>6</v>
      </c>
      <c r="I34" s="32">
        <v>6</v>
      </c>
      <c r="J34" s="29">
        <v>8</v>
      </c>
      <c r="K34" s="29">
        <v>4.5</v>
      </c>
      <c r="L34" s="27">
        <f>K34*100/F34</f>
        <v>25</v>
      </c>
      <c r="M34" s="29">
        <f>K34*100/E34</f>
        <v>17.307692307692307</v>
      </c>
      <c r="N34" s="29">
        <f>K34*100/D34</f>
        <v>17.307692307692307</v>
      </c>
    </row>
    <row r="35" spans="1:14" ht="41.25" customHeight="1" x14ac:dyDescent="0.25">
      <c r="A35" s="33" t="s">
        <v>31</v>
      </c>
      <c r="B35" s="33"/>
      <c r="C35" s="30" t="s">
        <v>32</v>
      </c>
      <c r="D35" s="31">
        <v>612.20000000000005</v>
      </c>
      <c r="E35" s="31">
        <f>G35+H35+I35+J35</f>
        <v>612.20000000000005</v>
      </c>
      <c r="F35" s="26">
        <f>G35+H35+I35</f>
        <v>456</v>
      </c>
      <c r="G35" s="31">
        <v>152</v>
      </c>
      <c r="H35" s="31">
        <v>152</v>
      </c>
      <c r="I35" s="32">
        <v>152</v>
      </c>
      <c r="J35" s="29">
        <v>156.19999999999999</v>
      </c>
      <c r="K35" s="29">
        <v>257.7</v>
      </c>
      <c r="L35" s="27">
        <f>K35*100/F35</f>
        <v>56.513157894736842</v>
      </c>
      <c r="M35" s="29">
        <f>K35*100/E35</f>
        <v>42.094086899705978</v>
      </c>
      <c r="N35" s="29">
        <f>K35*100/D35</f>
        <v>42.094086899705978</v>
      </c>
    </row>
    <row r="36" spans="1:14" ht="28.5" customHeight="1" x14ac:dyDescent="0.25">
      <c r="A36" s="35" t="s">
        <v>35</v>
      </c>
      <c r="B36" s="35"/>
      <c r="C36" s="30" t="s">
        <v>36</v>
      </c>
      <c r="D36" s="31"/>
      <c r="E36" s="31">
        <f>G36+H36+I36+J36</f>
        <v>50</v>
      </c>
      <c r="F36" s="26">
        <f>G36+H36+I36</f>
        <v>50</v>
      </c>
      <c r="G36" s="31"/>
      <c r="H36" s="31">
        <v>50</v>
      </c>
      <c r="I36" s="32"/>
      <c r="J36" s="29"/>
      <c r="K36" s="29">
        <v>53.1</v>
      </c>
      <c r="L36" s="27">
        <f>K36*100/F36</f>
        <v>106.2</v>
      </c>
      <c r="M36" s="29">
        <f>K36*100/E36</f>
        <v>106.2</v>
      </c>
      <c r="N36" s="29"/>
    </row>
    <row r="37" spans="1:14" ht="28.5" customHeight="1" x14ac:dyDescent="0.25">
      <c r="A37" s="34" t="s">
        <v>37</v>
      </c>
      <c r="B37" s="34"/>
      <c r="C37" s="30" t="s">
        <v>38</v>
      </c>
      <c r="D37" s="31">
        <v>100</v>
      </c>
      <c r="E37" s="31">
        <f>G37+H37+I37+J37</f>
        <v>100</v>
      </c>
      <c r="F37" s="26">
        <f>G37+H37+I37</f>
        <v>75</v>
      </c>
      <c r="G37" s="31">
        <v>25</v>
      </c>
      <c r="H37" s="31">
        <v>25</v>
      </c>
      <c r="I37" s="32">
        <v>25</v>
      </c>
      <c r="J37" s="29">
        <v>25</v>
      </c>
      <c r="K37" s="29">
        <v>3.3</v>
      </c>
      <c r="L37" s="27">
        <f>K37*100/F37</f>
        <v>4.4000000000000004</v>
      </c>
      <c r="M37" s="29">
        <f>K37*100/E37</f>
        <v>3.3</v>
      </c>
      <c r="N37" s="29">
        <f>K37*100/D37</f>
        <v>3.3</v>
      </c>
    </row>
    <row r="38" spans="1:14" ht="17.25" customHeight="1" x14ac:dyDescent="0.25">
      <c r="A38" s="36" t="s">
        <v>41</v>
      </c>
      <c r="B38" s="58"/>
      <c r="C38" s="30" t="s">
        <v>42</v>
      </c>
      <c r="D38" s="59"/>
      <c r="E38" s="31"/>
      <c r="F38" s="26">
        <f>G38+H38+I38</f>
        <v>0</v>
      </c>
      <c r="G38" s="31"/>
      <c r="H38" s="31"/>
      <c r="I38" s="32"/>
      <c r="J38" s="29"/>
      <c r="K38" s="29"/>
      <c r="L38" s="27"/>
      <c r="M38" s="29"/>
      <c r="N38" s="29"/>
    </row>
    <row r="39" spans="1:14" ht="16.5" customHeight="1" x14ac:dyDescent="0.25">
      <c r="A39" s="37" t="s">
        <v>43</v>
      </c>
      <c r="B39" s="38"/>
      <c r="C39" s="39" t="s">
        <v>44</v>
      </c>
      <c r="D39" s="59"/>
      <c r="E39" s="30"/>
      <c r="F39" s="26">
        <f>G39+H39+I39</f>
        <v>0</v>
      </c>
      <c r="G39" s="31"/>
      <c r="H39" s="31"/>
      <c r="I39" s="32"/>
      <c r="J39" s="29"/>
      <c r="K39" s="29"/>
      <c r="L39" s="43"/>
      <c r="M39" s="23"/>
      <c r="N39" s="29"/>
    </row>
    <row r="40" spans="1:14" x14ac:dyDescent="0.25">
      <c r="A40" s="40" t="s">
        <v>45</v>
      </c>
      <c r="B40" s="40"/>
      <c r="C40" s="41" t="s">
        <v>46</v>
      </c>
      <c r="D40" s="42">
        <f>D41+D42</f>
        <v>10578.1</v>
      </c>
      <c r="E40" s="42">
        <f>E41+E42</f>
        <v>14394.300000000001</v>
      </c>
      <c r="F40" s="42">
        <f t="shared" ref="F40:K40" si="4">F41+F42</f>
        <v>12176.5</v>
      </c>
      <c r="G40" s="42">
        <f t="shared" si="4"/>
        <v>2994.7999999999997</v>
      </c>
      <c r="H40" s="42">
        <f t="shared" si="4"/>
        <v>6073.8</v>
      </c>
      <c r="I40" s="42">
        <f t="shared" si="4"/>
        <v>3107.9</v>
      </c>
      <c r="J40" s="42">
        <f t="shared" si="4"/>
        <v>2217.8000000000002</v>
      </c>
      <c r="K40" s="42">
        <f t="shared" si="4"/>
        <v>9001</v>
      </c>
      <c r="L40" s="43">
        <f>K40*100/F40</f>
        <v>73.921077485320083</v>
      </c>
      <c r="M40" s="23">
        <f>K40*100/E40</f>
        <v>62.531696574338447</v>
      </c>
      <c r="N40" s="23">
        <f>K40*100/D40</f>
        <v>85.090895340373038</v>
      </c>
    </row>
    <row r="41" spans="1:14" ht="40.5" customHeight="1" x14ac:dyDescent="0.25">
      <c r="A41" s="44" t="s">
        <v>47</v>
      </c>
      <c r="B41" s="24"/>
      <c r="C41" s="45" t="s">
        <v>48</v>
      </c>
      <c r="D41" s="46">
        <v>10578.1</v>
      </c>
      <c r="E41" s="31">
        <f>G41+H41+I41+J41</f>
        <v>14487.2</v>
      </c>
      <c r="F41" s="26">
        <f>G41+H41+I41</f>
        <v>12269.4</v>
      </c>
      <c r="G41" s="46">
        <v>3087.7</v>
      </c>
      <c r="H41" s="46">
        <v>6073.8</v>
      </c>
      <c r="I41" s="32">
        <v>3107.9</v>
      </c>
      <c r="J41" s="46">
        <v>2217.8000000000002</v>
      </c>
      <c r="K41" s="29">
        <v>9093.9</v>
      </c>
      <c r="L41" s="27">
        <f>K41*100/F41</f>
        <v>74.118538803853497</v>
      </c>
      <c r="M41" s="29">
        <f>K41*100/E41</f>
        <v>62.771964216687834</v>
      </c>
      <c r="N41" s="29">
        <f>K41*100/D41</f>
        <v>85.969124890103132</v>
      </c>
    </row>
    <row r="42" spans="1:14" ht="39" customHeight="1" x14ac:dyDescent="0.25">
      <c r="A42" s="44" t="s">
        <v>53</v>
      </c>
      <c r="B42" s="50"/>
      <c r="C42" s="51" t="s">
        <v>54</v>
      </c>
      <c r="D42" s="52">
        <v>0</v>
      </c>
      <c r="E42" s="31">
        <f>G42+H42+I42+J42</f>
        <v>-92.9</v>
      </c>
      <c r="F42" s="26">
        <f>G42+H42+I42</f>
        <v>-92.9</v>
      </c>
      <c r="G42" s="46">
        <v>-92.9</v>
      </c>
      <c r="H42" s="46"/>
      <c r="I42" s="32"/>
      <c r="J42" s="46"/>
      <c r="K42" s="29">
        <v>-92.9</v>
      </c>
      <c r="L42" s="27">
        <f>K42*100/F42</f>
        <v>100</v>
      </c>
      <c r="M42" s="29">
        <f>K42*100/E42</f>
        <v>100</v>
      </c>
      <c r="N42" s="29"/>
    </row>
    <row r="43" spans="1:14" ht="19.5" customHeight="1" x14ac:dyDescent="0.25">
      <c r="A43" s="36"/>
      <c r="B43" s="53"/>
      <c r="C43" s="54" t="s">
        <v>55</v>
      </c>
      <c r="D43" s="23">
        <f t="shared" ref="D43:J43" si="5">D40+D30</f>
        <v>29034.1</v>
      </c>
      <c r="E43" s="23">
        <f t="shared" si="5"/>
        <v>32905.300000000003</v>
      </c>
      <c r="F43" s="23">
        <f t="shared" si="5"/>
        <v>26254.6</v>
      </c>
      <c r="G43" s="23">
        <f t="shared" si="5"/>
        <v>7493.2000000000007</v>
      </c>
      <c r="H43" s="23">
        <f t="shared" si="5"/>
        <v>11227.3</v>
      </c>
      <c r="I43" s="23">
        <f t="shared" si="5"/>
        <v>7534.1</v>
      </c>
      <c r="J43" s="23">
        <f t="shared" si="5"/>
        <v>6650.7</v>
      </c>
      <c r="K43" s="23">
        <f>K40+K30</f>
        <v>22578</v>
      </c>
      <c r="L43" s="43">
        <f>K43*100/F43</f>
        <v>85.99635873332673</v>
      </c>
      <c r="M43" s="23">
        <f>K43*100/E43</f>
        <v>68.615086323479801</v>
      </c>
      <c r="N43" s="23">
        <f>K43*100/D43</f>
        <v>77.763732989829208</v>
      </c>
    </row>
    <row r="44" spans="1:14" x14ac:dyDescent="0.25">
      <c r="A44" s="60"/>
      <c r="B44" s="61"/>
      <c r="C44" s="62"/>
      <c r="D44" s="62"/>
      <c r="E44" s="62"/>
      <c r="F44" s="62"/>
      <c r="G44" s="62"/>
      <c r="H44" s="62"/>
      <c r="I44" s="62"/>
      <c r="J44" s="62"/>
      <c r="K44" s="62"/>
      <c r="L44" s="43"/>
      <c r="M44" s="23"/>
      <c r="N44" s="29"/>
    </row>
    <row r="45" spans="1:14" x14ac:dyDescent="0.25">
      <c r="A45" s="18" t="s">
        <v>57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x14ac:dyDescent="0.25">
      <c r="A46" s="40" t="s">
        <v>17</v>
      </c>
      <c r="B46" s="40"/>
      <c r="C46" s="57" t="s">
        <v>18</v>
      </c>
      <c r="D46" s="43">
        <f t="shared" ref="D46:J46" si="6">D47+D50+D52+D54+D55+D56+D51+D49+D48+D53</f>
        <v>21681.3</v>
      </c>
      <c r="E46" s="43">
        <f t="shared" si="6"/>
        <v>22471.899999999998</v>
      </c>
      <c r="F46" s="43">
        <f t="shared" si="6"/>
        <v>16373.599999999999</v>
      </c>
      <c r="G46" s="43">
        <f t="shared" si="6"/>
        <v>5221.7</v>
      </c>
      <c r="H46" s="43">
        <f t="shared" si="6"/>
        <v>5305.5</v>
      </c>
      <c r="I46" s="43">
        <f t="shared" si="6"/>
        <v>5846.4000000000005</v>
      </c>
      <c r="J46" s="43">
        <f t="shared" si="6"/>
        <v>6098.2999999999993</v>
      </c>
      <c r="K46" s="43">
        <f>K47+K50+K52+K54+K55+K56+K51+K49+K48+K53</f>
        <v>14833.599999999999</v>
      </c>
      <c r="L46" s="43">
        <f>K46*100/F46</f>
        <v>90.594615722870955</v>
      </c>
      <c r="M46" s="23">
        <f>K46*100/E46</f>
        <v>66.009549704297356</v>
      </c>
      <c r="N46" s="23">
        <f>K46*100/D46</f>
        <v>68.416561737534181</v>
      </c>
    </row>
    <row r="47" spans="1:14" ht="15.75" customHeight="1" x14ac:dyDescent="0.25">
      <c r="A47" s="24" t="s">
        <v>19</v>
      </c>
      <c r="B47" s="24"/>
      <c r="C47" s="25" t="s">
        <v>20</v>
      </c>
      <c r="D47" s="26">
        <v>14100</v>
      </c>
      <c r="E47" s="31">
        <f>G47+H47+I47+J47</f>
        <v>14101</v>
      </c>
      <c r="F47" s="26">
        <f>G47+H47+I47</f>
        <v>10418.799999999999</v>
      </c>
      <c r="G47" s="31">
        <v>2904</v>
      </c>
      <c r="H47" s="31">
        <v>3624</v>
      </c>
      <c r="I47" s="32">
        <v>3890.8</v>
      </c>
      <c r="J47" s="29">
        <v>3682.2</v>
      </c>
      <c r="K47" s="28">
        <v>9537.9</v>
      </c>
      <c r="L47" s="27">
        <f>K47*100/F47</f>
        <v>91.545091565247446</v>
      </c>
      <c r="M47" s="29">
        <f>K47*100/E47</f>
        <v>67.63988369619176</v>
      </c>
      <c r="N47" s="29">
        <f>K47*100/D47</f>
        <v>67.644680851063825</v>
      </c>
    </row>
    <row r="48" spans="1:14" ht="41.25" customHeight="1" x14ac:dyDescent="0.25">
      <c r="A48" s="24" t="s">
        <v>21</v>
      </c>
      <c r="B48" s="24"/>
      <c r="C48" s="30" t="s">
        <v>22</v>
      </c>
      <c r="D48" s="31">
        <v>3820.8</v>
      </c>
      <c r="E48" s="31">
        <f>G48+H48+I48+J48</f>
        <v>3820.7999999999997</v>
      </c>
      <c r="F48" s="26">
        <f>G48+H48+I48</f>
        <v>2905.8999999999996</v>
      </c>
      <c r="G48" s="31">
        <v>983.5</v>
      </c>
      <c r="H48" s="31">
        <v>848.3</v>
      </c>
      <c r="I48" s="32">
        <v>1074.0999999999999</v>
      </c>
      <c r="J48" s="29">
        <v>914.9</v>
      </c>
      <c r="K48" s="28">
        <v>2749.5</v>
      </c>
      <c r="L48" s="27">
        <f>K48*100/F48</f>
        <v>94.617846450325217</v>
      </c>
      <c r="M48" s="29">
        <f>K48*100/E48</f>
        <v>71.961369346733676</v>
      </c>
      <c r="N48" s="29">
        <f>K48*100/D48</f>
        <v>71.961369346733662</v>
      </c>
    </row>
    <row r="49" spans="1:14" ht="17.25" customHeight="1" x14ac:dyDescent="0.25">
      <c r="A49" s="24" t="s">
        <v>23</v>
      </c>
      <c r="B49" s="24"/>
      <c r="C49" s="30" t="s">
        <v>24</v>
      </c>
      <c r="D49" s="31">
        <v>16</v>
      </c>
      <c r="E49" s="31">
        <f>G49+H49+I49+J49</f>
        <v>18</v>
      </c>
      <c r="F49" s="26">
        <f>G49+H49+I49</f>
        <v>18</v>
      </c>
      <c r="G49" s="31">
        <v>14</v>
      </c>
      <c r="H49" s="31">
        <v>2</v>
      </c>
      <c r="I49" s="32">
        <v>2</v>
      </c>
      <c r="J49" s="29"/>
      <c r="K49" s="28">
        <v>14.5</v>
      </c>
      <c r="L49" s="27">
        <f>K49*100/F49</f>
        <v>80.555555555555557</v>
      </c>
      <c r="M49" s="29">
        <f>K49*100/E49</f>
        <v>80.555555555555557</v>
      </c>
      <c r="N49" s="29">
        <f>K49*100/D49</f>
        <v>90.625</v>
      </c>
    </row>
    <row r="50" spans="1:14" ht="17.25" customHeight="1" x14ac:dyDescent="0.25">
      <c r="A50" s="24" t="s">
        <v>25</v>
      </c>
      <c r="B50" s="24"/>
      <c r="C50" s="30" t="s">
        <v>26</v>
      </c>
      <c r="D50" s="31">
        <v>2968.5</v>
      </c>
      <c r="E50" s="31">
        <f>G50+H50+I50+J50</f>
        <v>2975.5</v>
      </c>
      <c r="F50" s="26">
        <f>G50+H50+I50</f>
        <v>1686</v>
      </c>
      <c r="G50" s="31">
        <v>707.5</v>
      </c>
      <c r="H50" s="31">
        <v>575.5</v>
      </c>
      <c r="I50" s="32">
        <v>403</v>
      </c>
      <c r="J50" s="29">
        <v>1289.5</v>
      </c>
      <c r="K50" s="29">
        <v>1627.5</v>
      </c>
      <c r="L50" s="27">
        <f>K50*100/F50</f>
        <v>96.530249110320284</v>
      </c>
      <c r="M50" s="29">
        <f>K50*100/E50</f>
        <v>54.696689631994623</v>
      </c>
      <c r="N50" s="29">
        <f>K50*100/D50</f>
        <v>54.825669530065689</v>
      </c>
    </row>
    <row r="51" spans="1:14" ht="17.25" hidden="1" customHeight="1" x14ac:dyDescent="0.25">
      <c r="A51" s="24" t="s">
        <v>27</v>
      </c>
      <c r="B51" s="24"/>
      <c r="C51" s="30" t="s">
        <v>28</v>
      </c>
      <c r="D51" s="31"/>
      <c r="E51" s="31">
        <f>G51+H51+I51+J51</f>
        <v>0</v>
      </c>
      <c r="F51" s="26">
        <f>G51+H51+I51</f>
        <v>0</v>
      </c>
      <c r="G51" s="31"/>
      <c r="H51" s="31"/>
      <c r="I51" s="32"/>
      <c r="J51" s="29"/>
      <c r="K51" s="29"/>
      <c r="L51" s="27"/>
      <c r="M51" s="29"/>
      <c r="N51" s="29" t="e">
        <f>K51*100/D51</f>
        <v>#DIV/0!</v>
      </c>
    </row>
    <row r="52" spans="1:14" ht="41.25" customHeight="1" x14ac:dyDescent="0.25">
      <c r="A52" s="33" t="s">
        <v>31</v>
      </c>
      <c r="B52" s="33"/>
      <c r="C52" s="30" t="s">
        <v>32</v>
      </c>
      <c r="D52" s="31">
        <v>623.79999999999995</v>
      </c>
      <c r="E52" s="31">
        <f>G52+H52+I52+J52</f>
        <v>623.79999999999995</v>
      </c>
      <c r="F52" s="26">
        <f>G52+H52+I52</f>
        <v>422.09999999999997</v>
      </c>
      <c r="G52" s="31">
        <v>175.7</v>
      </c>
      <c r="H52" s="31">
        <v>95.7</v>
      </c>
      <c r="I52" s="32">
        <v>150.69999999999999</v>
      </c>
      <c r="J52" s="29">
        <v>201.7</v>
      </c>
      <c r="K52" s="29">
        <v>359.3</v>
      </c>
      <c r="L52" s="27">
        <f>K52*100/F52</f>
        <v>85.122009002606021</v>
      </c>
      <c r="M52" s="29">
        <f>K52*100/E52</f>
        <v>57.598589291439566</v>
      </c>
      <c r="N52" s="29">
        <f>K52*100/D52</f>
        <v>57.598589291439566</v>
      </c>
    </row>
    <row r="53" spans="1:14" ht="26.25" customHeight="1" x14ac:dyDescent="0.25">
      <c r="A53" s="35" t="s">
        <v>35</v>
      </c>
      <c r="B53" s="35"/>
      <c r="C53" s="30" t="s">
        <v>36</v>
      </c>
      <c r="D53" s="31"/>
      <c r="E53" s="31">
        <f>G53+H53+I53+J53</f>
        <v>115.8</v>
      </c>
      <c r="F53" s="26">
        <f>G53+H53+I53</f>
        <v>115.8</v>
      </c>
      <c r="G53" s="31"/>
      <c r="H53" s="31"/>
      <c r="I53" s="32">
        <v>115.8</v>
      </c>
      <c r="J53" s="29"/>
      <c r="K53" s="29">
        <v>50</v>
      </c>
      <c r="L53" s="27">
        <f>K53*100/F53</f>
        <v>43.177892918825563</v>
      </c>
      <c r="M53" s="29">
        <f>K53*100/E53</f>
        <v>43.177892918825563</v>
      </c>
      <c r="N53" s="29"/>
    </row>
    <row r="54" spans="1:14" ht="28.5" customHeight="1" x14ac:dyDescent="0.25">
      <c r="A54" s="35" t="s">
        <v>37</v>
      </c>
      <c r="B54" s="35"/>
      <c r="C54" s="30" t="s">
        <v>38</v>
      </c>
      <c r="D54" s="31">
        <v>150</v>
      </c>
      <c r="E54" s="31">
        <f>G54+H54+I54+J54</f>
        <v>717</v>
      </c>
      <c r="F54" s="26">
        <f>G54+H54+I54</f>
        <v>707</v>
      </c>
      <c r="G54" s="31">
        <v>437</v>
      </c>
      <c r="H54" s="31">
        <v>60</v>
      </c>
      <c r="I54" s="32">
        <v>210</v>
      </c>
      <c r="J54" s="29">
        <v>10</v>
      </c>
      <c r="K54" s="29">
        <v>369.9</v>
      </c>
      <c r="L54" s="27">
        <f>K54*100/F54</f>
        <v>52.319660537482321</v>
      </c>
      <c r="M54" s="29">
        <f>K54*100/E54</f>
        <v>51.589958158995813</v>
      </c>
      <c r="N54" s="29">
        <f>K54*100/D54</f>
        <v>246.6</v>
      </c>
    </row>
    <row r="55" spans="1:14" ht="17.25" customHeight="1" x14ac:dyDescent="0.25">
      <c r="A55" s="36" t="s">
        <v>41</v>
      </c>
      <c r="B55" s="36"/>
      <c r="C55" s="30" t="s">
        <v>42</v>
      </c>
      <c r="D55" s="31">
        <v>2.2000000000000002</v>
      </c>
      <c r="E55" s="31">
        <f>G55+H55+I55+J55</f>
        <v>100</v>
      </c>
      <c r="F55" s="26">
        <f>G55+H55+I55</f>
        <v>100</v>
      </c>
      <c r="G55" s="31"/>
      <c r="H55" s="31">
        <v>100</v>
      </c>
      <c r="I55" s="32"/>
      <c r="J55" s="29"/>
      <c r="K55" s="29">
        <v>125</v>
      </c>
      <c r="L55" s="27">
        <f>K55*100/F55</f>
        <v>125</v>
      </c>
      <c r="M55" s="29">
        <f>K55*100/E55</f>
        <v>125</v>
      </c>
      <c r="N55" s="29">
        <f>K55*100/D55</f>
        <v>5681.8181818181811</v>
      </c>
    </row>
    <row r="56" spans="1:14" ht="15" customHeight="1" x14ac:dyDescent="0.25">
      <c r="A56" s="63" t="s">
        <v>43</v>
      </c>
      <c r="B56" s="38"/>
      <c r="C56" s="39" t="s">
        <v>44</v>
      </c>
      <c r="D56" s="31"/>
      <c r="E56" s="31">
        <f>G56+H56+I56+J56</f>
        <v>0</v>
      </c>
      <c r="F56" s="26">
        <f>G56+H56+I56</f>
        <v>0</v>
      </c>
      <c r="G56" s="31"/>
      <c r="H56" s="31"/>
      <c r="I56" s="32"/>
      <c r="J56" s="29"/>
      <c r="K56" s="29"/>
      <c r="L56" s="27"/>
      <c r="M56" s="29"/>
      <c r="N56" s="29"/>
    </row>
    <row r="57" spans="1:14" x14ac:dyDescent="0.25">
      <c r="A57" s="20" t="s">
        <v>45</v>
      </c>
      <c r="B57" s="20"/>
      <c r="C57" s="41" t="s">
        <v>46</v>
      </c>
      <c r="D57" s="42">
        <f>D58+D60+D59</f>
        <v>21114.799999999999</v>
      </c>
      <c r="E57" s="42">
        <f>E58+E60+E59</f>
        <v>29184.800000000003</v>
      </c>
      <c r="F57" s="42">
        <f t="shared" ref="F57:K57" si="7">F58+F60+F59</f>
        <v>25106.300000000003</v>
      </c>
      <c r="G57" s="42">
        <f t="shared" si="7"/>
        <v>3130.4</v>
      </c>
      <c r="H57" s="42">
        <f t="shared" si="7"/>
        <v>7973.2</v>
      </c>
      <c r="I57" s="42">
        <f t="shared" si="7"/>
        <v>14002.7</v>
      </c>
      <c r="J57" s="42">
        <f t="shared" si="7"/>
        <v>4078.5</v>
      </c>
      <c r="K57" s="42">
        <f t="shared" si="7"/>
        <v>9155.6</v>
      </c>
      <c r="L57" s="43">
        <f>K57*100/F57</f>
        <v>36.467340866635062</v>
      </c>
      <c r="M57" s="23">
        <f>K57*100/E57</f>
        <v>31.371124695046735</v>
      </c>
      <c r="N57" s="23">
        <f>K57*100/D57</f>
        <v>43.361054805160364</v>
      </c>
    </row>
    <row r="58" spans="1:14" ht="45.75" customHeight="1" x14ac:dyDescent="0.25">
      <c r="A58" s="44" t="s">
        <v>47</v>
      </c>
      <c r="B58" s="24"/>
      <c r="C58" s="45" t="s">
        <v>48</v>
      </c>
      <c r="D58" s="46">
        <v>21114.799999999999</v>
      </c>
      <c r="E58" s="31">
        <f>G58+H58+I58+J58</f>
        <v>29184.800000000003</v>
      </c>
      <c r="F58" s="26">
        <f>G58+H58+I58</f>
        <v>25106.300000000003</v>
      </c>
      <c r="G58" s="46">
        <v>3130.4</v>
      </c>
      <c r="H58" s="46">
        <v>7973.2</v>
      </c>
      <c r="I58" s="32">
        <v>14002.7</v>
      </c>
      <c r="J58" s="32">
        <v>4078.5</v>
      </c>
      <c r="K58" s="29">
        <v>9155.6</v>
      </c>
      <c r="L58" s="27">
        <f>K58*100/F58</f>
        <v>36.467340866635062</v>
      </c>
      <c r="M58" s="29">
        <f>K58*100/E58</f>
        <v>31.371124695046735</v>
      </c>
      <c r="N58" s="29">
        <f>K58*100/D58</f>
        <v>43.361054805160364</v>
      </c>
    </row>
    <row r="59" spans="1:14" ht="348" hidden="1" x14ac:dyDescent="0.25">
      <c r="A59" s="44" t="s">
        <v>51</v>
      </c>
      <c r="B59" s="49" t="s">
        <v>52</v>
      </c>
      <c r="C59" s="39" t="s">
        <v>52</v>
      </c>
      <c r="D59" s="47"/>
      <c r="E59" s="31">
        <f>G59+H59+I59+J59</f>
        <v>0</v>
      </c>
      <c r="F59" s="26">
        <f>G59+H59+I59</f>
        <v>0</v>
      </c>
      <c r="G59" s="46"/>
      <c r="H59" s="46"/>
      <c r="I59" s="32"/>
      <c r="J59" s="64"/>
      <c r="K59" s="29"/>
      <c r="L59" s="27" t="e">
        <f>K59*100/F59</f>
        <v>#DIV/0!</v>
      </c>
      <c r="M59" s="29" t="e">
        <f>K59*100/E59</f>
        <v>#DIV/0!</v>
      </c>
      <c r="N59" s="29"/>
    </row>
    <row r="60" spans="1:14" ht="180" hidden="1" x14ac:dyDescent="0.25">
      <c r="A60" s="44" t="s">
        <v>53</v>
      </c>
      <c r="B60" s="50"/>
      <c r="C60" s="51" t="s">
        <v>54</v>
      </c>
      <c r="D60" s="51"/>
      <c r="E60" s="31">
        <f>G60+H60+I60+J60</f>
        <v>0</v>
      </c>
      <c r="F60" s="31">
        <f>G60</f>
        <v>0</v>
      </c>
      <c r="G60" s="65"/>
      <c r="H60" s="65"/>
      <c r="I60" s="32"/>
      <c r="J60" s="64"/>
      <c r="K60" s="29"/>
      <c r="L60" s="27"/>
      <c r="M60" s="29"/>
      <c r="N60" s="29" t="e">
        <f>K60*100/D60</f>
        <v>#DIV/0!</v>
      </c>
    </row>
    <row r="61" spans="1:14" ht="21" customHeight="1" x14ac:dyDescent="0.25">
      <c r="A61" s="33"/>
      <c r="B61" s="66"/>
      <c r="C61" s="67" t="s">
        <v>55</v>
      </c>
      <c r="D61" s="68">
        <f t="shared" ref="D61:K61" si="8">D57+D46</f>
        <v>42796.1</v>
      </c>
      <c r="E61" s="68">
        <f t="shared" si="8"/>
        <v>51656.7</v>
      </c>
      <c r="F61" s="68">
        <f t="shared" si="8"/>
        <v>41479.9</v>
      </c>
      <c r="G61" s="68">
        <f t="shared" si="8"/>
        <v>8352.1</v>
      </c>
      <c r="H61" s="68">
        <f t="shared" si="8"/>
        <v>13278.7</v>
      </c>
      <c r="I61" s="68">
        <f t="shared" si="8"/>
        <v>19849.100000000002</v>
      </c>
      <c r="J61" s="68">
        <f t="shared" si="8"/>
        <v>10176.799999999999</v>
      </c>
      <c r="K61" s="68">
        <f t="shared" si="8"/>
        <v>23989.199999999997</v>
      </c>
      <c r="L61" s="43">
        <f>K61*100/F61</f>
        <v>57.833312037878571</v>
      </c>
      <c r="M61" s="23">
        <f>K61*100/E61</f>
        <v>46.439668039189492</v>
      </c>
      <c r="N61" s="23">
        <f>K61*100/D61</f>
        <v>56.054640492942106</v>
      </c>
    </row>
    <row r="62" spans="1:14" x14ac:dyDescent="0.25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43"/>
      <c r="M62" s="23"/>
      <c r="N62" s="29"/>
    </row>
    <row r="63" spans="1:14" x14ac:dyDescent="0.25">
      <c r="A63" s="18" t="s">
        <v>58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4" x14ac:dyDescent="0.25">
      <c r="A64" s="20" t="s">
        <v>17</v>
      </c>
      <c r="B64" s="20"/>
      <c r="C64" s="21" t="s">
        <v>18</v>
      </c>
      <c r="D64" s="22">
        <f t="shared" ref="D64:J64" si="9">D65+D68+D70+D72+D69+D74+D73+D67+D71+D66</f>
        <v>43248.299999999996</v>
      </c>
      <c r="E64" s="22">
        <f t="shared" si="9"/>
        <v>79712.5</v>
      </c>
      <c r="F64" s="22">
        <f t="shared" si="9"/>
        <v>65444.2</v>
      </c>
      <c r="G64" s="22">
        <f t="shared" si="9"/>
        <v>8626.2000000000007</v>
      </c>
      <c r="H64" s="22">
        <f t="shared" si="9"/>
        <v>45967.899999999994</v>
      </c>
      <c r="I64" s="22">
        <f t="shared" si="9"/>
        <v>10850.1</v>
      </c>
      <c r="J64" s="22">
        <f t="shared" si="9"/>
        <v>14268.3</v>
      </c>
      <c r="K64" s="22">
        <f>K65+K68+K70+K72+K69+K74+K73+K67+K71+K66</f>
        <v>28811.699999999997</v>
      </c>
      <c r="L64" s="43">
        <f>K64*100/F64</f>
        <v>44.024833369496449</v>
      </c>
      <c r="M64" s="23">
        <f>K64*100/E64</f>
        <v>36.144519366473254</v>
      </c>
      <c r="N64" s="23">
        <f>K64*100/D64</f>
        <v>66.619265959586841</v>
      </c>
    </row>
    <row r="65" spans="1:14" ht="18" customHeight="1" x14ac:dyDescent="0.25">
      <c r="A65" s="24" t="s">
        <v>19</v>
      </c>
      <c r="B65" s="24"/>
      <c r="C65" s="25" t="s">
        <v>20</v>
      </c>
      <c r="D65" s="26">
        <v>22400</v>
      </c>
      <c r="E65" s="31">
        <f>G65+H65+I65+J65</f>
        <v>22400</v>
      </c>
      <c r="F65" s="26">
        <f>G65+H65+I65</f>
        <v>16666.599999999999</v>
      </c>
      <c r="G65" s="69">
        <v>4648</v>
      </c>
      <c r="H65" s="69">
        <v>5884</v>
      </c>
      <c r="I65" s="27">
        <v>6134.6</v>
      </c>
      <c r="J65" s="27">
        <v>5733.4</v>
      </c>
      <c r="K65" s="27">
        <v>14938.7</v>
      </c>
      <c r="L65" s="27">
        <f>K65*100/F65</f>
        <v>89.632558530234135</v>
      </c>
      <c r="M65" s="29">
        <f>K65*100/E65</f>
        <v>66.690624999999997</v>
      </c>
      <c r="N65" s="29">
        <f>K65*100/D65</f>
        <v>66.690624999999997</v>
      </c>
    </row>
    <row r="66" spans="1:14" ht="40.5" customHeight="1" x14ac:dyDescent="0.25">
      <c r="A66" s="24" t="s">
        <v>21</v>
      </c>
      <c r="B66" s="24"/>
      <c r="C66" s="30" t="s">
        <v>22</v>
      </c>
      <c r="D66" s="31">
        <v>6582.1</v>
      </c>
      <c r="E66" s="31">
        <f>G66+H66+I66+J66</f>
        <v>6582.0999999999995</v>
      </c>
      <c r="F66" s="26">
        <f>G66+H66+I66</f>
        <v>4936.3999999999996</v>
      </c>
      <c r="G66" s="69">
        <v>1637.2</v>
      </c>
      <c r="H66" s="69">
        <v>1647.5</v>
      </c>
      <c r="I66" s="27">
        <v>1651.7</v>
      </c>
      <c r="J66" s="27">
        <v>1645.7</v>
      </c>
      <c r="K66" s="27">
        <v>4736.6000000000004</v>
      </c>
      <c r="L66" s="27">
        <f>K66*100/F66</f>
        <v>95.952516003565364</v>
      </c>
      <c r="M66" s="29">
        <f>K66*100/E66</f>
        <v>71.961835888242362</v>
      </c>
      <c r="N66" s="29">
        <f>K66*100/D66</f>
        <v>71.961835888242362</v>
      </c>
    </row>
    <row r="67" spans="1:14" ht="21.75" customHeight="1" x14ac:dyDescent="0.25">
      <c r="A67" s="24" t="s">
        <v>23</v>
      </c>
      <c r="B67" s="24"/>
      <c r="C67" s="30" t="s">
        <v>24</v>
      </c>
      <c r="D67" s="31">
        <v>40</v>
      </c>
      <c r="E67" s="31">
        <f>G67+H67+I67+J67</f>
        <v>40</v>
      </c>
      <c r="F67" s="26">
        <f>G67+H67+I67</f>
        <v>30</v>
      </c>
      <c r="G67" s="46">
        <v>10</v>
      </c>
      <c r="H67" s="46">
        <v>10</v>
      </c>
      <c r="I67" s="32">
        <v>10</v>
      </c>
      <c r="J67" s="32">
        <v>10</v>
      </c>
      <c r="K67" s="32">
        <v>41.1</v>
      </c>
      <c r="L67" s="27">
        <f>K67*100/F67</f>
        <v>137</v>
      </c>
      <c r="M67" s="29">
        <f>K67*100/E67</f>
        <v>102.75</v>
      </c>
      <c r="N67" s="29">
        <f>K67*100/D67</f>
        <v>102.75</v>
      </c>
    </row>
    <row r="68" spans="1:14" ht="24.75" customHeight="1" x14ac:dyDescent="0.25">
      <c r="A68" s="24" t="s">
        <v>25</v>
      </c>
      <c r="B68" s="24"/>
      <c r="C68" s="30" t="s">
        <v>26</v>
      </c>
      <c r="D68" s="31">
        <v>7628.7</v>
      </c>
      <c r="E68" s="31">
        <f>G68+H68+I68+J68</f>
        <v>7628.7</v>
      </c>
      <c r="F68" s="26">
        <f>G68+H68+I68</f>
        <v>2377</v>
      </c>
      <c r="G68" s="46">
        <v>719</v>
      </c>
      <c r="H68" s="46">
        <v>479</v>
      </c>
      <c r="I68" s="32">
        <v>1179</v>
      </c>
      <c r="J68" s="32">
        <v>5251.7</v>
      </c>
      <c r="K68" s="32">
        <v>2502.9</v>
      </c>
      <c r="L68" s="27">
        <f>K68*100/F68</f>
        <v>105.29659234328986</v>
      </c>
      <c r="M68" s="29">
        <f>K68*100/E68</f>
        <v>32.808997601164023</v>
      </c>
      <c r="N68" s="29">
        <f>K68*100/D68</f>
        <v>32.808997601164023</v>
      </c>
    </row>
    <row r="69" spans="1:14" ht="15.75" customHeight="1" x14ac:dyDescent="0.25">
      <c r="A69" s="24" t="s">
        <v>27</v>
      </c>
      <c r="B69" s="24"/>
      <c r="C69" s="30" t="s">
        <v>28</v>
      </c>
      <c r="D69" s="31">
        <v>57</v>
      </c>
      <c r="E69" s="31">
        <f>G69+H69+I69+J69</f>
        <v>57</v>
      </c>
      <c r="F69" s="26">
        <f>G69+H69+I69</f>
        <v>57</v>
      </c>
      <c r="G69" s="46"/>
      <c r="H69" s="46">
        <v>42.7</v>
      </c>
      <c r="I69" s="32">
        <v>14.3</v>
      </c>
      <c r="J69" s="32"/>
      <c r="K69" s="32">
        <v>33.6</v>
      </c>
      <c r="L69" s="27">
        <f>K69*100/F69</f>
        <v>58.94736842105263</v>
      </c>
      <c r="M69" s="29">
        <f>K69*100/E69</f>
        <v>58.94736842105263</v>
      </c>
      <c r="N69" s="29">
        <f>K69*100/D69</f>
        <v>58.94736842105263</v>
      </c>
    </row>
    <row r="70" spans="1:14" ht="45.75" customHeight="1" x14ac:dyDescent="0.25">
      <c r="A70" s="33" t="s">
        <v>31</v>
      </c>
      <c r="B70" s="33"/>
      <c r="C70" s="30" t="s">
        <v>32</v>
      </c>
      <c r="D70" s="31">
        <v>6449.5</v>
      </c>
      <c r="E70" s="31">
        <f>G70+H70+I70+J70</f>
        <v>6449.5</v>
      </c>
      <c r="F70" s="26">
        <f>G70+H70+I70</f>
        <v>4837</v>
      </c>
      <c r="G70" s="46">
        <v>1612</v>
      </c>
      <c r="H70" s="46">
        <v>1612.5</v>
      </c>
      <c r="I70" s="32">
        <v>1612.5</v>
      </c>
      <c r="J70" s="32">
        <v>1612.5</v>
      </c>
      <c r="K70" s="32">
        <v>6216.4</v>
      </c>
      <c r="L70" s="27">
        <f>K70*100/F70</f>
        <v>128.51767624560679</v>
      </c>
      <c r="M70" s="29">
        <f>K70*100/E70</f>
        <v>96.385766338475847</v>
      </c>
      <c r="N70" s="29">
        <f>K70*100/D70</f>
        <v>96.385766338475847</v>
      </c>
    </row>
    <row r="71" spans="1:14" ht="120" hidden="1" x14ac:dyDescent="0.25">
      <c r="A71" s="35" t="s">
        <v>35</v>
      </c>
      <c r="B71" s="35"/>
      <c r="C71" s="30" t="s">
        <v>36</v>
      </c>
      <c r="D71" s="31"/>
      <c r="E71" s="31">
        <f>G71+H71+I71+J71</f>
        <v>0</v>
      </c>
      <c r="F71" s="26">
        <f>G71+H71+I71</f>
        <v>0</v>
      </c>
      <c r="G71" s="46"/>
      <c r="H71" s="46"/>
      <c r="I71" s="32"/>
      <c r="J71" s="32"/>
      <c r="K71" s="32"/>
      <c r="L71" s="27" t="e">
        <f>K71*100/F71</f>
        <v>#DIV/0!</v>
      </c>
      <c r="M71" s="29"/>
      <c r="N71" s="29"/>
    </row>
    <row r="72" spans="1:14" ht="30.75" customHeight="1" x14ac:dyDescent="0.25">
      <c r="A72" s="34" t="s">
        <v>37</v>
      </c>
      <c r="B72" s="34"/>
      <c r="C72" s="30" t="s">
        <v>38</v>
      </c>
      <c r="D72" s="31">
        <v>91</v>
      </c>
      <c r="E72" s="31">
        <f>G72+H72+I72+J72</f>
        <v>36355.199999999997</v>
      </c>
      <c r="F72" s="26">
        <f>G72+H72+I72</f>
        <v>36340.199999999997</v>
      </c>
      <c r="G72" s="46"/>
      <c r="H72" s="46">
        <v>36292.199999999997</v>
      </c>
      <c r="I72" s="32">
        <v>48</v>
      </c>
      <c r="J72" s="32">
        <v>15</v>
      </c>
      <c r="K72" s="32">
        <v>141.1</v>
      </c>
      <c r="L72" s="27">
        <f>K72*100/F72</f>
        <v>0.3882752433943677</v>
      </c>
      <c r="M72" s="29">
        <f>K72*100/E72</f>
        <v>0.3881150426899041</v>
      </c>
      <c r="N72" s="29">
        <f>K72*100/D72</f>
        <v>155.05494505494505</v>
      </c>
    </row>
    <row r="73" spans="1:14" ht="18" customHeight="1" x14ac:dyDescent="0.25">
      <c r="A73" s="36" t="s">
        <v>41</v>
      </c>
      <c r="B73" s="36"/>
      <c r="C73" s="30" t="s">
        <v>42</v>
      </c>
      <c r="D73" s="31"/>
      <c r="E73" s="31">
        <f>G73+H73+I73+J73</f>
        <v>200</v>
      </c>
      <c r="F73" s="26">
        <f>G73+H73+I73</f>
        <v>200</v>
      </c>
      <c r="G73" s="46"/>
      <c r="H73" s="46"/>
      <c r="I73" s="32">
        <v>200</v>
      </c>
      <c r="J73" s="32"/>
      <c r="K73" s="32">
        <v>201.3</v>
      </c>
      <c r="L73" s="27">
        <f>K73*100/F73</f>
        <v>100.65</v>
      </c>
      <c r="M73" s="29">
        <f>K73*100/E73</f>
        <v>100.65</v>
      </c>
      <c r="N73" s="29"/>
    </row>
    <row r="74" spans="1:14" ht="18.75" customHeight="1" x14ac:dyDescent="0.25">
      <c r="A74" s="37" t="s">
        <v>43</v>
      </c>
      <c r="B74" s="38"/>
      <c r="C74" s="39" t="s">
        <v>44</v>
      </c>
      <c r="D74" s="31"/>
      <c r="E74" s="31">
        <f>G74+H74+I74+J74</f>
        <v>0</v>
      </c>
      <c r="F74" s="26">
        <f>G74+H74+I74</f>
        <v>0</v>
      </c>
      <c r="G74" s="46"/>
      <c r="H74" s="46"/>
      <c r="I74" s="32"/>
      <c r="J74" s="32"/>
      <c r="K74" s="32"/>
      <c r="L74" s="27"/>
      <c r="M74" s="29"/>
      <c r="N74" s="29"/>
    </row>
    <row r="75" spans="1:14" x14ac:dyDescent="0.25">
      <c r="A75" s="40" t="s">
        <v>45</v>
      </c>
      <c r="B75" s="40"/>
      <c r="C75" s="41" t="s">
        <v>46</v>
      </c>
      <c r="D75" s="42">
        <f t="shared" ref="D75:K75" si="10">D76+D77</f>
        <v>30757.1</v>
      </c>
      <c r="E75" s="42">
        <f t="shared" si="10"/>
        <v>62661.2</v>
      </c>
      <c r="F75" s="42">
        <f t="shared" si="10"/>
        <v>57417</v>
      </c>
      <c r="G75" s="42">
        <f t="shared" si="10"/>
        <v>4400.3999999999996</v>
      </c>
      <c r="H75" s="42">
        <f t="shared" si="10"/>
        <v>42146.7</v>
      </c>
      <c r="I75" s="42">
        <f t="shared" si="10"/>
        <v>10869.9</v>
      </c>
      <c r="J75" s="42">
        <f t="shared" si="10"/>
        <v>5244.2</v>
      </c>
      <c r="K75" s="42">
        <f t="shared" si="10"/>
        <v>27653</v>
      </c>
      <c r="L75" s="43">
        <f>K75*100/F75</f>
        <v>48.161694271731371</v>
      </c>
      <c r="M75" s="23">
        <f>K75*100/E75</f>
        <v>44.130977383133427</v>
      </c>
      <c r="N75" s="23">
        <f>K75*100/D75</f>
        <v>89.90769610919105</v>
      </c>
    </row>
    <row r="76" spans="1:14" ht="42.75" customHeight="1" x14ac:dyDescent="0.25">
      <c r="A76" s="44" t="s">
        <v>47</v>
      </c>
      <c r="B76" s="24"/>
      <c r="C76" s="45" t="s">
        <v>48</v>
      </c>
      <c r="D76" s="46">
        <v>30757.1</v>
      </c>
      <c r="E76" s="31">
        <f>G76+H76+I76+J76</f>
        <v>62636.2</v>
      </c>
      <c r="F76" s="26">
        <f>G76+H76+I76</f>
        <v>57392</v>
      </c>
      <c r="G76" s="46">
        <f>4390.4+10</f>
        <v>4400.3999999999996</v>
      </c>
      <c r="H76" s="46">
        <v>42126.7</v>
      </c>
      <c r="I76" s="32">
        <v>10864.9</v>
      </c>
      <c r="J76" s="29">
        <v>5244.2</v>
      </c>
      <c r="K76" s="29">
        <v>27628</v>
      </c>
      <c r="L76" s="27">
        <f>K76*100/F76</f>
        <v>48.139113465291331</v>
      </c>
      <c r="M76" s="29">
        <f>K76*100/E76</f>
        <v>44.108678368100236</v>
      </c>
      <c r="N76" s="29">
        <f>K76*100/D76</f>
        <v>89.826414063744636</v>
      </c>
    </row>
    <row r="77" spans="1:14" x14ac:dyDescent="0.25">
      <c r="A77" s="44" t="s">
        <v>49</v>
      </c>
      <c r="B77" s="44"/>
      <c r="C77" s="47" t="s">
        <v>50</v>
      </c>
      <c r="D77" s="48"/>
      <c r="E77" s="31">
        <f>G77+H77+I77+J77</f>
        <v>25</v>
      </c>
      <c r="F77" s="26">
        <f>G77+H77+I77</f>
        <v>25</v>
      </c>
      <c r="G77" s="65"/>
      <c r="H77" s="65">
        <v>20</v>
      </c>
      <c r="I77" s="32">
        <v>5</v>
      </c>
      <c r="J77" s="29"/>
      <c r="K77" s="29">
        <v>25</v>
      </c>
      <c r="L77" s="27">
        <f>K77*100/F77</f>
        <v>100</v>
      </c>
      <c r="M77" s="29">
        <f>K77*100/E77</f>
        <v>100</v>
      </c>
      <c r="N77" s="29"/>
    </row>
    <row r="78" spans="1:14" ht="21.75" customHeight="1" x14ac:dyDescent="0.25">
      <c r="A78" s="36"/>
      <c r="B78" s="53"/>
      <c r="C78" s="54" t="s">
        <v>55</v>
      </c>
      <c r="D78" s="23">
        <f t="shared" ref="D78:K78" si="11">D75+D64</f>
        <v>74005.399999999994</v>
      </c>
      <c r="E78" s="23">
        <f t="shared" si="11"/>
        <v>142373.70000000001</v>
      </c>
      <c r="F78" s="23">
        <f t="shared" si="11"/>
        <v>122861.2</v>
      </c>
      <c r="G78" s="23">
        <f t="shared" si="11"/>
        <v>13026.6</v>
      </c>
      <c r="H78" s="23">
        <f t="shared" si="11"/>
        <v>88114.599999999991</v>
      </c>
      <c r="I78" s="23">
        <f t="shared" si="11"/>
        <v>21720</v>
      </c>
      <c r="J78" s="23">
        <f t="shared" si="11"/>
        <v>19512.5</v>
      </c>
      <c r="K78" s="23">
        <f t="shared" si="11"/>
        <v>56464.7</v>
      </c>
      <c r="L78" s="43">
        <f>K78*100/F78</f>
        <v>45.958121848069204</v>
      </c>
      <c r="M78" s="23">
        <f>K78*100/E78</f>
        <v>39.659501719769871</v>
      </c>
      <c r="N78" s="23">
        <f>K78*100/D78</f>
        <v>76.298080950849538</v>
      </c>
    </row>
    <row r="79" spans="1:14" x14ac:dyDescent="0.25">
      <c r="A79" s="55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43"/>
      <c r="M79" s="23"/>
      <c r="N79" s="29"/>
    </row>
    <row r="80" spans="1:14" x14ac:dyDescent="0.25">
      <c r="A80" s="18" t="s">
        <v>59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1:14" x14ac:dyDescent="0.25">
      <c r="A81" s="40" t="s">
        <v>17</v>
      </c>
      <c r="B81" s="40"/>
      <c r="C81" s="57" t="s">
        <v>18</v>
      </c>
      <c r="D81" s="43">
        <f t="shared" ref="D81:J81" si="12">D82+D84+D85+D86+D87+D88+D89+D90+D91+D83</f>
        <v>37868.300000000003</v>
      </c>
      <c r="E81" s="43">
        <f t="shared" si="12"/>
        <v>43310.19999999999</v>
      </c>
      <c r="F81" s="43">
        <f t="shared" si="12"/>
        <v>31141.999999999996</v>
      </c>
      <c r="G81" s="43">
        <f t="shared" si="12"/>
        <v>10794</v>
      </c>
      <c r="H81" s="43">
        <f t="shared" si="12"/>
        <v>10289.800000000001</v>
      </c>
      <c r="I81" s="43">
        <f t="shared" si="12"/>
        <v>10058.200000000001</v>
      </c>
      <c r="J81" s="43">
        <f t="shared" si="12"/>
        <v>12168.2</v>
      </c>
      <c r="K81" s="43">
        <f>K82+K84+K85+K86+K87+K88+K89+K90+K91+K83+0.1</f>
        <v>26014.199999999997</v>
      </c>
      <c r="L81" s="43">
        <f>K81*100/F81</f>
        <v>83.534133966989913</v>
      </c>
      <c r="M81" s="23">
        <f>K81*100/E81</f>
        <v>60.0648346117081</v>
      </c>
      <c r="N81" s="23">
        <f>K81*100/D81</f>
        <v>68.696508689325881</v>
      </c>
    </row>
    <row r="82" spans="1:14" ht="15.75" customHeight="1" x14ac:dyDescent="0.25">
      <c r="A82" s="24" t="s">
        <v>19</v>
      </c>
      <c r="B82" s="24"/>
      <c r="C82" s="25" t="s">
        <v>20</v>
      </c>
      <c r="D82" s="31">
        <v>25300</v>
      </c>
      <c r="E82" s="31">
        <f>G82+H82+I82+J82</f>
        <v>28571.299999999996</v>
      </c>
      <c r="F82" s="26">
        <f>G82+H82+I82</f>
        <v>21439.199999999997</v>
      </c>
      <c r="G82" s="46">
        <v>8426.2999999999993</v>
      </c>
      <c r="H82" s="46">
        <v>5880.9</v>
      </c>
      <c r="I82" s="32">
        <v>7132</v>
      </c>
      <c r="J82" s="32">
        <v>7132.1</v>
      </c>
      <c r="K82" s="29">
        <v>15363.9</v>
      </c>
      <c r="L82" s="27">
        <f>K82*100/F82</f>
        <v>71.662655322959822</v>
      </c>
      <c r="M82" s="29">
        <f>K82*100/E82</f>
        <v>53.773891982513931</v>
      </c>
      <c r="N82" s="29">
        <f>K82*100/D82</f>
        <v>60.726877470355731</v>
      </c>
    </row>
    <row r="83" spans="1:14" ht="40.5" customHeight="1" x14ac:dyDescent="0.25">
      <c r="A83" s="24" t="s">
        <v>21</v>
      </c>
      <c r="B83" s="24"/>
      <c r="C83" s="30" t="s">
        <v>22</v>
      </c>
      <c r="D83" s="31">
        <v>4207.6000000000004</v>
      </c>
      <c r="E83" s="31">
        <f>G83+H83+I83+J83</f>
        <v>4207.6000000000004</v>
      </c>
      <c r="F83" s="26">
        <f>G83+H83+I83</f>
        <v>3155.7</v>
      </c>
      <c r="G83" s="46">
        <v>1051.9000000000001</v>
      </c>
      <c r="H83" s="46">
        <v>841.5</v>
      </c>
      <c r="I83" s="32">
        <v>1262.3</v>
      </c>
      <c r="J83" s="32">
        <v>1051.9000000000001</v>
      </c>
      <c r="K83" s="29">
        <v>3027.8</v>
      </c>
      <c r="L83" s="27">
        <f>K83*100/F83</f>
        <v>95.947016509807654</v>
      </c>
      <c r="M83" s="29">
        <f>K83*100/E83</f>
        <v>71.960262382355737</v>
      </c>
      <c r="N83" s="29">
        <f>K83*100/D83</f>
        <v>71.960262382355737</v>
      </c>
    </row>
    <row r="84" spans="1:14" ht="48" hidden="1" x14ac:dyDescent="0.25">
      <c r="A84" s="24" t="s">
        <v>23</v>
      </c>
      <c r="B84" s="24"/>
      <c r="C84" s="30" t="s">
        <v>24</v>
      </c>
      <c r="D84" s="31"/>
      <c r="E84" s="31">
        <f>G84+H84+I84+J84</f>
        <v>0</v>
      </c>
      <c r="F84" s="26">
        <f>G84+H84+I84</f>
        <v>0</v>
      </c>
      <c r="G84" s="46"/>
      <c r="H84" s="46"/>
      <c r="I84" s="32"/>
      <c r="J84" s="32"/>
      <c r="K84" s="29"/>
      <c r="L84" s="27" t="e">
        <f>K84*100/F84</f>
        <v>#DIV/0!</v>
      </c>
      <c r="M84" s="29" t="e">
        <f>K84*100/E84</f>
        <v>#DIV/0!</v>
      </c>
      <c r="N84" s="29" t="e">
        <f>K84*100/D84</f>
        <v>#DIV/0!</v>
      </c>
    </row>
    <row r="85" spans="1:14" ht="24.75" customHeight="1" x14ac:dyDescent="0.25">
      <c r="A85" s="24" t="s">
        <v>25</v>
      </c>
      <c r="B85" s="24"/>
      <c r="C85" s="30" t="s">
        <v>26</v>
      </c>
      <c r="D85" s="31">
        <v>2202.9</v>
      </c>
      <c r="E85" s="31">
        <f>G85+H85+I85+J85</f>
        <v>2452.8999999999996</v>
      </c>
      <c r="F85" s="26">
        <f>G85+H85+I85</f>
        <v>1178.1999999999998</v>
      </c>
      <c r="G85" s="46">
        <v>430.9</v>
      </c>
      <c r="H85" s="46">
        <v>302.2</v>
      </c>
      <c r="I85" s="32">
        <v>445.1</v>
      </c>
      <c r="J85" s="32">
        <v>1274.7</v>
      </c>
      <c r="K85" s="29">
        <v>1315.8</v>
      </c>
      <c r="L85" s="27">
        <f>K85*100/F85</f>
        <v>111.67883211678834</v>
      </c>
      <c r="M85" s="29">
        <f>K85*100/E85</f>
        <v>53.642627094459627</v>
      </c>
      <c r="N85" s="29">
        <f>K85*100/D85</f>
        <v>59.730355440555627</v>
      </c>
    </row>
    <row r="86" spans="1:14" ht="36" hidden="1" x14ac:dyDescent="0.25">
      <c r="A86" s="24" t="s">
        <v>27</v>
      </c>
      <c r="B86" s="24"/>
      <c r="C86" s="30" t="s">
        <v>28</v>
      </c>
      <c r="D86" s="31"/>
      <c r="E86" s="31">
        <f>G86+H86+I86+J86</f>
        <v>0</v>
      </c>
      <c r="F86" s="26">
        <f>G86+H86+I86</f>
        <v>0</v>
      </c>
      <c r="G86" s="46"/>
      <c r="H86" s="46"/>
      <c r="I86" s="32"/>
      <c r="J86" s="32"/>
      <c r="K86" s="29"/>
      <c r="L86" s="27" t="e">
        <f>K86*100/F86</f>
        <v>#DIV/0!</v>
      </c>
      <c r="M86" s="29" t="e">
        <f>K86*100/E86</f>
        <v>#DIV/0!</v>
      </c>
      <c r="N86" s="29" t="e">
        <f>K86*100/D86</f>
        <v>#DIV/0!</v>
      </c>
    </row>
    <row r="87" spans="1:14" ht="42" customHeight="1" x14ac:dyDescent="0.25">
      <c r="A87" s="33" t="s">
        <v>31</v>
      </c>
      <c r="B87" s="33"/>
      <c r="C87" s="30" t="s">
        <v>32</v>
      </c>
      <c r="D87" s="31">
        <v>6104</v>
      </c>
      <c r="E87" s="31">
        <f>G87+H87+I87+J87</f>
        <v>6637.2</v>
      </c>
      <c r="F87" s="26">
        <f>G87+H87+I87</f>
        <v>5014.5</v>
      </c>
      <c r="G87" s="46">
        <v>651.6</v>
      </c>
      <c r="H87" s="46">
        <v>3145.3</v>
      </c>
      <c r="I87" s="32">
        <v>1217.5999999999999</v>
      </c>
      <c r="J87" s="32">
        <v>1622.7</v>
      </c>
      <c r="K87" s="29">
        <v>5139.3</v>
      </c>
      <c r="L87" s="27">
        <f>K87*100/F87</f>
        <v>102.48878253066108</v>
      </c>
      <c r="M87" s="29">
        <f>K87*100/E87</f>
        <v>77.431748327608034</v>
      </c>
      <c r="N87" s="29">
        <f>K87*100/D87</f>
        <v>84.19560943643512</v>
      </c>
    </row>
    <row r="88" spans="1:14" ht="27.75" customHeight="1" x14ac:dyDescent="0.25">
      <c r="A88" s="35" t="s">
        <v>35</v>
      </c>
      <c r="B88" s="35"/>
      <c r="C88" s="30" t="s">
        <v>36</v>
      </c>
      <c r="D88" s="31">
        <v>0</v>
      </c>
      <c r="E88" s="31">
        <f>G88+H88+I88+J88</f>
        <v>114.1</v>
      </c>
      <c r="F88" s="26">
        <f>G88+H88+I88</f>
        <v>114.1</v>
      </c>
      <c r="G88" s="46">
        <v>114.1</v>
      </c>
      <c r="H88" s="46"/>
      <c r="I88" s="32"/>
      <c r="J88" s="32"/>
      <c r="K88" s="29">
        <v>228.8</v>
      </c>
      <c r="L88" s="27">
        <f>K88*100/F88</f>
        <v>200.52585451358459</v>
      </c>
      <c r="M88" s="29">
        <f>K88*100/E88</f>
        <v>200.52585451358459</v>
      </c>
      <c r="N88" s="29" t="e">
        <f>K88*100/D88</f>
        <v>#DIV/0!</v>
      </c>
    </row>
    <row r="89" spans="1:14" ht="37.5" customHeight="1" x14ac:dyDescent="0.25">
      <c r="A89" s="34" t="s">
        <v>37</v>
      </c>
      <c r="B89" s="34"/>
      <c r="C89" s="30" t="s">
        <v>38</v>
      </c>
      <c r="D89" s="31">
        <v>53.8</v>
      </c>
      <c r="E89" s="31">
        <f>G89+H89+I89+J89</f>
        <v>1208.3999999999999</v>
      </c>
      <c r="F89" s="26">
        <f>G89+H89+I89</f>
        <v>121.60000000000001</v>
      </c>
      <c r="G89" s="46">
        <v>119.2</v>
      </c>
      <c r="H89" s="46">
        <v>1.2</v>
      </c>
      <c r="I89" s="32">
        <v>1.2</v>
      </c>
      <c r="J89" s="32">
        <v>1086.8</v>
      </c>
      <c r="K89" s="29">
        <v>819.8</v>
      </c>
      <c r="L89" s="27">
        <f>K89*100/F89</f>
        <v>674.17763157894728</v>
      </c>
      <c r="M89" s="29">
        <f>K89*100/E89</f>
        <v>67.841774246938101</v>
      </c>
      <c r="N89" s="29">
        <f>K89*100/D89</f>
        <v>1523.7918215613383</v>
      </c>
    </row>
    <row r="90" spans="1:14" ht="18.75" customHeight="1" x14ac:dyDescent="0.25">
      <c r="A90" s="36" t="s">
        <v>41</v>
      </c>
      <c r="B90" s="36"/>
      <c r="C90" s="30" t="s">
        <v>42</v>
      </c>
      <c r="D90" s="31"/>
      <c r="E90" s="31">
        <f>G90+H90+I90+J90</f>
        <v>118.7</v>
      </c>
      <c r="F90" s="26">
        <f>G90+H90+I90</f>
        <v>118.7</v>
      </c>
      <c r="G90" s="46"/>
      <c r="H90" s="46">
        <v>118.7</v>
      </c>
      <c r="I90" s="32"/>
      <c r="J90" s="32"/>
      <c r="K90" s="29">
        <v>118.7</v>
      </c>
      <c r="L90" s="27">
        <f>K90*100/F90</f>
        <v>100</v>
      </c>
      <c r="M90" s="29">
        <f>K90*100/E90</f>
        <v>100</v>
      </c>
      <c r="N90" s="29"/>
    </row>
    <row r="91" spans="1:14" ht="21" customHeight="1" x14ac:dyDescent="0.25">
      <c r="A91" s="37" t="s">
        <v>43</v>
      </c>
      <c r="B91" s="38"/>
      <c r="C91" s="39" t="s">
        <v>44</v>
      </c>
      <c r="D91" s="31"/>
      <c r="E91" s="31">
        <f>G91+H91+I91+J91</f>
        <v>0</v>
      </c>
      <c r="F91" s="26">
        <f>G91+H91+I91</f>
        <v>0</v>
      </c>
      <c r="G91" s="46"/>
      <c r="H91" s="46"/>
      <c r="I91" s="32"/>
      <c r="J91" s="32"/>
      <c r="K91" s="29"/>
      <c r="L91" s="27"/>
      <c r="M91" s="29"/>
      <c r="N91" s="29"/>
    </row>
    <row r="92" spans="1:14" ht="96" hidden="1" x14ac:dyDescent="0.25">
      <c r="A92" s="37" t="s">
        <v>60</v>
      </c>
      <c r="B92" s="38"/>
      <c r="C92" s="39" t="s">
        <v>61</v>
      </c>
      <c r="D92" s="59"/>
      <c r="E92" s="39"/>
      <c r="F92" s="26">
        <f>G92+H92</f>
        <v>0</v>
      </c>
      <c r="G92" s="46"/>
      <c r="H92" s="46"/>
      <c r="I92" s="32" t="e">
        <f>J92+#REF!+#REF!+#REF!</f>
        <v>#REF!</v>
      </c>
      <c r="J92" s="32"/>
      <c r="K92" s="29"/>
      <c r="L92" s="43" t="e">
        <f>K92*100/F92</f>
        <v>#DIV/0!</v>
      </c>
      <c r="M92" s="23" t="e">
        <f>K92*100/E92</f>
        <v>#DIV/0!</v>
      </c>
      <c r="N92" s="29" t="e">
        <f>K92*100/D92</f>
        <v>#DIV/0!</v>
      </c>
    </row>
    <row r="93" spans="1:14" x14ac:dyDescent="0.25">
      <c r="A93" s="40" t="s">
        <v>45</v>
      </c>
      <c r="B93" s="40"/>
      <c r="C93" s="41" t="s">
        <v>46</v>
      </c>
      <c r="D93" s="42">
        <f t="shared" ref="D93:K93" si="13">D94+D95</f>
        <v>49702.6</v>
      </c>
      <c r="E93" s="42">
        <f t="shared" si="13"/>
        <v>58491.5</v>
      </c>
      <c r="F93" s="70">
        <f t="shared" si="13"/>
        <v>48962.1</v>
      </c>
      <c r="G93" s="42">
        <f t="shared" si="13"/>
        <v>10467.6</v>
      </c>
      <c r="H93" s="42">
        <f t="shared" si="13"/>
        <v>17132.099999999999</v>
      </c>
      <c r="I93" s="42">
        <f t="shared" si="13"/>
        <v>21362.400000000001</v>
      </c>
      <c r="J93" s="42">
        <f t="shared" si="13"/>
        <v>9529.4</v>
      </c>
      <c r="K93" s="42">
        <f t="shared" si="13"/>
        <v>46286.5</v>
      </c>
      <c r="L93" s="43">
        <f>K93*100/F93</f>
        <v>94.535365108931202</v>
      </c>
      <c r="M93" s="23">
        <f>K93*100/E93</f>
        <v>79.133720284143848</v>
      </c>
      <c r="N93" s="23">
        <f>K93*100/D93</f>
        <v>93.126918913698688</v>
      </c>
    </row>
    <row r="94" spans="1:14" ht="40.5" customHeight="1" x14ac:dyDescent="0.25">
      <c r="A94" s="44" t="s">
        <v>47</v>
      </c>
      <c r="B94" s="24"/>
      <c r="C94" s="45" t="s">
        <v>48</v>
      </c>
      <c r="D94" s="46">
        <v>49702.6</v>
      </c>
      <c r="E94" s="31">
        <f>G94+H94+I94+J94</f>
        <v>58491.5</v>
      </c>
      <c r="F94" s="26">
        <f>G94+H94+I94</f>
        <v>48962.1</v>
      </c>
      <c r="G94" s="46">
        <v>10467.6</v>
      </c>
      <c r="H94" s="46">
        <v>17132.099999999999</v>
      </c>
      <c r="I94" s="32">
        <v>21362.400000000001</v>
      </c>
      <c r="J94" s="32">
        <v>9529.4</v>
      </c>
      <c r="K94" s="29">
        <v>46286.5</v>
      </c>
      <c r="L94" s="27">
        <f>K94*100/F94</f>
        <v>94.535365108931202</v>
      </c>
      <c r="M94" s="29">
        <f>K94*100/E94</f>
        <v>79.133720284143848</v>
      </c>
      <c r="N94" s="29">
        <f>K94*100/D94</f>
        <v>93.126918913698688</v>
      </c>
    </row>
    <row r="95" spans="1:14" hidden="1" x14ac:dyDescent="0.25">
      <c r="A95" s="44" t="s">
        <v>49</v>
      </c>
      <c r="B95" s="44"/>
      <c r="C95" s="47" t="s">
        <v>50</v>
      </c>
      <c r="D95" s="48"/>
      <c r="E95" s="31">
        <f>G95+H95+I95+J95</f>
        <v>0</v>
      </c>
      <c r="F95" s="26">
        <f>G95</f>
        <v>0</v>
      </c>
      <c r="G95" s="71"/>
      <c r="H95" s="71"/>
      <c r="I95" s="32"/>
      <c r="J95" s="32"/>
      <c r="K95" s="29"/>
      <c r="L95" s="27" t="e">
        <f>K95*100/F95</f>
        <v>#DIV/0!</v>
      </c>
      <c r="M95" s="29" t="e">
        <f>K95*100/E95</f>
        <v>#DIV/0!</v>
      </c>
      <c r="N95" s="29"/>
    </row>
    <row r="96" spans="1:14" ht="21" customHeight="1" x14ac:dyDescent="0.25">
      <c r="A96" s="36"/>
      <c r="B96" s="53"/>
      <c r="C96" s="54" t="s">
        <v>55</v>
      </c>
      <c r="D96" s="23">
        <f t="shared" ref="D96:K96" si="14">D93+D81</f>
        <v>87570.9</v>
      </c>
      <c r="E96" s="23">
        <f>E93+E81+0.1</f>
        <v>101801.79999999999</v>
      </c>
      <c r="F96" s="23">
        <f t="shared" si="14"/>
        <v>80104.099999999991</v>
      </c>
      <c r="G96" s="23">
        <f t="shared" si="14"/>
        <v>21261.599999999999</v>
      </c>
      <c r="H96" s="23">
        <f t="shared" si="14"/>
        <v>27421.9</v>
      </c>
      <c r="I96" s="23">
        <f t="shared" si="14"/>
        <v>31420.600000000002</v>
      </c>
      <c r="J96" s="23">
        <f t="shared" si="14"/>
        <v>21697.599999999999</v>
      </c>
      <c r="K96" s="23">
        <f t="shared" si="14"/>
        <v>72300.7</v>
      </c>
      <c r="L96" s="43">
        <f>K96*100/F96</f>
        <v>90.258426222877489</v>
      </c>
      <c r="M96" s="23">
        <f>K96*100/E96</f>
        <v>71.02104284992997</v>
      </c>
      <c r="N96" s="23">
        <f>K96*100/D96</f>
        <v>82.562472236781858</v>
      </c>
    </row>
    <row r="97" spans="1:14" x14ac:dyDescent="0.25">
      <c r="A97" s="55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43"/>
      <c r="M97" s="23"/>
      <c r="N97" s="29"/>
    </row>
    <row r="98" spans="1:14" x14ac:dyDescent="0.25">
      <c r="A98" s="18" t="s">
        <v>62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pans="1:14" x14ac:dyDescent="0.25">
      <c r="A99" s="40" t="s">
        <v>17</v>
      </c>
      <c r="B99" s="40"/>
      <c r="C99" s="57" t="s">
        <v>18</v>
      </c>
      <c r="D99" s="43">
        <f t="shared" ref="D99:J99" si="15">D100+D103+D107+D104+D105+D108+D106+D102+D101</f>
        <v>2928.3999999999996</v>
      </c>
      <c r="E99" s="43">
        <f t="shared" si="15"/>
        <v>2928.3999999999996</v>
      </c>
      <c r="F99" s="43">
        <f t="shared" si="15"/>
        <v>2178.6999999999998</v>
      </c>
      <c r="G99" s="43">
        <f t="shared" si="15"/>
        <v>701.6</v>
      </c>
      <c r="H99" s="43">
        <f t="shared" si="15"/>
        <v>729.2</v>
      </c>
      <c r="I99" s="43">
        <f t="shared" si="15"/>
        <v>747.90000000000009</v>
      </c>
      <c r="J99" s="43">
        <f t="shared" si="15"/>
        <v>749.7</v>
      </c>
      <c r="K99" s="43">
        <f>K100+K103+K107+K104+K105+K108+K106+K102+K101</f>
        <v>2109.8000000000002</v>
      </c>
      <c r="L99" s="43">
        <f>K99*100/F99</f>
        <v>96.837563684766167</v>
      </c>
      <c r="M99" s="23">
        <f>K99*100/E99</f>
        <v>72.046168556208187</v>
      </c>
      <c r="N99" s="23">
        <f>K99*100/D99</f>
        <v>72.046168556208187</v>
      </c>
    </row>
    <row r="100" spans="1:14" ht="20.25" customHeight="1" x14ac:dyDescent="0.25">
      <c r="A100" s="24" t="s">
        <v>19</v>
      </c>
      <c r="B100" s="24"/>
      <c r="C100" s="25" t="s">
        <v>20</v>
      </c>
      <c r="D100" s="31">
        <v>1330</v>
      </c>
      <c r="E100" s="31">
        <f>G100+H100+I100+J100</f>
        <v>1330</v>
      </c>
      <c r="F100" s="26">
        <f>G100+H100+I100</f>
        <v>1000</v>
      </c>
      <c r="G100" s="46">
        <v>340</v>
      </c>
      <c r="H100" s="46">
        <v>330</v>
      </c>
      <c r="I100" s="32">
        <v>330</v>
      </c>
      <c r="J100" s="29">
        <v>330</v>
      </c>
      <c r="K100" s="29">
        <v>908.9</v>
      </c>
      <c r="L100" s="27">
        <f>K100*100/F100</f>
        <v>90.89</v>
      </c>
      <c r="M100" s="29">
        <f>K100*100/E100</f>
        <v>68.338345864661648</v>
      </c>
      <c r="N100" s="29">
        <f>K100*100/D100</f>
        <v>68.338345864661648</v>
      </c>
    </row>
    <row r="101" spans="1:14" ht="44.25" customHeight="1" x14ac:dyDescent="0.25">
      <c r="A101" s="24" t="s">
        <v>21</v>
      </c>
      <c r="B101" s="24"/>
      <c r="C101" s="30" t="s">
        <v>22</v>
      </c>
      <c r="D101" s="31">
        <v>1368.8</v>
      </c>
      <c r="E101" s="31">
        <f>G101+H101+I101+J101</f>
        <v>1368.8</v>
      </c>
      <c r="F101" s="26">
        <f>G101+H101+I101</f>
        <v>1026.5999999999999</v>
      </c>
      <c r="G101" s="46">
        <v>342.2</v>
      </c>
      <c r="H101" s="46">
        <v>342.2</v>
      </c>
      <c r="I101" s="32">
        <v>342.2</v>
      </c>
      <c r="J101" s="29">
        <v>342.2</v>
      </c>
      <c r="K101" s="29">
        <v>985</v>
      </c>
      <c r="L101" s="27">
        <f>K101*100/F101</f>
        <v>95.947788817455688</v>
      </c>
      <c r="M101" s="29">
        <f>K101*100/E101</f>
        <v>71.960841613091759</v>
      </c>
      <c r="N101" s="29">
        <f>K101*100/D101</f>
        <v>71.960841613091759</v>
      </c>
    </row>
    <row r="102" spans="1:14" ht="21.75" hidden="1" customHeight="1" x14ac:dyDescent="0.25">
      <c r="A102" s="24" t="s">
        <v>23</v>
      </c>
      <c r="B102" s="24"/>
      <c r="C102" s="30" t="s">
        <v>24</v>
      </c>
      <c r="D102" s="31"/>
      <c r="E102" s="31">
        <f>G102+H102+I102+J102</f>
        <v>0</v>
      </c>
      <c r="F102" s="26">
        <f>G102+H102+I102</f>
        <v>0</v>
      </c>
      <c r="G102" s="46"/>
      <c r="H102" s="46"/>
      <c r="I102" s="32"/>
      <c r="J102" s="29"/>
      <c r="K102" s="29"/>
      <c r="L102" s="27" t="e">
        <f>K102*100/F102</f>
        <v>#DIV/0!</v>
      </c>
      <c r="M102" s="29" t="e">
        <f>K102*100/E102</f>
        <v>#DIV/0!</v>
      </c>
      <c r="N102" s="29" t="e">
        <f>K102*100/D102</f>
        <v>#DIV/0!</v>
      </c>
    </row>
    <row r="103" spans="1:14" ht="21" customHeight="1" x14ac:dyDescent="0.25">
      <c r="A103" s="24" t="s">
        <v>25</v>
      </c>
      <c r="B103" s="24"/>
      <c r="C103" s="30" t="s">
        <v>26</v>
      </c>
      <c r="D103" s="31">
        <v>202.1</v>
      </c>
      <c r="E103" s="31">
        <f>G103+H103+I103+J103</f>
        <v>202.09999999999997</v>
      </c>
      <c r="F103" s="26">
        <f>G103+H103+I103</f>
        <v>132.39999999999998</v>
      </c>
      <c r="G103" s="46">
        <v>16.2</v>
      </c>
      <c r="H103" s="46">
        <v>48.6</v>
      </c>
      <c r="I103" s="32">
        <v>67.599999999999994</v>
      </c>
      <c r="J103" s="29">
        <v>69.7</v>
      </c>
      <c r="K103" s="29">
        <v>87.3</v>
      </c>
      <c r="L103" s="27">
        <f>K103*100/F103</f>
        <v>65.936555891238683</v>
      </c>
      <c r="M103" s="29">
        <f>K103*100/E103</f>
        <v>43.196437407224153</v>
      </c>
      <c r="N103" s="29">
        <f>K103*100/D103</f>
        <v>43.196437407224145</v>
      </c>
    </row>
    <row r="104" spans="1:14" ht="20.25" customHeight="1" x14ac:dyDescent="0.25">
      <c r="A104" s="24" t="s">
        <v>27</v>
      </c>
      <c r="B104" s="24"/>
      <c r="C104" s="30" t="s">
        <v>28</v>
      </c>
      <c r="D104" s="31">
        <v>1.5</v>
      </c>
      <c r="E104" s="31">
        <f>G104+H104+I104+J104</f>
        <v>1.5</v>
      </c>
      <c r="F104" s="26">
        <f>G104+H104+I104</f>
        <v>1.5</v>
      </c>
      <c r="G104" s="46">
        <v>0.6</v>
      </c>
      <c r="H104" s="46">
        <v>0.6</v>
      </c>
      <c r="I104" s="32">
        <v>0.3</v>
      </c>
      <c r="J104" s="29"/>
      <c r="K104" s="29">
        <v>2.1</v>
      </c>
      <c r="L104" s="27">
        <f>K104*100/F104</f>
        <v>140</v>
      </c>
      <c r="M104" s="29">
        <f>K104*100/E104</f>
        <v>140</v>
      </c>
      <c r="N104" s="29">
        <f>K104*100/D104</f>
        <v>140</v>
      </c>
    </row>
    <row r="105" spans="1:14" ht="45.75" customHeight="1" x14ac:dyDescent="0.25">
      <c r="A105" s="33" t="s">
        <v>31</v>
      </c>
      <c r="B105" s="33"/>
      <c r="C105" s="30" t="s">
        <v>32</v>
      </c>
      <c r="D105" s="31">
        <v>26</v>
      </c>
      <c r="E105" s="31">
        <f>G105+H105+I105+J105</f>
        <v>26</v>
      </c>
      <c r="F105" s="26">
        <f>G105+H105+I105</f>
        <v>18.2</v>
      </c>
      <c r="G105" s="46">
        <v>2.6</v>
      </c>
      <c r="H105" s="46">
        <v>7.8</v>
      </c>
      <c r="I105" s="32">
        <v>7.8</v>
      </c>
      <c r="J105" s="29">
        <v>7.8</v>
      </c>
      <c r="K105" s="29">
        <v>111</v>
      </c>
      <c r="L105" s="27">
        <f>K105*100/F105</f>
        <v>609.8901098901099</v>
      </c>
      <c r="M105" s="29">
        <f>K105*100/E105</f>
        <v>426.92307692307691</v>
      </c>
      <c r="N105" s="29">
        <f>K105*100/D105</f>
        <v>426.92307692307691</v>
      </c>
    </row>
    <row r="106" spans="1:14" ht="30" customHeight="1" x14ac:dyDescent="0.25">
      <c r="A106" s="35" t="s">
        <v>35</v>
      </c>
      <c r="B106" s="35"/>
      <c r="C106" s="30" t="s">
        <v>36</v>
      </c>
      <c r="D106" s="31"/>
      <c r="E106" s="31">
        <f>G106+H106+I106+J106</f>
        <v>0</v>
      </c>
      <c r="F106" s="26">
        <f>G106+H106+I106</f>
        <v>0</v>
      </c>
      <c r="G106" s="46"/>
      <c r="H106" s="46"/>
      <c r="I106" s="32"/>
      <c r="J106" s="29"/>
      <c r="K106" s="29">
        <v>15.5</v>
      </c>
      <c r="L106" s="27"/>
      <c r="M106" s="29"/>
      <c r="N106" s="29"/>
    </row>
    <row r="107" spans="1:14" ht="20.25" customHeight="1" x14ac:dyDescent="0.25">
      <c r="A107" s="36" t="s">
        <v>41</v>
      </c>
      <c r="B107" s="36"/>
      <c r="C107" s="72" t="s">
        <v>42</v>
      </c>
      <c r="D107" s="31"/>
      <c r="E107" s="31">
        <f>G107+H107+I107+J107</f>
        <v>0</v>
      </c>
      <c r="F107" s="26">
        <f>G107+H107+I107</f>
        <v>0</v>
      </c>
      <c r="G107" s="46"/>
      <c r="H107" s="46"/>
      <c r="I107" s="32"/>
      <c r="J107" s="29"/>
      <c r="K107" s="29"/>
      <c r="L107" s="27"/>
      <c r="M107" s="29"/>
      <c r="N107" s="29"/>
    </row>
    <row r="108" spans="1:14" ht="15.75" customHeight="1" x14ac:dyDescent="0.25">
      <c r="A108" s="35" t="s">
        <v>43</v>
      </c>
      <c r="B108" s="73"/>
      <c r="C108" s="39" t="s">
        <v>44</v>
      </c>
      <c r="D108" s="31"/>
      <c r="E108" s="31">
        <f>G108+H108+I108+J108</f>
        <v>0</v>
      </c>
      <c r="F108" s="26">
        <f>G108+H108+I108</f>
        <v>0</v>
      </c>
      <c r="G108" s="46"/>
      <c r="H108" s="46"/>
      <c r="I108" s="32"/>
      <c r="J108" s="29"/>
      <c r="K108" s="29"/>
      <c r="L108" s="43"/>
      <c r="M108" s="23"/>
      <c r="N108" s="29"/>
    </row>
    <row r="109" spans="1:14" x14ac:dyDescent="0.25">
      <c r="A109" s="20" t="s">
        <v>45</v>
      </c>
      <c r="B109" s="20"/>
      <c r="C109" s="41" t="s">
        <v>46</v>
      </c>
      <c r="D109" s="42">
        <f t="shared" ref="D109:K109" si="16">D110+D111</f>
        <v>24190.400000000001</v>
      </c>
      <c r="E109" s="42">
        <f t="shared" si="16"/>
        <v>28330.3</v>
      </c>
      <c r="F109" s="42">
        <f t="shared" si="16"/>
        <v>22282.6</v>
      </c>
      <c r="G109" s="42">
        <f t="shared" si="16"/>
        <v>6314</v>
      </c>
      <c r="H109" s="42">
        <f t="shared" si="16"/>
        <v>9427.1</v>
      </c>
      <c r="I109" s="42">
        <f t="shared" si="16"/>
        <v>6541.5</v>
      </c>
      <c r="J109" s="42">
        <f t="shared" si="16"/>
        <v>6047.7</v>
      </c>
      <c r="K109" s="42">
        <f t="shared" si="16"/>
        <v>20060.5</v>
      </c>
      <c r="L109" s="43">
        <f>K109*100/F109</f>
        <v>90.027644888837031</v>
      </c>
      <c r="M109" s="23">
        <f>K109*100/E109</f>
        <v>70.809345471103384</v>
      </c>
      <c r="N109" s="23">
        <f>K109*100/D109</f>
        <v>82.927524968582574</v>
      </c>
    </row>
    <row r="110" spans="1:14" ht="41.25" customHeight="1" x14ac:dyDescent="0.25">
      <c r="A110" s="44" t="s">
        <v>47</v>
      </c>
      <c r="B110" s="24"/>
      <c r="C110" s="45" t="s">
        <v>48</v>
      </c>
      <c r="D110" s="46">
        <v>24190.400000000001</v>
      </c>
      <c r="E110" s="31">
        <f>G110+H110+I110+J110</f>
        <v>28330.3</v>
      </c>
      <c r="F110" s="26">
        <f>G110+H110+I110</f>
        <v>22282.6</v>
      </c>
      <c r="G110" s="46">
        <f>6047.6+266.4</f>
        <v>6314</v>
      </c>
      <c r="H110" s="46">
        <v>9427.1</v>
      </c>
      <c r="I110" s="32">
        <v>6541.5</v>
      </c>
      <c r="J110" s="29">
        <v>6047.7</v>
      </c>
      <c r="K110" s="29">
        <v>20048.099999999999</v>
      </c>
      <c r="L110" s="27">
        <f>K110*100/F110</f>
        <v>89.971996086632615</v>
      </c>
      <c r="M110" s="29">
        <f>K110*100/E110</f>
        <v>70.76557607932142</v>
      </c>
      <c r="N110" s="29">
        <f>K110*100/D110</f>
        <v>82.876264964614052</v>
      </c>
    </row>
    <row r="111" spans="1:14" x14ac:dyDescent="0.25">
      <c r="A111" s="44" t="s">
        <v>49</v>
      </c>
      <c r="B111" s="44"/>
      <c r="C111" s="47" t="s">
        <v>50</v>
      </c>
      <c r="D111" s="47"/>
      <c r="E111" s="31">
        <f>G111+H111+I111+J111</f>
        <v>0</v>
      </c>
      <c r="F111" s="31">
        <f>G111+H111</f>
        <v>0</v>
      </c>
      <c r="G111" s="71"/>
      <c r="H111" s="71"/>
      <c r="I111" s="32"/>
      <c r="J111" s="29"/>
      <c r="K111" s="29">
        <v>12.4</v>
      </c>
      <c r="L111" s="43"/>
      <c r="M111" s="23"/>
      <c r="N111" s="29"/>
    </row>
    <row r="112" spans="1:14" ht="20.25" customHeight="1" x14ac:dyDescent="0.25">
      <c r="A112" s="36"/>
      <c r="B112" s="53"/>
      <c r="C112" s="54" t="s">
        <v>55</v>
      </c>
      <c r="D112" s="23">
        <f t="shared" ref="D112:K112" si="17">D109+D99</f>
        <v>27118.800000000003</v>
      </c>
      <c r="E112" s="23">
        <f t="shared" si="17"/>
        <v>31258.699999999997</v>
      </c>
      <c r="F112" s="22">
        <f t="shared" si="17"/>
        <v>24461.3</v>
      </c>
      <c r="G112" s="22">
        <f t="shared" si="17"/>
        <v>7015.6</v>
      </c>
      <c r="H112" s="22">
        <f>H109+H99</f>
        <v>10156.300000000001</v>
      </c>
      <c r="I112" s="23">
        <f t="shared" si="17"/>
        <v>7289.4</v>
      </c>
      <c r="J112" s="23">
        <f t="shared" si="17"/>
        <v>6797.4</v>
      </c>
      <c r="K112" s="23">
        <f t="shared" si="17"/>
        <v>22170.3</v>
      </c>
      <c r="L112" s="43">
        <f>K112*100/F112</f>
        <v>90.634185427593792</v>
      </c>
      <c r="M112" s="23">
        <f>K112*100/E112</f>
        <v>70.925214420305394</v>
      </c>
      <c r="N112" s="23">
        <f>K112*100/D112</f>
        <v>81.752511173060739</v>
      </c>
    </row>
    <row r="113" spans="1:14" x14ac:dyDescent="0.25">
      <c r="A113" s="55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43"/>
      <c r="M113" s="23"/>
      <c r="N113" s="29"/>
    </row>
    <row r="114" spans="1:14" x14ac:dyDescent="0.25">
      <c r="A114" s="18" t="s">
        <v>63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1:14" x14ac:dyDescent="0.25">
      <c r="A115" s="40" t="s">
        <v>17</v>
      </c>
      <c r="B115" s="40"/>
      <c r="C115" s="57" t="s">
        <v>18</v>
      </c>
      <c r="D115" s="43">
        <f>D116+D120+D124+D121+D122+D125+D123+D126+D117+D118+D119</f>
        <v>5340.7000000000007</v>
      </c>
      <c r="E115" s="43">
        <f t="shared" ref="E115:J115" si="18">E116+E120+E124+E121+E122+E125+E123+E126+E117+E118+E119</f>
        <v>5545.7000000000007</v>
      </c>
      <c r="F115" s="43">
        <f t="shared" si="18"/>
        <v>4151</v>
      </c>
      <c r="G115" s="43">
        <f t="shared" si="18"/>
        <v>1344</v>
      </c>
      <c r="H115" s="43">
        <f t="shared" si="18"/>
        <v>1499</v>
      </c>
      <c r="I115" s="43">
        <f t="shared" si="18"/>
        <v>1308</v>
      </c>
      <c r="J115" s="43">
        <f t="shared" si="18"/>
        <v>1394.6999999999998</v>
      </c>
      <c r="K115" s="43">
        <f>K116+K120+K124+K121+K122+K125+K123+K126+K117+K118+K119</f>
        <v>3885.2999999999997</v>
      </c>
      <c r="L115" s="43">
        <f>K115*100/F115</f>
        <v>93.599132739099019</v>
      </c>
      <c r="M115" s="23">
        <f>K115*100/E115</f>
        <v>70.059685882756</v>
      </c>
      <c r="N115" s="23">
        <f>K115*100/D115</f>
        <v>72.748890594865827</v>
      </c>
    </row>
    <row r="116" spans="1:14" ht="21" customHeight="1" x14ac:dyDescent="0.25">
      <c r="A116" s="24" t="s">
        <v>19</v>
      </c>
      <c r="B116" s="24"/>
      <c r="C116" s="25" t="s">
        <v>20</v>
      </c>
      <c r="D116" s="31">
        <v>1350</v>
      </c>
      <c r="E116" s="31">
        <f>G116+H116+I116+J116</f>
        <v>1350</v>
      </c>
      <c r="F116" s="26">
        <f>G116+H116+I116</f>
        <v>1002</v>
      </c>
      <c r="G116" s="31">
        <v>334</v>
      </c>
      <c r="H116" s="31">
        <v>332</v>
      </c>
      <c r="I116" s="29">
        <v>336</v>
      </c>
      <c r="J116" s="29">
        <v>348</v>
      </c>
      <c r="K116" s="29">
        <v>1015.1</v>
      </c>
      <c r="L116" s="27">
        <f>K116*100/F116</f>
        <v>101.30738522954091</v>
      </c>
      <c r="M116" s="29">
        <f>K116*100/E116</f>
        <v>75.19259259259259</v>
      </c>
      <c r="N116" s="29">
        <f>K116*100/D116</f>
        <v>75.19259259259259</v>
      </c>
    </row>
    <row r="117" spans="1:14" ht="180" hidden="1" x14ac:dyDescent="0.25">
      <c r="A117" s="24" t="s">
        <v>21</v>
      </c>
      <c r="B117" s="24"/>
      <c r="C117" s="30" t="s">
        <v>22</v>
      </c>
      <c r="D117" s="31"/>
      <c r="E117" s="31">
        <f>G117+H117+I117+J117</f>
        <v>0</v>
      </c>
      <c r="F117" s="26">
        <f>G117+H117+I117</f>
        <v>0</v>
      </c>
      <c r="G117" s="31"/>
      <c r="H117" s="31"/>
      <c r="I117" s="29"/>
      <c r="J117" s="29"/>
      <c r="K117" s="29"/>
      <c r="L117" s="27" t="e">
        <f>K117*100/F117</f>
        <v>#DIV/0!</v>
      </c>
      <c r="M117" s="29" t="e">
        <f>K117*100/E117</f>
        <v>#DIV/0!</v>
      </c>
      <c r="N117" s="29" t="e">
        <f>K117*100/D117</f>
        <v>#DIV/0!</v>
      </c>
    </row>
    <row r="118" spans="1:14" ht="40.5" customHeight="1" x14ac:dyDescent="0.25">
      <c r="A118" s="24" t="s">
        <v>21</v>
      </c>
      <c r="B118" s="24"/>
      <c r="C118" s="30" t="s">
        <v>22</v>
      </c>
      <c r="D118" s="31">
        <v>2957.8</v>
      </c>
      <c r="E118" s="31">
        <f>G118+H118+I118+J118</f>
        <v>2957.8</v>
      </c>
      <c r="F118" s="26">
        <f>G118+H118+I118</f>
        <v>2205</v>
      </c>
      <c r="G118" s="31">
        <v>735</v>
      </c>
      <c r="H118" s="31">
        <v>735</v>
      </c>
      <c r="I118" s="29">
        <v>735</v>
      </c>
      <c r="J118" s="29">
        <v>752.8</v>
      </c>
      <c r="K118" s="29">
        <v>2128.5</v>
      </c>
      <c r="L118" s="27">
        <f>K118*100/F118</f>
        <v>96.530612244897952</v>
      </c>
      <c r="M118" s="29">
        <f>K118*100/E118</f>
        <v>71.962269254175396</v>
      </c>
      <c r="N118" s="29">
        <f>K118*100/D118</f>
        <v>71.962269254175396</v>
      </c>
    </row>
    <row r="119" spans="1:14" ht="20.25" customHeight="1" x14ac:dyDescent="0.25">
      <c r="A119" s="24" t="s">
        <v>23</v>
      </c>
      <c r="B119" s="24"/>
      <c r="C119" s="30" t="s">
        <v>24</v>
      </c>
      <c r="D119" s="31">
        <v>0</v>
      </c>
      <c r="E119" s="31">
        <f>G119+H119+I119+J119</f>
        <v>0</v>
      </c>
      <c r="F119" s="26">
        <f>G119+H119+I119</f>
        <v>0</v>
      </c>
      <c r="G119" s="31"/>
      <c r="H119" s="31"/>
      <c r="I119" s="29"/>
      <c r="J119" s="29"/>
      <c r="K119" s="29">
        <v>23.7</v>
      </c>
      <c r="L119" s="27"/>
      <c r="M119" s="29"/>
      <c r="N119" s="29"/>
    </row>
    <row r="120" spans="1:14" ht="18.75" customHeight="1" x14ac:dyDescent="0.25">
      <c r="A120" s="24" t="s">
        <v>25</v>
      </c>
      <c r="B120" s="24"/>
      <c r="C120" s="30" t="s">
        <v>26</v>
      </c>
      <c r="D120" s="31">
        <v>256.2</v>
      </c>
      <c r="E120" s="31">
        <f>G120+H120+I120+J120</f>
        <v>256.2</v>
      </c>
      <c r="F120" s="26">
        <f>G120+H120+I120</f>
        <v>175</v>
      </c>
      <c r="G120" s="31">
        <v>97</v>
      </c>
      <c r="H120" s="31">
        <v>39</v>
      </c>
      <c r="I120" s="29">
        <v>39</v>
      </c>
      <c r="J120" s="29">
        <v>81.2</v>
      </c>
      <c r="K120" s="29">
        <v>94.7</v>
      </c>
      <c r="L120" s="27">
        <f>K120*100/F120</f>
        <v>54.114285714285714</v>
      </c>
      <c r="M120" s="29">
        <f>K120*100/E120</f>
        <v>36.963309914129589</v>
      </c>
      <c r="N120" s="29">
        <f>K120*100/D120</f>
        <v>36.963309914129589</v>
      </c>
    </row>
    <row r="121" spans="1:14" ht="18" customHeight="1" x14ac:dyDescent="0.25">
      <c r="A121" s="24" t="s">
        <v>27</v>
      </c>
      <c r="B121" s="24"/>
      <c r="C121" s="30" t="s">
        <v>28</v>
      </c>
      <c r="D121" s="31">
        <v>13.5</v>
      </c>
      <c r="E121" s="31">
        <f>G121+H121+I121+J121</f>
        <v>13.5</v>
      </c>
      <c r="F121" s="26">
        <f>G121+H121+I121</f>
        <v>9</v>
      </c>
      <c r="G121" s="31">
        <v>3</v>
      </c>
      <c r="H121" s="31">
        <v>3</v>
      </c>
      <c r="I121" s="29">
        <v>3</v>
      </c>
      <c r="J121" s="29">
        <v>4.5</v>
      </c>
      <c r="K121" s="29">
        <v>14.1</v>
      </c>
      <c r="L121" s="27">
        <f>K121*100/F121</f>
        <v>156.66666666666666</v>
      </c>
      <c r="M121" s="29">
        <f>K121*100/E121</f>
        <v>104.44444444444444</v>
      </c>
      <c r="N121" s="29">
        <f>K121*100/D121</f>
        <v>104.44444444444444</v>
      </c>
    </row>
    <row r="122" spans="1:14" ht="41.25" customHeight="1" x14ac:dyDescent="0.25">
      <c r="A122" s="33" t="s">
        <v>31</v>
      </c>
      <c r="B122" s="33"/>
      <c r="C122" s="30" t="s">
        <v>32</v>
      </c>
      <c r="D122" s="31">
        <v>763.2</v>
      </c>
      <c r="E122" s="31">
        <f>G122+H122+I122+J122</f>
        <v>763.2</v>
      </c>
      <c r="F122" s="26">
        <f>G122+H122+I122</f>
        <v>555</v>
      </c>
      <c r="G122" s="31">
        <v>175</v>
      </c>
      <c r="H122" s="31">
        <v>185</v>
      </c>
      <c r="I122" s="29">
        <v>195</v>
      </c>
      <c r="J122" s="29">
        <v>208.2</v>
      </c>
      <c r="K122" s="29">
        <v>289.7</v>
      </c>
      <c r="L122" s="27">
        <f>K122*100/F122</f>
        <v>52.198198198198199</v>
      </c>
      <c r="M122" s="29">
        <f>K122*100/E122</f>
        <v>37.958595387840667</v>
      </c>
      <c r="N122" s="29">
        <f>K122*100/D122</f>
        <v>37.958595387840667</v>
      </c>
    </row>
    <row r="123" spans="1:14" ht="30.75" customHeight="1" x14ac:dyDescent="0.25">
      <c r="A123" s="35" t="s">
        <v>35</v>
      </c>
      <c r="B123" s="35"/>
      <c r="C123" s="30" t="s">
        <v>36</v>
      </c>
      <c r="D123" s="31">
        <v>0</v>
      </c>
      <c r="E123" s="31">
        <f>G123+H123+I123+J123</f>
        <v>0</v>
      </c>
      <c r="F123" s="26">
        <f>G123+H123+I123</f>
        <v>0</v>
      </c>
      <c r="G123" s="31"/>
      <c r="H123" s="31"/>
      <c r="I123" s="29"/>
      <c r="J123" s="29"/>
      <c r="K123" s="29">
        <v>114.5</v>
      </c>
      <c r="L123" s="27"/>
      <c r="M123" s="29"/>
      <c r="N123" s="29"/>
    </row>
    <row r="124" spans="1:14" ht="96" hidden="1" x14ac:dyDescent="0.25">
      <c r="A124" s="34" t="s">
        <v>37</v>
      </c>
      <c r="B124" s="34"/>
      <c r="C124" s="30" t="s">
        <v>38</v>
      </c>
      <c r="D124" s="31"/>
      <c r="E124" s="31">
        <f>G124+H124+I124+J124</f>
        <v>0</v>
      </c>
      <c r="F124" s="26">
        <f>G124+H124+I124</f>
        <v>0</v>
      </c>
      <c r="G124" s="31"/>
      <c r="H124" s="31"/>
      <c r="I124" s="29"/>
      <c r="J124" s="29"/>
      <c r="K124" s="29"/>
      <c r="L124" s="27" t="e">
        <f>K124*100/F124</f>
        <v>#DIV/0!</v>
      </c>
      <c r="M124" s="29" t="e">
        <f>K124*100/E124</f>
        <v>#DIV/0!</v>
      </c>
      <c r="N124" s="29" t="e">
        <f>K124*100/D124</f>
        <v>#DIV/0!</v>
      </c>
    </row>
    <row r="125" spans="1:14" ht="60" hidden="1" x14ac:dyDescent="0.25">
      <c r="A125" s="36" t="s">
        <v>41</v>
      </c>
      <c r="B125" s="36"/>
      <c r="C125" s="30" t="s">
        <v>42</v>
      </c>
      <c r="D125" s="31"/>
      <c r="E125" s="31">
        <f>G125+H125+I125+J125</f>
        <v>0</v>
      </c>
      <c r="F125" s="26">
        <f>G125+H125+I125</f>
        <v>0</v>
      </c>
      <c r="G125" s="31"/>
      <c r="H125" s="31"/>
      <c r="I125" s="29"/>
      <c r="J125" s="29"/>
      <c r="K125" s="29"/>
      <c r="L125" s="27" t="e">
        <f>K125*100/F125</f>
        <v>#DIV/0!</v>
      </c>
      <c r="M125" s="29" t="e">
        <f>K125*100/E125</f>
        <v>#DIV/0!</v>
      </c>
      <c r="N125" s="29" t="e">
        <f>K125*100/D125</f>
        <v>#DIV/0!</v>
      </c>
    </row>
    <row r="126" spans="1:14" ht="19.5" customHeight="1" x14ac:dyDescent="0.25">
      <c r="A126" s="34" t="s">
        <v>43</v>
      </c>
      <c r="B126" s="73"/>
      <c r="C126" s="39" t="s">
        <v>44</v>
      </c>
      <c r="D126" s="31"/>
      <c r="E126" s="31">
        <f>G126+H126+I126+J126</f>
        <v>205</v>
      </c>
      <c r="F126" s="26">
        <f>G126+H126+I126</f>
        <v>205</v>
      </c>
      <c r="G126" s="31"/>
      <c r="H126" s="31">
        <v>205</v>
      </c>
      <c r="I126" s="29"/>
      <c r="J126" s="29"/>
      <c r="K126" s="29">
        <v>205</v>
      </c>
      <c r="L126" s="27">
        <f>K126*100/F126</f>
        <v>100</v>
      </c>
      <c r="M126" s="29">
        <f>K126*100/E126</f>
        <v>100</v>
      </c>
      <c r="N126" s="29"/>
    </row>
    <row r="127" spans="1:14" x14ac:dyDescent="0.25">
      <c r="A127" s="40" t="s">
        <v>45</v>
      </c>
      <c r="B127" s="40"/>
      <c r="C127" s="41" t="s">
        <v>46</v>
      </c>
      <c r="D127" s="42">
        <f t="shared" ref="D127:K127" si="19">D128</f>
        <v>30240.799999999999</v>
      </c>
      <c r="E127" s="42">
        <f t="shared" si="19"/>
        <v>38681.9</v>
      </c>
      <c r="F127" s="74">
        <f t="shared" si="19"/>
        <v>31186.7</v>
      </c>
      <c r="G127" s="74">
        <f t="shared" si="19"/>
        <v>7860.7000000000007</v>
      </c>
      <c r="H127" s="74">
        <f t="shared" si="19"/>
        <v>15390.7</v>
      </c>
      <c r="I127" s="74">
        <f t="shared" si="19"/>
        <v>7935.3</v>
      </c>
      <c r="J127" s="42">
        <f t="shared" si="19"/>
        <v>7495.2</v>
      </c>
      <c r="K127" s="42">
        <f t="shared" si="19"/>
        <v>26288.1</v>
      </c>
      <c r="L127" s="43">
        <f>K127*100/F127</f>
        <v>84.29266321861563</v>
      </c>
      <c r="M127" s="23">
        <f>K127*100/E127</f>
        <v>67.95969174213262</v>
      </c>
      <c r="N127" s="23">
        <f>K127*100/D127</f>
        <v>86.929247903494613</v>
      </c>
    </row>
    <row r="128" spans="1:14" ht="42" customHeight="1" x14ac:dyDescent="0.25">
      <c r="A128" s="44" t="s">
        <v>47</v>
      </c>
      <c r="B128" s="24"/>
      <c r="C128" s="45" t="s">
        <v>48</v>
      </c>
      <c r="D128" s="46">
        <v>30240.799999999999</v>
      </c>
      <c r="E128" s="31">
        <f>G128+H128+I128+J128</f>
        <v>38681.9</v>
      </c>
      <c r="F128" s="26">
        <f>G128+H128+I128</f>
        <v>31186.7</v>
      </c>
      <c r="G128" s="31">
        <f>7839.1+21.6</f>
        <v>7860.7000000000007</v>
      </c>
      <c r="H128" s="31">
        <v>15390.7</v>
      </c>
      <c r="I128" s="29">
        <v>7935.3</v>
      </c>
      <c r="J128" s="29">
        <v>7495.2</v>
      </c>
      <c r="K128" s="29">
        <v>26288.1</v>
      </c>
      <c r="L128" s="27">
        <f>K128*100/F128</f>
        <v>84.29266321861563</v>
      </c>
      <c r="M128" s="29">
        <f>K128*100/E128</f>
        <v>67.95969174213262</v>
      </c>
      <c r="N128" s="29">
        <f>K128*100/D128</f>
        <v>86.929247903494613</v>
      </c>
    </row>
    <row r="129" spans="1:14" ht="36" x14ac:dyDescent="0.25">
      <c r="A129" s="36"/>
      <c r="B129" s="53"/>
      <c r="C129" s="54" t="s">
        <v>55</v>
      </c>
      <c r="D129" s="23">
        <f t="shared" ref="D129:K129" si="20">D127+D115</f>
        <v>35581.5</v>
      </c>
      <c r="E129" s="23">
        <f t="shared" si="20"/>
        <v>44227.600000000006</v>
      </c>
      <c r="F129" s="23">
        <f t="shared" si="20"/>
        <v>35337.699999999997</v>
      </c>
      <c r="G129" s="23">
        <f t="shared" si="20"/>
        <v>9204.7000000000007</v>
      </c>
      <c r="H129" s="23">
        <f t="shared" si="20"/>
        <v>16889.7</v>
      </c>
      <c r="I129" s="23">
        <f t="shared" si="20"/>
        <v>9243.2999999999993</v>
      </c>
      <c r="J129" s="23">
        <f t="shared" si="20"/>
        <v>8889.9</v>
      </c>
      <c r="K129" s="23">
        <f t="shared" si="20"/>
        <v>30173.399999999998</v>
      </c>
      <c r="L129" s="43">
        <f>K129*100/F129</f>
        <v>85.385862690554291</v>
      </c>
      <c r="M129" s="23">
        <f>K129*100/E129</f>
        <v>68.22301006611255</v>
      </c>
      <c r="N129" s="23">
        <f>K129*100/D129</f>
        <v>84.800809409384087</v>
      </c>
    </row>
    <row r="130" spans="1:14" x14ac:dyDescent="0.25">
      <c r="A130" s="55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43"/>
      <c r="M130" s="23"/>
      <c r="N130" s="29"/>
    </row>
    <row r="131" spans="1:14" x14ac:dyDescent="0.25">
      <c r="A131" s="18" t="s">
        <v>64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</row>
    <row r="132" spans="1:14" x14ac:dyDescent="0.25">
      <c r="A132" s="40" t="s">
        <v>17</v>
      </c>
      <c r="B132" s="40"/>
      <c r="C132" s="57" t="s">
        <v>18</v>
      </c>
      <c r="D132" s="43">
        <f t="shared" ref="D132:J132" si="21">D133+D135+D136+D137+D139+D141+D138+D140+D134</f>
        <v>9980</v>
      </c>
      <c r="E132" s="43">
        <f t="shared" si="21"/>
        <v>10005</v>
      </c>
      <c r="F132" s="43">
        <f t="shared" si="21"/>
        <v>7507.5</v>
      </c>
      <c r="G132" s="43">
        <f t="shared" si="21"/>
        <v>2492.5</v>
      </c>
      <c r="H132" s="43">
        <f t="shared" si="21"/>
        <v>2519.5</v>
      </c>
      <c r="I132" s="43">
        <f t="shared" si="21"/>
        <v>2495.5</v>
      </c>
      <c r="J132" s="43">
        <f t="shared" si="21"/>
        <v>2497.5</v>
      </c>
      <c r="K132" s="43">
        <f>K133+K135+K136+K137+K139+K141+K138+K140+K134</f>
        <v>7231.2999999999993</v>
      </c>
      <c r="L132" s="43">
        <f>K132*100/F132</f>
        <v>96.321012321012304</v>
      </c>
      <c r="M132" s="23">
        <f>K132*100/E132</f>
        <v>72.276861569215384</v>
      </c>
      <c r="N132" s="23">
        <f>K132*100/D132</f>
        <v>72.457915831663314</v>
      </c>
    </row>
    <row r="133" spans="1:14" ht="13.5" customHeight="1" x14ac:dyDescent="0.25">
      <c r="A133" s="24" t="s">
        <v>19</v>
      </c>
      <c r="B133" s="24"/>
      <c r="C133" s="25" t="s">
        <v>20</v>
      </c>
      <c r="D133" s="31">
        <v>2850</v>
      </c>
      <c r="E133" s="31">
        <f>G133+H133+I133+J133</f>
        <v>2850</v>
      </c>
      <c r="F133" s="26">
        <f>G133+H133+I133</f>
        <v>2137.5</v>
      </c>
      <c r="G133" s="46">
        <v>712.5</v>
      </c>
      <c r="H133" s="46">
        <v>712.5</v>
      </c>
      <c r="I133" s="32">
        <v>712.5</v>
      </c>
      <c r="J133" s="29">
        <v>712.5</v>
      </c>
      <c r="K133" s="29">
        <v>2338</v>
      </c>
      <c r="L133" s="27">
        <f>K133*100/F133</f>
        <v>109.38011695906432</v>
      </c>
      <c r="M133" s="29">
        <f>K133*100/E133</f>
        <v>82.035087719298247</v>
      </c>
      <c r="N133" s="29">
        <f>K133*100/D133</f>
        <v>82.035087719298247</v>
      </c>
    </row>
    <row r="134" spans="1:14" ht="43.5" customHeight="1" x14ac:dyDescent="0.25">
      <c r="A134" s="24" t="s">
        <v>21</v>
      </c>
      <c r="B134" s="24"/>
      <c r="C134" s="30" t="s">
        <v>22</v>
      </c>
      <c r="D134" s="31">
        <v>6463.1</v>
      </c>
      <c r="E134" s="31">
        <f>G134+H134+I134+J134</f>
        <v>6463.0999999999995</v>
      </c>
      <c r="F134" s="26">
        <f>G134+H134+I134</f>
        <v>4847.3999999999996</v>
      </c>
      <c r="G134" s="46">
        <v>1615.8</v>
      </c>
      <c r="H134" s="46">
        <v>1615.8</v>
      </c>
      <c r="I134" s="32">
        <v>1615.8</v>
      </c>
      <c r="J134" s="29">
        <v>1615.7</v>
      </c>
      <c r="K134" s="29">
        <v>4651</v>
      </c>
      <c r="L134" s="27">
        <f>K134*100/F134</f>
        <v>95.948343441845125</v>
      </c>
      <c r="M134" s="29">
        <f>K134*100/E134</f>
        <v>71.962370998437294</v>
      </c>
      <c r="N134" s="29">
        <f>K134*100/D134</f>
        <v>71.962370998437279</v>
      </c>
    </row>
    <row r="135" spans="1:14" ht="19.5" customHeight="1" x14ac:dyDescent="0.25">
      <c r="A135" s="24" t="s">
        <v>25</v>
      </c>
      <c r="B135" s="24"/>
      <c r="C135" s="30" t="s">
        <v>26</v>
      </c>
      <c r="D135" s="31">
        <v>526.9</v>
      </c>
      <c r="E135" s="31">
        <f>G135+H135+I135+J135</f>
        <v>526.9</v>
      </c>
      <c r="F135" s="26">
        <f>G135+H135+I135</f>
        <v>394.5</v>
      </c>
      <c r="G135" s="46">
        <v>131.5</v>
      </c>
      <c r="H135" s="46">
        <v>131.5</v>
      </c>
      <c r="I135" s="32">
        <v>131.5</v>
      </c>
      <c r="J135" s="29">
        <v>132.4</v>
      </c>
      <c r="K135" s="29">
        <v>148.4</v>
      </c>
      <c r="L135" s="27">
        <f>K135*100/F135</f>
        <v>37.617237008871989</v>
      </c>
      <c r="M135" s="29">
        <f>K135*100/E135</f>
        <v>28.164737141772633</v>
      </c>
      <c r="N135" s="29">
        <f>K135*100/D135</f>
        <v>28.164737141772633</v>
      </c>
    </row>
    <row r="136" spans="1:14" ht="17.25" customHeight="1" x14ac:dyDescent="0.25">
      <c r="A136" s="24" t="s">
        <v>27</v>
      </c>
      <c r="B136" s="24"/>
      <c r="C136" s="30" t="s">
        <v>28</v>
      </c>
      <c r="D136" s="31">
        <v>20</v>
      </c>
      <c r="E136" s="31">
        <f>G136+H136+I136+J136</f>
        <v>20</v>
      </c>
      <c r="F136" s="26">
        <f>G136+H136+I136</f>
        <v>14.399999999999999</v>
      </c>
      <c r="G136" s="46">
        <v>4.8</v>
      </c>
      <c r="H136" s="46">
        <v>4.8</v>
      </c>
      <c r="I136" s="32">
        <v>4.8</v>
      </c>
      <c r="J136" s="29">
        <v>5.6</v>
      </c>
      <c r="K136" s="29">
        <v>8.1</v>
      </c>
      <c r="L136" s="27">
        <f>K136*100/F136</f>
        <v>56.250000000000007</v>
      </c>
      <c r="M136" s="29">
        <f>K136*100/E136</f>
        <v>40.5</v>
      </c>
      <c r="N136" s="29">
        <f>K136*100/D136</f>
        <v>40.5</v>
      </c>
    </row>
    <row r="137" spans="1:14" ht="43.5" customHeight="1" x14ac:dyDescent="0.25">
      <c r="A137" s="33" t="s">
        <v>31</v>
      </c>
      <c r="B137" s="33"/>
      <c r="C137" s="30" t="s">
        <v>32</v>
      </c>
      <c r="D137" s="31">
        <v>120</v>
      </c>
      <c r="E137" s="31">
        <f>G137+H137+I137+J137</f>
        <v>119.99999999999999</v>
      </c>
      <c r="F137" s="26">
        <f>G137+H137+I137</f>
        <v>88.699999999999989</v>
      </c>
      <c r="G137" s="46">
        <v>27.9</v>
      </c>
      <c r="H137" s="46">
        <v>29.9</v>
      </c>
      <c r="I137" s="32">
        <v>30.9</v>
      </c>
      <c r="J137" s="29">
        <v>31.3</v>
      </c>
      <c r="K137" s="29">
        <v>78.2</v>
      </c>
      <c r="L137" s="27">
        <f>K137*100/F137</f>
        <v>88.162344983089071</v>
      </c>
      <c r="M137" s="29">
        <f>K137*100/E137</f>
        <v>65.166666666666671</v>
      </c>
      <c r="N137" s="29">
        <f>K137*100/D137</f>
        <v>65.166666666666671</v>
      </c>
    </row>
    <row r="138" spans="1:14" ht="120" hidden="1" x14ac:dyDescent="0.25">
      <c r="A138" s="35" t="s">
        <v>35</v>
      </c>
      <c r="B138" s="35"/>
      <c r="C138" s="30" t="s">
        <v>36</v>
      </c>
      <c r="D138" s="31">
        <v>0</v>
      </c>
      <c r="E138" s="31">
        <f>G138+H138+I138+J138</f>
        <v>0</v>
      </c>
      <c r="F138" s="26">
        <f>G138+H138+I138</f>
        <v>0</v>
      </c>
      <c r="G138" s="46"/>
      <c r="H138" s="46"/>
      <c r="I138" s="32"/>
      <c r="J138" s="29"/>
      <c r="K138" s="29"/>
      <c r="L138" s="27" t="e">
        <f>K138*100/F138</f>
        <v>#DIV/0!</v>
      </c>
      <c r="M138" s="29" t="e">
        <f>K138*100/E138</f>
        <v>#DIV/0!</v>
      </c>
      <c r="N138" s="29"/>
    </row>
    <row r="139" spans="1:14" ht="96" hidden="1" x14ac:dyDescent="0.25">
      <c r="A139" s="35" t="s">
        <v>37</v>
      </c>
      <c r="B139" s="35"/>
      <c r="C139" s="30" t="s">
        <v>38</v>
      </c>
      <c r="D139" s="31">
        <v>0</v>
      </c>
      <c r="E139" s="31">
        <f>G139+H139+I139+J139</f>
        <v>0</v>
      </c>
      <c r="F139" s="26">
        <f>G139+H139+I139</f>
        <v>0</v>
      </c>
      <c r="G139" s="46"/>
      <c r="H139" s="46"/>
      <c r="I139" s="32"/>
      <c r="J139" s="29"/>
      <c r="K139" s="29"/>
      <c r="L139" s="27" t="e">
        <f>K139*100/F139</f>
        <v>#DIV/0!</v>
      </c>
      <c r="M139" s="29" t="e">
        <f>K139*100/E139</f>
        <v>#DIV/0!</v>
      </c>
      <c r="N139" s="29"/>
    </row>
    <row r="140" spans="1:14" ht="60" hidden="1" x14ac:dyDescent="0.25">
      <c r="A140" s="36" t="s">
        <v>41</v>
      </c>
      <c r="B140" s="36"/>
      <c r="C140" s="30" t="s">
        <v>42</v>
      </c>
      <c r="D140" s="31"/>
      <c r="E140" s="31">
        <f>G140+H140+I140+J140</f>
        <v>0</v>
      </c>
      <c r="F140" s="26">
        <f>G140+H140+I140</f>
        <v>0</v>
      </c>
      <c r="G140" s="46"/>
      <c r="H140" s="46"/>
      <c r="I140" s="32"/>
      <c r="J140" s="29"/>
      <c r="K140" s="29"/>
      <c r="L140" s="27" t="e">
        <f>K140*100/F140</f>
        <v>#DIV/0!</v>
      </c>
      <c r="M140" s="29" t="e">
        <f>K140*100/E140</f>
        <v>#DIV/0!</v>
      </c>
      <c r="N140" s="29"/>
    </row>
    <row r="141" spans="1:14" ht="21" customHeight="1" x14ac:dyDescent="0.25">
      <c r="A141" s="35" t="s">
        <v>43</v>
      </c>
      <c r="B141" s="73"/>
      <c r="C141" s="39" t="s">
        <v>44</v>
      </c>
      <c r="D141" s="31"/>
      <c r="E141" s="31">
        <f>G141+H141+I141+J141</f>
        <v>25</v>
      </c>
      <c r="F141" s="26">
        <f>G141+H141+I141</f>
        <v>25</v>
      </c>
      <c r="G141" s="46"/>
      <c r="H141" s="46">
        <v>25</v>
      </c>
      <c r="I141" s="32"/>
      <c r="J141" s="29"/>
      <c r="K141" s="32">
        <v>7.6</v>
      </c>
      <c r="L141" s="27">
        <f>K141*100/F141</f>
        <v>30.4</v>
      </c>
      <c r="M141" s="29">
        <f>K141*100/E141</f>
        <v>30.4</v>
      </c>
      <c r="N141" s="29"/>
    </row>
    <row r="142" spans="1:14" x14ac:dyDescent="0.25">
      <c r="A142" s="20" t="s">
        <v>45</v>
      </c>
      <c r="B142" s="20"/>
      <c r="C142" s="41" t="s">
        <v>46</v>
      </c>
      <c r="D142" s="42">
        <f t="shared" ref="D142:J142" si="22">D143+D144+D145</f>
        <v>46099.1</v>
      </c>
      <c r="E142" s="42">
        <f>E143+E144+E146</f>
        <v>68043.899999999994</v>
      </c>
      <c r="F142" s="42">
        <f t="shared" si="22"/>
        <v>56048.9</v>
      </c>
      <c r="G142" s="42">
        <f>G143+G144+G145+G146</f>
        <v>22701.5</v>
      </c>
      <c r="H142" s="42">
        <f t="shared" si="22"/>
        <v>21088.799999999999</v>
      </c>
      <c r="I142" s="42">
        <f t="shared" si="22"/>
        <v>12258.6</v>
      </c>
      <c r="J142" s="42">
        <f t="shared" si="22"/>
        <v>11995</v>
      </c>
      <c r="K142" s="42">
        <f>K143+K144+K145+K146</f>
        <v>43505.8</v>
      </c>
      <c r="L142" s="43">
        <f>K142*100/F142</f>
        <v>77.621148675531543</v>
      </c>
      <c r="M142" s="23">
        <f>K142*100/E142</f>
        <v>63.937840129680993</v>
      </c>
      <c r="N142" s="23">
        <f>K142*100/D142</f>
        <v>94.374510565282193</v>
      </c>
    </row>
    <row r="143" spans="1:14" ht="36.75" customHeight="1" x14ac:dyDescent="0.25">
      <c r="A143" s="44" t="s">
        <v>47</v>
      </c>
      <c r="B143" s="24"/>
      <c r="C143" s="45" t="s">
        <v>48</v>
      </c>
      <c r="D143" s="46">
        <v>46099.1</v>
      </c>
      <c r="E143" s="31">
        <f>G143+H143+I143+J143</f>
        <v>68043.899999999994</v>
      </c>
      <c r="F143" s="26">
        <f>G143+H143+I143</f>
        <v>56048.9</v>
      </c>
      <c r="G143" s="46">
        <f>22671.5+30</f>
        <v>22701.5</v>
      </c>
      <c r="H143" s="46">
        <v>21088.799999999999</v>
      </c>
      <c r="I143" s="32">
        <v>12258.6</v>
      </c>
      <c r="J143" s="29">
        <v>11995</v>
      </c>
      <c r="K143" s="29">
        <v>43480.800000000003</v>
      </c>
      <c r="L143" s="27">
        <f>K143*100/F143</f>
        <v>77.57654476715868</v>
      </c>
      <c r="M143" s="29">
        <f>K143*100/E143</f>
        <v>63.901099143347167</v>
      </c>
      <c r="N143" s="29">
        <f>K143*100/D143</f>
        <v>94.320279571618542</v>
      </c>
    </row>
    <row r="144" spans="1:14" hidden="1" x14ac:dyDescent="0.25">
      <c r="A144" s="44" t="s">
        <v>65</v>
      </c>
      <c r="B144" s="44"/>
      <c r="C144" s="47" t="s">
        <v>50</v>
      </c>
      <c r="D144" s="47"/>
      <c r="E144" s="31">
        <f>G144+H144+I144+J144</f>
        <v>0</v>
      </c>
      <c r="F144" s="26">
        <f>G144+H144+I144</f>
        <v>0</v>
      </c>
      <c r="G144" s="71"/>
      <c r="H144" s="71"/>
      <c r="I144" s="32"/>
      <c r="J144" s="29"/>
      <c r="K144" s="29"/>
      <c r="L144" s="27" t="e">
        <f>K144*100/F144</f>
        <v>#DIV/0!</v>
      </c>
      <c r="M144" s="29" t="e">
        <f>K144*100/E144</f>
        <v>#DIV/0!</v>
      </c>
      <c r="N144" s="29" t="e">
        <f>K144*100/D144</f>
        <v>#DIV/0!</v>
      </c>
    </row>
    <row r="145" spans="1:14" ht="180" hidden="1" x14ac:dyDescent="0.25">
      <c r="A145" s="44" t="s">
        <v>53</v>
      </c>
      <c r="B145" s="50"/>
      <c r="C145" s="51" t="s">
        <v>54</v>
      </c>
      <c r="D145" s="47"/>
      <c r="E145" s="31">
        <f>G145+H145+I145+J145</f>
        <v>0</v>
      </c>
      <c r="F145" s="26">
        <f>G145+H145+I145</f>
        <v>0</v>
      </c>
      <c r="G145" s="71"/>
      <c r="H145" s="71"/>
      <c r="I145" s="32"/>
      <c r="J145" s="29"/>
      <c r="K145" s="29"/>
      <c r="L145" s="27" t="e">
        <f>K145*100/F145</f>
        <v>#DIV/0!</v>
      </c>
      <c r="M145" s="29" t="e">
        <f>K145*100/E145</f>
        <v>#DIV/0!</v>
      </c>
      <c r="N145" s="29" t="e">
        <f>K145*100/D145</f>
        <v>#DIV/0!</v>
      </c>
    </row>
    <row r="146" spans="1:14" x14ac:dyDescent="0.25">
      <c r="A146" s="44" t="s">
        <v>49</v>
      </c>
      <c r="B146" s="44"/>
      <c r="C146" s="47" t="s">
        <v>50</v>
      </c>
      <c r="D146" s="47"/>
      <c r="E146" s="31">
        <f>G146+H146+I146+J146</f>
        <v>0</v>
      </c>
      <c r="F146" s="26">
        <f>G146+H146+I146</f>
        <v>0</v>
      </c>
      <c r="G146" s="71"/>
      <c r="H146" s="71"/>
      <c r="I146" s="32"/>
      <c r="J146" s="29"/>
      <c r="K146" s="29">
        <v>25</v>
      </c>
      <c r="L146" s="27"/>
      <c r="M146" s="29"/>
      <c r="N146" s="29"/>
    </row>
    <row r="147" spans="1:14" ht="25.5" customHeight="1" x14ac:dyDescent="0.25">
      <c r="A147" s="36"/>
      <c r="B147" s="53"/>
      <c r="C147" s="54" t="s">
        <v>55</v>
      </c>
      <c r="D147" s="23">
        <f t="shared" ref="D147:J147" si="23">D142+D132</f>
        <v>56079.1</v>
      </c>
      <c r="E147" s="23">
        <f t="shared" si="23"/>
        <v>78048.899999999994</v>
      </c>
      <c r="F147" s="23">
        <f t="shared" si="23"/>
        <v>63556.4</v>
      </c>
      <c r="G147" s="22">
        <f t="shared" si="23"/>
        <v>25194</v>
      </c>
      <c r="H147" s="22">
        <f t="shared" si="23"/>
        <v>23608.3</v>
      </c>
      <c r="I147" s="22">
        <f t="shared" si="23"/>
        <v>14754.1</v>
      </c>
      <c r="J147" s="23">
        <f t="shared" si="23"/>
        <v>14492.5</v>
      </c>
      <c r="K147" s="23">
        <f>K142+K132</f>
        <v>50737.100000000006</v>
      </c>
      <c r="L147" s="43">
        <f>K147*100/F147</f>
        <v>79.830040719738705</v>
      </c>
      <c r="M147" s="23">
        <f>K147*100/E147</f>
        <v>65.006809833322464</v>
      </c>
      <c r="N147" s="23">
        <f>K147*100/D147</f>
        <v>90.474169521265523</v>
      </c>
    </row>
    <row r="148" spans="1:14" x14ac:dyDescent="0.25">
      <c r="A148" s="75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43"/>
      <c r="M148" s="23"/>
      <c r="N148" s="29"/>
    </row>
    <row r="149" spans="1:14" x14ac:dyDescent="0.25">
      <c r="A149" s="18" t="s">
        <v>66</v>
      </c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1:14" x14ac:dyDescent="0.25">
      <c r="A150" s="40" t="s">
        <v>17</v>
      </c>
      <c r="B150" s="40"/>
      <c r="C150" s="57" t="s">
        <v>18</v>
      </c>
      <c r="D150" s="43">
        <f t="shared" ref="D150:J150" si="24">D151+D154+D156+D158+D155+D159+D157+D160+D153+D152</f>
        <v>22876.9</v>
      </c>
      <c r="E150" s="43">
        <f t="shared" si="24"/>
        <v>23557</v>
      </c>
      <c r="F150" s="43">
        <f t="shared" si="24"/>
        <v>17795.5</v>
      </c>
      <c r="G150" s="43">
        <f t="shared" si="24"/>
        <v>5434.6</v>
      </c>
      <c r="H150" s="43">
        <f t="shared" si="24"/>
        <v>6141.4</v>
      </c>
      <c r="I150" s="43">
        <f t="shared" si="24"/>
        <v>6219.5</v>
      </c>
      <c r="J150" s="43">
        <f t="shared" si="24"/>
        <v>5761.5</v>
      </c>
      <c r="K150" s="43">
        <f>K151+K154+K156+K158+K155+K159+K157+K160+K153+K152</f>
        <v>17156</v>
      </c>
      <c r="L150" s="43">
        <f>K150*100/F150</f>
        <v>96.406394875108873</v>
      </c>
      <c r="M150" s="23">
        <f>K150*100/E150</f>
        <v>72.82760962771151</v>
      </c>
      <c r="N150" s="23">
        <f>K150*100/D150</f>
        <v>74.992678203777601</v>
      </c>
    </row>
    <row r="151" spans="1:14" ht="12" customHeight="1" x14ac:dyDescent="0.25">
      <c r="A151" s="24" t="s">
        <v>19</v>
      </c>
      <c r="B151" s="24"/>
      <c r="C151" s="25" t="s">
        <v>20</v>
      </c>
      <c r="D151" s="31">
        <v>14100</v>
      </c>
      <c r="E151" s="46">
        <f>G151+H151+I151+J151</f>
        <v>14113.199999999999</v>
      </c>
      <c r="F151" s="26">
        <f>G151+H151+I151</f>
        <v>10763.8</v>
      </c>
      <c r="G151" s="46">
        <v>3250</v>
      </c>
      <c r="H151" s="46">
        <v>3463.2</v>
      </c>
      <c r="I151" s="32">
        <v>4050.6</v>
      </c>
      <c r="J151" s="29">
        <v>3349.4</v>
      </c>
      <c r="K151" s="29">
        <v>10538.2</v>
      </c>
      <c r="L151" s="27">
        <f>K151*100/F151</f>
        <v>97.904085917612747</v>
      </c>
      <c r="M151" s="29">
        <f>K151*100/E151</f>
        <v>74.6691041011252</v>
      </c>
      <c r="N151" s="29">
        <f>K151*100/D151</f>
        <v>74.739007092198577</v>
      </c>
    </row>
    <row r="152" spans="1:14" ht="42" customHeight="1" x14ac:dyDescent="0.25">
      <c r="A152" s="24" t="s">
        <v>21</v>
      </c>
      <c r="B152" s="24"/>
      <c r="C152" s="30" t="s">
        <v>22</v>
      </c>
      <c r="D152" s="31">
        <v>6790.4</v>
      </c>
      <c r="E152" s="46">
        <f>G152+H152+I152+J152</f>
        <v>6790.4</v>
      </c>
      <c r="F152" s="26">
        <f>G152+H152+I152</f>
        <v>5119.8999999999996</v>
      </c>
      <c r="G152" s="46">
        <v>1789.6</v>
      </c>
      <c r="H152" s="46">
        <v>1607.6</v>
      </c>
      <c r="I152" s="32">
        <v>1722.7</v>
      </c>
      <c r="J152" s="29">
        <v>1670.5</v>
      </c>
      <c r="K152" s="29">
        <v>4886.5</v>
      </c>
      <c r="L152" s="27">
        <f>K152*100/F152</f>
        <v>95.441317213226824</v>
      </c>
      <c r="M152" s="29">
        <f>K152*100/E152</f>
        <v>71.961887370405279</v>
      </c>
      <c r="N152" s="29">
        <f>K152*100/D152</f>
        <v>71.961887370405279</v>
      </c>
    </row>
    <row r="153" spans="1:14" ht="22.5" customHeight="1" x14ac:dyDescent="0.25">
      <c r="A153" s="24" t="s">
        <v>23</v>
      </c>
      <c r="B153" s="24"/>
      <c r="C153" s="30" t="s">
        <v>24</v>
      </c>
      <c r="D153" s="31">
        <v>5</v>
      </c>
      <c r="E153" s="46">
        <f>G153+H153+I153+J153</f>
        <v>84.4</v>
      </c>
      <c r="F153" s="26">
        <f>G153+H153+I153</f>
        <v>83.2</v>
      </c>
      <c r="G153" s="46">
        <v>1.3</v>
      </c>
      <c r="H153" s="46">
        <v>80.900000000000006</v>
      </c>
      <c r="I153" s="32">
        <v>1</v>
      </c>
      <c r="J153" s="29">
        <v>1.2</v>
      </c>
      <c r="K153" s="29">
        <v>78.400000000000006</v>
      </c>
      <c r="L153" s="27">
        <f>K153*100/F153</f>
        <v>94.230769230769241</v>
      </c>
      <c r="M153" s="29">
        <f>K153*100/E153</f>
        <v>92.890995260663516</v>
      </c>
      <c r="N153" s="29">
        <f>K153*100/D153</f>
        <v>1568.0000000000002</v>
      </c>
    </row>
    <row r="154" spans="1:14" ht="19.5" customHeight="1" x14ac:dyDescent="0.25">
      <c r="A154" s="24" t="s">
        <v>25</v>
      </c>
      <c r="B154" s="24"/>
      <c r="C154" s="30" t="s">
        <v>26</v>
      </c>
      <c r="D154" s="31">
        <v>1658.2</v>
      </c>
      <c r="E154" s="46">
        <f>G154+H154+I154+J154</f>
        <v>1658.2</v>
      </c>
      <c r="F154" s="26">
        <f>G154+H154+I154</f>
        <v>1006</v>
      </c>
      <c r="G154" s="46">
        <v>314.2</v>
      </c>
      <c r="H154" s="46">
        <v>327.10000000000002</v>
      </c>
      <c r="I154" s="32">
        <v>364.7</v>
      </c>
      <c r="J154" s="29">
        <v>652.20000000000005</v>
      </c>
      <c r="K154" s="29">
        <v>645.79999999999995</v>
      </c>
      <c r="L154" s="27">
        <f>K154*100/F154</f>
        <v>64.194831013916499</v>
      </c>
      <c r="M154" s="29">
        <f>K154*100/E154</f>
        <v>38.945844892051618</v>
      </c>
      <c r="N154" s="29">
        <f>K154*100/D154</f>
        <v>38.945844892051618</v>
      </c>
    </row>
    <row r="155" spans="1:14" ht="17.25" customHeight="1" x14ac:dyDescent="0.25">
      <c r="A155" s="24" t="s">
        <v>27</v>
      </c>
      <c r="B155" s="24"/>
      <c r="C155" s="30" t="s">
        <v>28</v>
      </c>
      <c r="D155" s="31">
        <v>67</v>
      </c>
      <c r="E155" s="46">
        <f>G155+H155+I155+J155</f>
        <v>67</v>
      </c>
      <c r="F155" s="26">
        <f>G155+H155+I155</f>
        <v>50.9</v>
      </c>
      <c r="G155" s="46">
        <v>18.3</v>
      </c>
      <c r="H155" s="46">
        <v>13.7</v>
      </c>
      <c r="I155" s="32">
        <v>18.899999999999999</v>
      </c>
      <c r="J155" s="29">
        <v>16.100000000000001</v>
      </c>
      <c r="K155" s="29">
        <v>81.400000000000006</v>
      </c>
      <c r="L155" s="27">
        <f>K155*100/F155</f>
        <v>159.92141453831044</v>
      </c>
      <c r="M155" s="29">
        <f>K155*100/E155</f>
        <v>121.49253731343285</v>
      </c>
      <c r="N155" s="29">
        <f>K155*100/D155</f>
        <v>121.49253731343285</v>
      </c>
    </row>
    <row r="156" spans="1:14" ht="41.25" customHeight="1" x14ac:dyDescent="0.25">
      <c r="A156" s="33" t="s">
        <v>31</v>
      </c>
      <c r="B156" s="33"/>
      <c r="C156" s="30" t="s">
        <v>32</v>
      </c>
      <c r="D156" s="31">
        <v>256.3</v>
      </c>
      <c r="E156" s="46">
        <f>G156+H156+I156+J156</f>
        <v>256.29999999999995</v>
      </c>
      <c r="F156" s="26">
        <f>G156+H156+I156</f>
        <v>184.2</v>
      </c>
      <c r="G156" s="46">
        <v>61.2</v>
      </c>
      <c r="H156" s="46">
        <v>61.4</v>
      </c>
      <c r="I156" s="32">
        <v>61.6</v>
      </c>
      <c r="J156" s="29">
        <v>72.099999999999994</v>
      </c>
      <c r="K156" s="29">
        <v>95.8</v>
      </c>
      <c r="L156" s="27">
        <f>K156*100/F156</f>
        <v>52.008686210640612</v>
      </c>
      <c r="M156" s="29">
        <f>K156*100/E156</f>
        <v>37.378072571205628</v>
      </c>
      <c r="N156" s="29">
        <f>K156*100/D156</f>
        <v>37.378072571205614</v>
      </c>
    </row>
    <row r="157" spans="1:14" ht="31.5" customHeight="1" x14ac:dyDescent="0.25">
      <c r="A157" s="35" t="s">
        <v>35</v>
      </c>
      <c r="B157" s="35"/>
      <c r="C157" s="30" t="s">
        <v>36</v>
      </c>
      <c r="D157" s="31"/>
      <c r="E157" s="46">
        <f>G157+H157+I157+J157</f>
        <v>500</v>
      </c>
      <c r="F157" s="26">
        <f>G157+H157+I157</f>
        <v>500</v>
      </c>
      <c r="G157" s="46"/>
      <c r="H157" s="46">
        <v>500</v>
      </c>
      <c r="I157" s="32"/>
      <c r="J157" s="29"/>
      <c r="K157" s="29">
        <v>742.1</v>
      </c>
      <c r="L157" s="27">
        <f>K157*100/F157</f>
        <v>148.41999999999999</v>
      </c>
      <c r="M157" s="29">
        <f>K157*100/E157</f>
        <v>148.41999999999999</v>
      </c>
      <c r="N157" s="29"/>
    </row>
    <row r="158" spans="1:14" ht="39.75" hidden="1" customHeight="1" x14ac:dyDescent="0.25">
      <c r="A158" s="34" t="s">
        <v>37</v>
      </c>
      <c r="B158" s="34"/>
      <c r="C158" s="30" t="s">
        <v>38</v>
      </c>
      <c r="D158" s="31"/>
      <c r="E158" s="46">
        <f>G158+H158+I158+J158</f>
        <v>0</v>
      </c>
      <c r="F158" s="26">
        <f>G158+H158+I158</f>
        <v>0</v>
      </c>
      <c r="G158" s="46"/>
      <c r="H158" s="46"/>
      <c r="I158" s="32"/>
      <c r="J158" s="29"/>
      <c r="K158" s="29"/>
      <c r="L158" s="27" t="e">
        <f>K158*100/F158</f>
        <v>#DIV/0!</v>
      </c>
      <c r="M158" s="29" t="e">
        <f>K158*100/E158</f>
        <v>#DIV/0!</v>
      </c>
      <c r="N158" s="29"/>
    </row>
    <row r="159" spans="1:14" ht="16.5" customHeight="1" x14ac:dyDescent="0.25">
      <c r="A159" s="36" t="s">
        <v>41</v>
      </c>
      <c r="B159" s="36"/>
      <c r="C159" s="30" t="s">
        <v>42</v>
      </c>
      <c r="D159" s="31"/>
      <c r="E159" s="46">
        <f>G159+H159+I159+J159</f>
        <v>87.5</v>
      </c>
      <c r="F159" s="26">
        <f>G159+H159+I159</f>
        <v>87.5</v>
      </c>
      <c r="G159" s="46"/>
      <c r="H159" s="46">
        <v>87.5</v>
      </c>
      <c r="I159" s="32"/>
      <c r="J159" s="29"/>
      <c r="K159" s="29">
        <v>92</v>
      </c>
      <c r="L159" s="27">
        <f>K159*100/F159</f>
        <v>105.14285714285714</v>
      </c>
      <c r="M159" s="29">
        <f>K159*100/E159</f>
        <v>105.14285714285714</v>
      </c>
      <c r="N159" s="29"/>
    </row>
    <row r="160" spans="1:14" ht="19.5" customHeight="1" x14ac:dyDescent="0.25">
      <c r="A160" s="34" t="s">
        <v>43</v>
      </c>
      <c r="B160" s="58"/>
      <c r="C160" s="39" t="s">
        <v>44</v>
      </c>
      <c r="D160" s="31"/>
      <c r="E160" s="46">
        <f>G160+H160+I160+J160</f>
        <v>0</v>
      </c>
      <c r="F160" s="26">
        <f>G160+H160+I160</f>
        <v>0</v>
      </c>
      <c r="G160" s="46"/>
      <c r="H160" s="46"/>
      <c r="I160" s="32"/>
      <c r="J160" s="29"/>
      <c r="K160" s="29">
        <v>-4.2</v>
      </c>
      <c r="L160" s="43"/>
      <c r="M160" s="23"/>
      <c r="N160" s="29"/>
    </row>
    <row r="161" spans="1:14" x14ac:dyDescent="0.25">
      <c r="A161" s="40" t="s">
        <v>45</v>
      </c>
      <c r="B161" s="40"/>
      <c r="C161" s="41" t="s">
        <v>46</v>
      </c>
      <c r="D161" s="42">
        <f>D162+D163+D164</f>
        <v>29090.1</v>
      </c>
      <c r="E161" s="42">
        <f t="shared" ref="E161:J161" si="25">E162+E163+E164</f>
        <v>38253.699999999997</v>
      </c>
      <c r="F161" s="42">
        <f t="shared" si="25"/>
        <v>31798.599999999995</v>
      </c>
      <c r="G161" s="42">
        <f t="shared" si="25"/>
        <v>21775.899999999998</v>
      </c>
      <c r="H161" s="42">
        <f t="shared" si="25"/>
        <v>-35.9</v>
      </c>
      <c r="I161" s="42">
        <f t="shared" si="25"/>
        <v>10058.6</v>
      </c>
      <c r="J161" s="42">
        <f t="shared" si="25"/>
        <v>6455.1</v>
      </c>
      <c r="K161" s="42">
        <f>K162+K163+K164</f>
        <v>25170</v>
      </c>
      <c r="L161" s="43">
        <f>K161*100/F161</f>
        <v>79.154428182372826</v>
      </c>
      <c r="M161" s="23">
        <f>K161*100/E161</f>
        <v>65.797556837639235</v>
      </c>
      <c r="N161" s="23">
        <f>K161*100/D161</f>
        <v>86.524281456578009</v>
      </c>
    </row>
    <row r="162" spans="1:14" ht="45.75" customHeight="1" x14ac:dyDescent="0.25">
      <c r="A162" s="44" t="s">
        <v>47</v>
      </c>
      <c r="B162" s="24"/>
      <c r="C162" s="45" t="s">
        <v>48</v>
      </c>
      <c r="D162" s="46">
        <v>29090.1</v>
      </c>
      <c r="E162" s="46">
        <f>G162+H162+I162+J162</f>
        <v>38724.399999999994</v>
      </c>
      <c r="F162" s="26">
        <f>G162+H162+I162</f>
        <v>32269.299999999996</v>
      </c>
      <c r="G162" s="46">
        <f>22182.5+64.1</f>
        <v>22246.6</v>
      </c>
      <c r="H162" s="46">
        <v>-35.9</v>
      </c>
      <c r="I162" s="32">
        <v>10058.6</v>
      </c>
      <c r="J162" s="29">
        <v>6455.1</v>
      </c>
      <c r="K162" s="29">
        <v>25640.7</v>
      </c>
      <c r="L162" s="27">
        <f>K162*100/F162</f>
        <v>79.458494606328628</v>
      </c>
      <c r="M162" s="29">
        <f>K162*100/E162</f>
        <v>66.213291877989079</v>
      </c>
      <c r="N162" s="29">
        <f>K162*100/D162</f>
        <v>88.14235770932379</v>
      </c>
    </row>
    <row r="163" spans="1:14" hidden="1" x14ac:dyDescent="0.25">
      <c r="A163" s="44" t="s">
        <v>49</v>
      </c>
      <c r="B163" s="44"/>
      <c r="C163" s="47" t="s">
        <v>50</v>
      </c>
      <c r="D163" s="47"/>
      <c r="E163" s="46">
        <f>G163+H163+I163+J163</f>
        <v>0</v>
      </c>
      <c r="F163" s="26">
        <f>G163+H163+I163</f>
        <v>0</v>
      </c>
      <c r="G163" s="46"/>
      <c r="H163" s="46"/>
      <c r="I163" s="32"/>
      <c r="J163" s="29"/>
      <c r="K163" s="29"/>
      <c r="L163" s="27" t="e">
        <f>K163*100/F163</f>
        <v>#DIV/0!</v>
      </c>
      <c r="M163" s="29" t="e">
        <f>K163*100/E163</f>
        <v>#DIV/0!</v>
      </c>
      <c r="N163" s="29"/>
    </row>
    <row r="164" spans="1:14" ht="48.75" customHeight="1" x14ac:dyDescent="0.25">
      <c r="A164" s="44" t="s">
        <v>53</v>
      </c>
      <c r="B164" s="50"/>
      <c r="C164" s="51" t="s">
        <v>54</v>
      </c>
      <c r="D164" s="47"/>
      <c r="E164" s="46">
        <f>G164+H164+I164+J164</f>
        <v>-470.7</v>
      </c>
      <c r="F164" s="26">
        <f>G164+H164+I164</f>
        <v>-470.7</v>
      </c>
      <c r="G164" s="46">
        <v>-470.7</v>
      </c>
      <c r="H164" s="46"/>
      <c r="I164" s="32"/>
      <c r="J164" s="29"/>
      <c r="K164" s="29">
        <v>-470.7</v>
      </c>
      <c r="L164" s="27">
        <f>K164*100/F164</f>
        <v>100</v>
      </c>
      <c r="M164" s="29">
        <f>K164*100/E164</f>
        <v>100</v>
      </c>
      <c r="N164" s="29"/>
    </row>
    <row r="165" spans="1:14" ht="22.5" customHeight="1" x14ac:dyDescent="0.25">
      <c r="A165" s="36"/>
      <c r="B165" s="53"/>
      <c r="C165" s="54" t="s">
        <v>55</v>
      </c>
      <c r="D165" s="23">
        <f t="shared" ref="D165:J165" si="26">D161+D150</f>
        <v>51967</v>
      </c>
      <c r="E165" s="23">
        <f t="shared" si="26"/>
        <v>61810.7</v>
      </c>
      <c r="F165" s="23">
        <f t="shared" si="26"/>
        <v>49594.099999999991</v>
      </c>
      <c r="G165" s="23">
        <f t="shared" si="26"/>
        <v>27210.5</v>
      </c>
      <c r="H165" s="23">
        <f t="shared" si="26"/>
        <v>6105.5</v>
      </c>
      <c r="I165" s="23">
        <f t="shared" si="26"/>
        <v>16278.1</v>
      </c>
      <c r="J165" s="23">
        <f t="shared" si="26"/>
        <v>12216.6</v>
      </c>
      <c r="K165" s="23">
        <f>K161+K150</f>
        <v>42326</v>
      </c>
      <c r="L165" s="43">
        <f>K165*100/F165</f>
        <v>85.344829324455944</v>
      </c>
      <c r="M165" s="23">
        <f>K165*100/E165</f>
        <v>68.476817120660343</v>
      </c>
      <c r="N165" s="23">
        <f>K165*100/D165</f>
        <v>81.447841899667097</v>
      </c>
    </row>
    <row r="166" spans="1:14" x14ac:dyDescent="0.25">
      <c r="A166" s="55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43"/>
      <c r="M166" s="23"/>
      <c r="N166" s="29"/>
    </row>
    <row r="167" spans="1:14" x14ac:dyDescent="0.25">
      <c r="A167" s="18" t="s">
        <v>67</v>
      </c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 x14ac:dyDescent="0.25">
      <c r="A168" s="40" t="s">
        <v>17</v>
      </c>
      <c r="B168" s="40"/>
      <c r="C168" s="57" t="s">
        <v>18</v>
      </c>
      <c r="D168" s="43">
        <f t="shared" ref="D168:J168" si="27">D169+D172+D173+D174+D176+D177+D178+D175+D170+D171</f>
        <v>7424.0999999999995</v>
      </c>
      <c r="E168" s="43">
        <f t="shared" si="27"/>
        <v>7424.0999999999995</v>
      </c>
      <c r="F168" s="43">
        <f t="shared" si="27"/>
        <v>5005.7</v>
      </c>
      <c r="G168" s="43">
        <f t="shared" si="27"/>
        <v>1540.9</v>
      </c>
      <c r="H168" s="43">
        <f t="shared" si="27"/>
        <v>1799.1</v>
      </c>
      <c r="I168" s="43">
        <f t="shared" si="27"/>
        <v>1665.6999999999998</v>
      </c>
      <c r="J168" s="43">
        <f t="shared" si="27"/>
        <v>2418.3999999999996</v>
      </c>
      <c r="K168" s="43">
        <f>K169+K172+K173+K174+K176+K177+K178+K175+K170+K171-0.1</f>
        <v>4402.7999999999993</v>
      </c>
      <c r="L168" s="43">
        <f>K168*100/F168</f>
        <v>87.955730467267301</v>
      </c>
      <c r="M168" s="23">
        <f>K168*100/E168</f>
        <v>59.304158079767241</v>
      </c>
      <c r="N168" s="23">
        <f>K168*100/D168</f>
        <v>59.304158079767241</v>
      </c>
    </row>
    <row r="169" spans="1:14" ht="24" customHeight="1" x14ac:dyDescent="0.25">
      <c r="A169" s="24" t="s">
        <v>19</v>
      </c>
      <c r="B169" s="24"/>
      <c r="C169" s="25" t="s">
        <v>20</v>
      </c>
      <c r="D169" s="31">
        <v>3000</v>
      </c>
      <c r="E169" s="46">
        <f>G169+H169+I169+J169</f>
        <v>3000</v>
      </c>
      <c r="F169" s="26">
        <f>G169+H169+I169</f>
        <v>2180</v>
      </c>
      <c r="G169" s="31">
        <v>730</v>
      </c>
      <c r="H169" s="31">
        <v>791.7</v>
      </c>
      <c r="I169" s="32">
        <v>658.3</v>
      </c>
      <c r="J169" s="29">
        <v>820</v>
      </c>
      <c r="K169" s="29">
        <v>1701.6</v>
      </c>
      <c r="L169" s="27">
        <f>K169*100/F169</f>
        <v>78.055045871559628</v>
      </c>
      <c r="M169" s="29">
        <f>K169*100/E169</f>
        <v>56.72</v>
      </c>
      <c r="N169" s="29">
        <f>K169*100/D169</f>
        <v>56.72</v>
      </c>
    </row>
    <row r="170" spans="1:14" ht="40.5" customHeight="1" x14ac:dyDescent="0.25">
      <c r="A170" s="24" t="s">
        <v>21</v>
      </c>
      <c r="B170" s="24"/>
      <c r="C170" s="30" t="s">
        <v>22</v>
      </c>
      <c r="D170" s="31">
        <v>2791.2</v>
      </c>
      <c r="E170" s="46">
        <f>G170+H170+I170+J170</f>
        <v>2791.2</v>
      </c>
      <c r="F170" s="26">
        <f>G170+H170+I170</f>
        <v>2093.3999999999996</v>
      </c>
      <c r="G170" s="31">
        <v>697.8</v>
      </c>
      <c r="H170" s="31">
        <v>697.8</v>
      </c>
      <c r="I170" s="32">
        <v>697.8</v>
      </c>
      <c r="J170" s="29">
        <v>697.8</v>
      </c>
      <c r="K170" s="29">
        <v>2008.6</v>
      </c>
      <c r="L170" s="27">
        <f>K170*100/F170</f>
        <v>95.949173593197685</v>
      </c>
      <c r="M170" s="29">
        <f>K170*100/E170</f>
        <v>71.961880194898256</v>
      </c>
      <c r="N170" s="29">
        <f>K170*100/D170</f>
        <v>71.961880194898256</v>
      </c>
    </row>
    <row r="171" spans="1:14" ht="15" customHeight="1" x14ac:dyDescent="0.25">
      <c r="A171" s="24" t="s">
        <v>23</v>
      </c>
      <c r="B171" s="24"/>
      <c r="C171" s="30" t="s">
        <v>24</v>
      </c>
      <c r="D171" s="31">
        <v>0</v>
      </c>
      <c r="E171" s="46">
        <f>G171+H171+I171+J171</f>
        <v>23.5</v>
      </c>
      <c r="F171" s="26">
        <f>G171+H171+I171</f>
        <v>23.5</v>
      </c>
      <c r="G171" s="31"/>
      <c r="H171" s="31">
        <v>23.5</v>
      </c>
      <c r="I171" s="32"/>
      <c r="J171" s="29"/>
      <c r="K171" s="29">
        <v>23.7</v>
      </c>
      <c r="L171" s="27">
        <f>K171*100/F171</f>
        <v>100.85106382978724</v>
      </c>
      <c r="M171" s="29">
        <f>K171*100/E171</f>
        <v>100.85106382978724</v>
      </c>
      <c r="N171" s="29"/>
    </row>
    <row r="172" spans="1:14" ht="18.75" customHeight="1" x14ac:dyDescent="0.25">
      <c r="A172" s="24" t="s">
        <v>25</v>
      </c>
      <c r="B172" s="24"/>
      <c r="C172" s="30" t="s">
        <v>26</v>
      </c>
      <c r="D172" s="31">
        <v>818.5</v>
      </c>
      <c r="E172" s="46">
        <f>G172+H172+I172+J172</f>
        <v>818.5</v>
      </c>
      <c r="F172" s="26">
        <f>G172+H172+I172</f>
        <v>212</v>
      </c>
      <c r="G172" s="31"/>
      <c r="H172" s="31">
        <v>106</v>
      </c>
      <c r="I172" s="32">
        <v>106</v>
      </c>
      <c r="J172" s="29">
        <v>606.5</v>
      </c>
      <c r="K172" s="29">
        <v>247.7</v>
      </c>
      <c r="L172" s="27">
        <f>K172*100/F172</f>
        <v>116.83962264150944</v>
      </c>
      <c r="M172" s="29">
        <f>K172*100/E172</f>
        <v>30.262675626145388</v>
      </c>
      <c r="N172" s="29">
        <f>K172*100/D172</f>
        <v>30.262675626145388</v>
      </c>
    </row>
    <row r="173" spans="1:14" ht="21" customHeight="1" x14ac:dyDescent="0.25">
      <c r="A173" s="24" t="s">
        <v>27</v>
      </c>
      <c r="B173" s="24"/>
      <c r="C173" s="30" t="s">
        <v>28</v>
      </c>
      <c r="D173" s="31">
        <v>8</v>
      </c>
      <c r="E173" s="46">
        <f>G173+H173+I173+J173</f>
        <v>8</v>
      </c>
      <c r="F173" s="26">
        <f>G173+H173+I173</f>
        <v>6</v>
      </c>
      <c r="G173" s="31">
        <v>2</v>
      </c>
      <c r="H173" s="31">
        <v>2</v>
      </c>
      <c r="I173" s="32">
        <v>2</v>
      </c>
      <c r="J173" s="29">
        <v>2</v>
      </c>
      <c r="K173" s="29">
        <v>8.6999999999999993</v>
      </c>
      <c r="L173" s="27">
        <f>K173*100/F173</f>
        <v>144.99999999999997</v>
      </c>
      <c r="M173" s="29">
        <f>K173*100/E173</f>
        <v>108.74999999999999</v>
      </c>
      <c r="N173" s="29">
        <f>K173*100/D173</f>
        <v>108.74999999999999</v>
      </c>
    </row>
    <row r="174" spans="1:14" ht="45.75" customHeight="1" x14ac:dyDescent="0.25">
      <c r="A174" s="33" t="s">
        <v>31</v>
      </c>
      <c r="B174" s="33"/>
      <c r="C174" s="30" t="s">
        <v>32</v>
      </c>
      <c r="D174" s="31">
        <v>806.4</v>
      </c>
      <c r="E174" s="46">
        <f>G174+H174+I174+J174</f>
        <v>782.9</v>
      </c>
      <c r="F174" s="26">
        <f>G174+H174+I174</f>
        <v>490.79999999999995</v>
      </c>
      <c r="G174" s="31">
        <v>111.1</v>
      </c>
      <c r="H174" s="31">
        <f>201.6-23.5</f>
        <v>178.1</v>
      </c>
      <c r="I174" s="32">
        <v>201.6</v>
      </c>
      <c r="J174" s="29">
        <v>292.10000000000002</v>
      </c>
      <c r="K174" s="29">
        <v>412.5</v>
      </c>
      <c r="L174" s="27">
        <f>K174*100/F174</f>
        <v>84.046454767726175</v>
      </c>
      <c r="M174" s="29">
        <f>K174*100/E174</f>
        <v>52.688721420360203</v>
      </c>
      <c r="N174" s="29">
        <f>K174*100/D174</f>
        <v>51.15327380952381</v>
      </c>
    </row>
    <row r="175" spans="1:14" ht="120" hidden="1" x14ac:dyDescent="0.25">
      <c r="A175" s="35" t="s">
        <v>35</v>
      </c>
      <c r="B175" s="35"/>
      <c r="C175" s="30" t="s">
        <v>36</v>
      </c>
      <c r="D175" s="31"/>
      <c r="E175" s="46">
        <f>G175+H175+I175+J175</f>
        <v>0</v>
      </c>
      <c r="F175" s="26">
        <f>G175+H175+I175</f>
        <v>0</v>
      </c>
      <c r="G175" s="31"/>
      <c r="H175" s="31"/>
      <c r="I175" s="32"/>
      <c r="J175" s="29"/>
      <c r="K175" s="29"/>
      <c r="L175" s="27" t="e">
        <f>K175*100/F175</f>
        <v>#DIV/0!</v>
      </c>
      <c r="M175" s="29" t="e">
        <f>K175*100/E175</f>
        <v>#DIV/0!</v>
      </c>
      <c r="N175" s="29"/>
    </row>
    <row r="176" spans="1:14" ht="96" hidden="1" x14ac:dyDescent="0.25">
      <c r="A176" s="34" t="s">
        <v>37</v>
      </c>
      <c r="B176" s="34"/>
      <c r="C176" s="30" t="s">
        <v>38</v>
      </c>
      <c r="D176" s="31"/>
      <c r="E176" s="46">
        <f>G176+H176+I176+J176</f>
        <v>0</v>
      </c>
      <c r="F176" s="26">
        <f>G176+H176+I176</f>
        <v>0</v>
      </c>
      <c r="G176" s="31"/>
      <c r="H176" s="31"/>
      <c r="I176" s="32"/>
      <c r="J176" s="29"/>
      <c r="K176" s="29"/>
      <c r="L176" s="27" t="e">
        <f>K176*100/F176</f>
        <v>#DIV/0!</v>
      </c>
      <c r="M176" s="29" t="e">
        <f>K176*100/E176</f>
        <v>#DIV/0!</v>
      </c>
      <c r="N176" s="29"/>
    </row>
    <row r="177" spans="1:14" ht="26.25" customHeight="1" x14ac:dyDescent="0.25">
      <c r="A177" s="36" t="s">
        <v>41</v>
      </c>
      <c r="B177" s="36"/>
      <c r="C177" s="30" t="s">
        <v>42</v>
      </c>
      <c r="D177" s="31"/>
      <c r="E177" s="46">
        <f>G177+H177+I177+J177</f>
        <v>0</v>
      </c>
      <c r="F177" s="26">
        <f>G177+H177+I177</f>
        <v>0</v>
      </c>
      <c r="G177" s="31"/>
      <c r="H177" s="31"/>
      <c r="I177" s="32"/>
      <c r="J177" s="29"/>
      <c r="K177" s="29">
        <v>0.1</v>
      </c>
      <c r="L177" s="27"/>
      <c r="M177" s="29"/>
      <c r="N177" s="29"/>
    </row>
    <row r="178" spans="1:14" ht="19.5" customHeight="1" x14ac:dyDescent="0.25">
      <c r="A178" s="63" t="s">
        <v>43</v>
      </c>
      <c r="B178" s="38"/>
      <c r="C178" s="39" t="s">
        <v>44</v>
      </c>
      <c r="D178" s="31"/>
      <c r="E178" s="46">
        <f>G178+H178+I178+J178</f>
        <v>0</v>
      </c>
      <c r="F178" s="26">
        <f>G178+H178+I178</f>
        <v>0</v>
      </c>
      <c r="G178" s="31"/>
      <c r="H178" s="31"/>
      <c r="I178" s="32"/>
      <c r="J178" s="29"/>
      <c r="K178" s="29"/>
      <c r="L178" s="43"/>
      <c r="M178" s="23"/>
      <c r="N178" s="29"/>
    </row>
    <row r="179" spans="1:14" x14ac:dyDescent="0.25">
      <c r="A179" s="40" t="s">
        <v>45</v>
      </c>
      <c r="B179" s="40"/>
      <c r="C179" s="41" t="s">
        <v>46</v>
      </c>
      <c r="D179" s="42">
        <f t="shared" ref="D179:K179" si="28">D180+D181</f>
        <v>28988.5</v>
      </c>
      <c r="E179" s="42">
        <f t="shared" si="28"/>
        <v>32290.400000000001</v>
      </c>
      <c r="F179" s="74">
        <f t="shared" si="28"/>
        <v>24407.8</v>
      </c>
      <c r="G179" s="74">
        <f t="shared" si="28"/>
        <v>7376</v>
      </c>
      <c r="H179" s="74">
        <f t="shared" si="28"/>
        <v>9127.5</v>
      </c>
      <c r="I179" s="42">
        <f t="shared" si="28"/>
        <v>7904.3</v>
      </c>
      <c r="J179" s="42">
        <f t="shared" si="28"/>
        <v>7882.6</v>
      </c>
      <c r="K179" s="42">
        <f t="shared" si="28"/>
        <v>22520</v>
      </c>
      <c r="L179" s="43">
        <f>K179*100/F179</f>
        <v>92.265587230311624</v>
      </c>
      <c r="M179" s="23">
        <f>K179*100/E179</f>
        <v>69.74209052845427</v>
      </c>
      <c r="N179" s="23">
        <f>K179*100/D179</f>
        <v>77.685978922676227</v>
      </c>
    </row>
    <row r="180" spans="1:14" ht="36.75" customHeight="1" x14ac:dyDescent="0.25">
      <c r="A180" s="44" t="s">
        <v>47</v>
      </c>
      <c r="B180" s="24"/>
      <c r="C180" s="45" t="s">
        <v>48</v>
      </c>
      <c r="D180" s="46">
        <v>28988.5</v>
      </c>
      <c r="E180" s="46">
        <f>G180+H180+I180+J180</f>
        <v>32290.400000000001</v>
      </c>
      <c r="F180" s="26">
        <f>G180+H180+I180</f>
        <v>24407.8</v>
      </c>
      <c r="G180" s="31">
        <f>7246+130</f>
        <v>7376</v>
      </c>
      <c r="H180" s="31">
        <v>9127.5</v>
      </c>
      <c r="I180" s="32">
        <v>7904.3</v>
      </c>
      <c r="J180" s="29">
        <v>7882.6</v>
      </c>
      <c r="K180" s="29">
        <v>22520</v>
      </c>
      <c r="L180" s="27">
        <f>K180*100/F180</f>
        <v>92.265587230311624</v>
      </c>
      <c r="M180" s="29">
        <f>K180*100/E180</f>
        <v>69.74209052845427</v>
      </c>
      <c r="N180" s="29">
        <f>K180*100/D180</f>
        <v>77.685978922676227</v>
      </c>
    </row>
    <row r="181" spans="1:14" x14ac:dyDescent="0.25">
      <c r="A181" s="44" t="s">
        <v>65</v>
      </c>
      <c r="B181" s="44"/>
      <c r="C181" s="47" t="s">
        <v>50</v>
      </c>
      <c r="D181" s="48"/>
      <c r="E181" s="46">
        <f>G181+H181+I181+J181</f>
        <v>0</v>
      </c>
      <c r="F181" s="26">
        <f>G181+H181</f>
        <v>0</v>
      </c>
      <c r="G181" s="48"/>
      <c r="H181" s="48"/>
      <c r="I181" s="32"/>
      <c r="J181" s="29"/>
      <c r="K181" s="29"/>
      <c r="L181" s="27"/>
      <c r="M181" s="29"/>
      <c r="N181" s="29"/>
    </row>
    <row r="182" spans="1:14" ht="21.75" customHeight="1" x14ac:dyDescent="0.25">
      <c r="A182" s="36"/>
      <c r="B182" s="53"/>
      <c r="C182" s="54" t="s">
        <v>55</v>
      </c>
      <c r="D182" s="23">
        <f t="shared" ref="D182:K182" si="29">D179+D168</f>
        <v>36412.6</v>
      </c>
      <c r="E182" s="23">
        <f t="shared" si="29"/>
        <v>39714.5</v>
      </c>
      <c r="F182" s="23">
        <f t="shared" si="29"/>
        <v>29413.5</v>
      </c>
      <c r="G182" s="23">
        <f t="shared" si="29"/>
        <v>8916.9</v>
      </c>
      <c r="H182" s="23">
        <f t="shared" si="29"/>
        <v>10926.6</v>
      </c>
      <c r="I182" s="23">
        <f t="shared" si="29"/>
        <v>9570</v>
      </c>
      <c r="J182" s="23">
        <f t="shared" si="29"/>
        <v>10301</v>
      </c>
      <c r="K182" s="23">
        <f t="shared" si="29"/>
        <v>26922.799999999999</v>
      </c>
      <c r="L182" s="43">
        <f>K182*100/F182</f>
        <v>91.532119604943304</v>
      </c>
      <c r="M182" s="23">
        <f>K182*100/E182</f>
        <v>67.790857243576028</v>
      </c>
      <c r="N182" s="23">
        <f>K182*100/D182</f>
        <v>73.938142291404631</v>
      </c>
    </row>
    <row r="183" spans="1:14" x14ac:dyDescent="0.25">
      <c r="A183" s="55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43"/>
      <c r="M183" s="23"/>
      <c r="N183" s="29"/>
    </row>
    <row r="184" spans="1:14" x14ac:dyDescent="0.25">
      <c r="A184" s="18" t="s">
        <v>68</v>
      </c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 x14ac:dyDescent="0.25">
      <c r="A185" s="40" t="s">
        <v>17</v>
      </c>
      <c r="B185" s="40"/>
      <c r="C185" s="57" t="s">
        <v>18</v>
      </c>
      <c r="D185" s="43">
        <f t="shared" ref="D185:J185" si="30">D186+D188+D189+D190+D191+D193+D195+D194+D192+D187</f>
        <v>25802.800000000003</v>
      </c>
      <c r="E185" s="43">
        <f t="shared" si="30"/>
        <v>26053.399999999998</v>
      </c>
      <c r="F185" s="43">
        <f t="shared" si="30"/>
        <v>18157.099999999999</v>
      </c>
      <c r="G185" s="43">
        <f t="shared" si="30"/>
        <v>5976.3</v>
      </c>
      <c r="H185" s="43">
        <f t="shared" si="30"/>
        <v>6217.3</v>
      </c>
      <c r="I185" s="43">
        <f t="shared" si="30"/>
        <v>5963.5</v>
      </c>
      <c r="J185" s="43">
        <f t="shared" si="30"/>
        <v>7896.2999999999993</v>
      </c>
      <c r="K185" s="43">
        <f>K186+K188+K189+K190+K191+K193+K195+K194+K192+K187</f>
        <v>18421.599999999999</v>
      </c>
      <c r="L185" s="43">
        <f>K185*100/F185</f>
        <v>101.45673042501279</v>
      </c>
      <c r="M185" s="23">
        <f>K185*100/E185</f>
        <v>70.707086215234867</v>
      </c>
      <c r="N185" s="23">
        <f>K185*100/D185</f>
        <v>71.393802223014546</v>
      </c>
    </row>
    <row r="186" spans="1:14" ht="19.5" customHeight="1" x14ac:dyDescent="0.25">
      <c r="A186" s="24" t="s">
        <v>19</v>
      </c>
      <c r="B186" s="24"/>
      <c r="C186" s="25" t="s">
        <v>20</v>
      </c>
      <c r="D186" s="31">
        <v>18100</v>
      </c>
      <c r="E186" s="46">
        <f>G186+H186+I186+J186</f>
        <v>18100</v>
      </c>
      <c r="F186" s="26">
        <f>G186+H186+I186</f>
        <v>13500</v>
      </c>
      <c r="G186" s="46">
        <v>4500</v>
      </c>
      <c r="H186" s="46">
        <v>4500</v>
      </c>
      <c r="I186" s="32">
        <v>4500</v>
      </c>
      <c r="J186" s="29">
        <v>4600</v>
      </c>
      <c r="K186" s="29">
        <v>13339.1</v>
      </c>
      <c r="L186" s="27">
        <f>K186*100/F186</f>
        <v>98.808148148148149</v>
      </c>
      <c r="M186" s="29">
        <f>K186*100/E186</f>
        <v>73.696685082872932</v>
      </c>
      <c r="N186" s="29">
        <f>K186*100/D186</f>
        <v>73.696685082872932</v>
      </c>
    </row>
    <row r="187" spans="1:14" ht="43.5" customHeight="1" x14ac:dyDescent="0.25">
      <c r="A187" s="24" t="s">
        <v>21</v>
      </c>
      <c r="B187" s="24"/>
      <c r="C187" s="30" t="s">
        <v>22</v>
      </c>
      <c r="D187" s="31">
        <v>4499.1000000000004</v>
      </c>
      <c r="E187" s="46">
        <f>G187+H187+I187+J187</f>
        <v>4499.0999999999995</v>
      </c>
      <c r="F187" s="26">
        <f>G187+H187+I187</f>
        <v>3365.3999999999996</v>
      </c>
      <c r="G187" s="46">
        <v>1121.8</v>
      </c>
      <c r="H187" s="46">
        <v>1121.8</v>
      </c>
      <c r="I187" s="32">
        <v>1121.8</v>
      </c>
      <c r="J187" s="29">
        <v>1133.7</v>
      </c>
      <c r="K187" s="29">
        <v>3237.7</v>
      </c>
      <c r="L187" s="27">
        <f>K187*100/F187</f>
        <v>96.205503060557447</v>
      </c>
      <c r="M187" s="29">
        <f>K187*100/E187</f>
        <v>71.963281545197944</v>
      </c>
      <c r="N187" s="29">
        <f>K187*100/D187</f>
        <v>71.96328154519793</v>
      </c>
    </row>
    <row r="188" spans="1:14" ht="48" hidden="1" x14ac:dyDescent="0.25">
      <c r="A188" s="24" t="s">
        <v>23</v>
      </c>
      <c r="B188" s="24"/>
      <c r="C188" s="30" t="s">
        <v>24</v>
      </c>
      <c r="D188" s="31">
        <v>0</v>
      </c>
      <c r="E188" s="46">
        <f>G188+H188+I188+J188</f>
        <v>0</v>
      </c>
      <c r="F188" s="26">
        <f>G188+H188+I188</f>
        <v>0</v>
      </c>
      <c r="G188" s="46"/>
      <c r="H188" s="46"/>
      <c r="I188" s="32"/>
      <c r="J188" s="29"/>
      <c r="K188" s="29"/>
      <c r="L188" s="27"/>
      <c r="M188" s="29" t="e">
        <f>K188*100/E188</f>
        <v>#DIV/0!</v>
      </c>
      <c r="N188" s="29" t="e">
        <f>K188*100/D188</f>
        <v>#DIV/0!</v>
      </c>
    </row>
    <row r="189" spans="1:14" ht="24" customHeight="1" x14ac:dyDescent="0.25">
      <c r="A189" s="24" t="s">
        <v>25</v>
      </c>
      <c r="B189" s="24"/>
      <c r="C189" s="30" t="s">
        <v>26</v>
      </c>
      <c r="D189" s="31">
        <v>2794.7</v>
      </c>
      <c r="E189" s="46">
        <f>G189+H189+I189+J189</f>
        <v>2794.7</v>
      </c>
      <c r="F189" s="26">
        <f>G189+H189+I189</f>
        <v>751.5</v>
      </c>
      <c r="G189" s="46">
        <v>250.5</v>
      </c>
      <c r="H189" s="46">
        <v>250.5</v>
      </c>
      <c r="I189" s="32">
        <v>250.5</v>
      </c>
      <c r="J189" s="29">
        <v>2043.2</v>
      </c>
      <c r="K189" s="29">
        <v>1244.4000000000001</v>
      </c>
      <c r="L189" s="27">
        <f>K189*100/F189</f>
        <v>165.58882235528944</v>
      </c>
      <c r="M189" s="29">
        <f>K189*100/E189</f>
        <v>44.527140659104745</v>
      </c>
      <c r="N189" s="29">
        <f>K189*100/D189</f>
        <v>44.527140659104745</v>
      </c>
    </row>
    <row r="190" spans="1:14" ht="23.25" customHeight="1" x14ac:dyDescent="0.25">
      <c r="A190" s="24" t="s">
        <v>27</v>
      </c>
      <c r="B190" s="24"/>
      <c r="C190" s="30" t="s">
        <v>28</v>
      </c>
      <c r="D190" s="31">
        <v>124</v>
      </c>
      <c r="E190" s="46">
        <f>G190+H190+I190+J190</f>
        <v>124</v>
      </c>
      <c r="F190" s="26">
        <f>G190+H190+I190</f>
        <v>79.599999999999994</v>
      </c>
      <c r="G190" s="46">
        <v>34</v>
      </c>
      <c r="H190" s="46">
        <v>24.4</v>
      </c>
      <c r="I190" s="32">
        <v>21.2</v>
      </c>
      <c r="J190" s="29">
        <v>44.4</v>
      </c>
      <c r="K190" s="29">
        <v>90.3</v>
      </c>
      <c r="L190" s="27">
        <f>K190*100/F190</f>
        <v>113.44221105527639</v>
      </c>
      <c r="M190" s="29">
        <f>K190*100/E190</f>
        <v>72.822580645161295</v>
      </c>
      <c r="N190" s="29">
        <f>K190*100/D190</f>
        <v>72.822580645161295</v>
      </c>
    </row>
    <row r="191" spans="1:14" ht="45.75" customHeight="1" x14ac:dyDescent="0.25">
      <c r="A191" s="33" t="s">
        <v>31</v>
      </c>
      <c r="B191" s="33"/>
      <c r="C191" s="30" t="s">
        <v>32</v>
      </c>
      <c r="D191" s="31">
        <v>285</v>
      </c>
      <c r="E191" s="46">
        <f>G191+H191+I191+J191</f>
        <v>285</v>
      </c>
      <c r="F191" s="26">
        <f>G191+H191+I191</f>
        <v>210</v>
      </c>
      <c r="G191" s="46">
        <v>70</v>
      </c>
      <c r="H191" s="46">
        <v>70</v>
      </c>
      <c r="I191" s="32">
        <v>70</v>
      </c>
      <c r="J191" s="29">
        <v>75</v>
      </c>
      <c r="K191" s="29">
        <v>167</v>
      </c>
      <c r="L191" s="27">
        <f>K191*100/F191</f>
        <v>79.523809523809518</v>
      </c>
      <c r="M191" s="29">
        <f>K191*100/E191</f>
        <v>58.596491228070178</v>
      </c>
      <c r="N191" s="29">
        <f>K191*100/D191</f>
        <v>58.596491228070178</v>
      </c>
    </row>
    <row r="192" spans="1:14" ht="33" customHeight="1" x14ac:dyDescent="0.25">
      <c r="A192" s="34" t="s">
        <v>35</v>
      </c>
      <c r="B192" s="35"/>
      <c r="C192" s="30" t="s">
        <v>36</v>
      </c>
      <c r="D192" s="31"/>
      <c r="E192" s="46">
        <f>G192+H192+I192+J192</f>
        <v>250.6</v>
      </c>
      <c r="F192" s="26">
        <f>G192+H192+I192</f>
        <v>250.6</v>
      </c>
      <c r="G192" s="46"/>
      <c r="H192" s="46">
        <v>250.6</v>
      </c>
      <c r="I192" s="32"/>
      <c r="J192" s="29"/>
      <c r="K192" s="29">
        <v>268.60000000000002</v>
      </c>
      <c r="L192" s="27">
        <f>K192*100/F192</f>
        <v>107.18276137270553</v>
      </c>
      <c r="M192" s="29">
        <f>K192*100/E192</f>
        <v>107.18276137270553</v>
      </c>
      <c r="N192" s="29"/>
    </row>
    <row r="193" spans="1:14" ht="37.5" customHeight="1" x14ac:dyDescent="0.25">
      <c r="A193" s="34" t="s">
        <v>37</v>
      </c>
      <c r="B193" s="35"/>
      <c r="C193" s="30" t="s">
        <v>38</v>
      </c>
      <c r="D193" s="31"/>
      <c r="E193" s="46">
        <f>G193+H193+I193+J193</f>
        <v>0</v>
      </c>
      <c r="F193" s="26">
        <f>G193+H193+I193</f>
        <v>0</v>
      </c>
      <c r="G193" s="46"/>
      <c r="H193" s="46"/>
      <c r="I193" s="32"/>
      <c r="J193" s="29"/>
      <c r="K193" s="29">
        <v>74.5</v>
      </c>
      <c r="L193" s="27"/>
      <c r="M193" s="29"/>
      <c r="N193" s="29"/>
    </row>
    <row r="194" spans="1:14" ht="23.25" customHeight="1" x14ac:dyDescent="0.25">
      <c r="A194" s="36" t="s">
        <v>41</v>
      </c>
      <c r="B194" s="36"/>
      <c r="C194" s="30" t="s">
        <v>42</v>
      </c>
      <c r="D194" s="31"/>
      <c r="E194" s="46">
        <f>G194+H194+I194+J194</f>
        <v>0</v>
      </c>
      <c r="F194" s="26">
        <f>G194+H194+I194</f>
        <v>0</v>
      </c>
      <c r="G194" s="46"/>
      <c r="H194" s="46"/>
      <c r="I194" s="32"/>
      <c r="J194" s="29"/>
      <c r="K194" s="29"/>
      <c r="L194" s="27"/>
      <c r="M194" s="29"/>
      <c r="N194" s="29"/>
    </row>
    <row r="195" spans="1:14" ht="22.5" customHeight="1" x14ac:dyDescent="0.25">
      <c r="A195" s="63" t="s">
        <v>43</v>
      </c>
      <c r="B195" s="38"/>
      <c r="C195" s="39" t="s">
        <v>44</v>
      </c>
      <c r="D195" s="31"/>
      <c r="E195" s="46">
        <f>G195+H195+I195+J195</f>
        <v>0</v>
      </c>
      <c r="F195" s="26">
        <f>G195+H195+I195</f>
        <v>0</v>
      </c>
      <c r="G195" s="46"/>
      <c r="H195" s="46"/>
      <c r="I195" s="32"/>
      <c r="J195" s="29"/>
      <c r="K195" s="29"/>
      <c r="L195" s="43"/>
      <c r="M195" s="23"/>
      <c r="N195" s="29"/>
    </row>
    <row r="196" spans="1:14" x14ac:dyDescent="0.25">
      <c r="A196" s="20" t="s">
        <v>45</v>
      </c>
      <c r="B196" s="40"/>
      <c r="C196" s="41" t="s">
        <v>46</v>
      </c>
      <c r="D196" s="22">
        <f t="shared" ref="D196:J196" si="31">D197</f>
        <v>36955.1</v>
      </c>
      <c r="E196" s="22">
        <f>E197+E198</f>
        <v>64902.200000000004</v>
      </c>
      <c r="F196" s="22">
        <f>F197</f>
        <v>57825.600000000006</v>
      </c>
      <c r="G196" s="22">
        <f t="shared" si="31"/>
        <v>8687.4</v>
      </c>
      <c r="H196" s="22">
        <f t="shared" si="31"/>
        <v>34029.5</v>
      </c>
      <c r="I196" s="22">
        <f t="shared" si="31"/>
        <v>15108.7</v>
      </c>
      <c r="J196" s="22">
        <f t="shared" si="31"/>
        <v>7076.6</v>
      </c>
      <c r="K196" s="22">
        <f>K197+K198</f>
        <v>34438.1</v>
      </c>
      <c r="L196" s="43">
        <f>K196*100/F196</f>
        <v>59.555110539276718</v>
      </c>
      <c r="M196" s="23">
        <f>K196*100/E196</f>
        <v>53.061529501311199</v>
      </c>
      <c r="N196" s="23">
        <f>K196*100/D196</f>
        <v>93.189032095705329</v>
      </c>
    </row>
    <row r="197" spans="1:14" ht="39.75" customHeight="1" x14ac:dyDescent="0.25">
      <c r="A197" s="77" t="s">
        <v>47</v>
      </c>
      <c r="B197" s="24"/>
      <c r="C197" s="45" t="s">
        <v>48</v>
      </c>
      <c r="D197" s="46">
        <v>36955.1</v>
      </c>
      <c r="E197" s="46">
        <f>G197+H197+I197+J197</f>
        <v>64902.200000000004</v>
      </c>
      <c r="F197" s="26">
        <f>G197+H197+I197</f>
        <v>57825.600000000006</v>
      </c>
      <c r="G197" s="46">
        <f>7939.2+748.2</f>
        <v>8687.4</v>
      </c>
      <c r="H197" s="46">
        <v>34029.5</v>
      </c>
      <c r="I197" s="32">
        <v>15108.7</v>
      </c>
      <c r="J197" s="29">
        <v>7076.6</v>
      </c>
      <c r="K197" s="29">
        <v>34438.1</v>
      </c>
      <c r="L197" s="27">
        <f>K197*100/F197</f>
        <v>59.555110539276718</v>
      </c>
      <c r="M197" s="29">
        <f>K197*100/E197</f>
        <v>53.061529501311199</v>
      </c>
      <c r="N197" s="29">
        <f>K197*100/D197</f>
        <v>93.189032095705329</v>
      </c>
    </row>
    <row r="198" spans="1:14" hidden="1" x14ac:dyDescent="0.25">
      <c r="A198" s="44" t="s">
        <v>49</v>
      </c>
      <c r="B198" s="44"/>
      <c r="C198" s="47" t="s">
        <v>50</v>
      </c>
      <c r="D198" s="46"/>
      <c r="E198" s="46">
        <f>G198+H198+I198+J198</f>
        <v>0</v>
      </c>
      <c r="F198" s="26">
        <f>G198+H198+I198</f>
        <v>0</v>
      </c>
      <c r="G198" s="46"/>
      <c r="H198" s="46"/>
      <c r="I198" s="32"/>
      <c r="J198" s="29"/>
      <c r="K198" s="29"/>
      <c r="L198" s="27" t="e">
        <f>K198*100/F198</f>
        <v>#DIV/0!</v>
      </c>
      <c r="M198" s="29" t="e">
        <f>K198*100/E198</f>
        <v>#DIV/0!</v>
      </c>
      <c r="N198" s="29"/>
    </row>
    <row r="199" spans="1:14" ht="36" x14ac:dyDescent="0.25">
      <c r="A199" s="36"/>
      <c r="B199" s="53"/>
      <c r="C199" s="54" t="s">
        <v>55</v>
      </c>
      <c r="D199" s="23">
        <f t="shared" ref="D199:K199" si="32">D196+D185</f>
        <v>62757.9</v>
      </c>
      <c r="E199" s="23">
        <f t="shared" si="32"/>
        <v>90955.6</v>
      </c>
      <c r="F199" s="23">
        <f t="shared" si="32"/>
        <v>75982.700000000012</v>
      </c>
      <c r="G199" s="23">
        <f t="shared" si="32"/>
        <v>14663.7</v>
      </c>
      <c r="H199" s="23">
        <f t="shared" si="32"/>
        <v>40246.800000000003</v>
      </c>
      <c r="I199" s="23">
        <f t="shared" si="32"/>
        <v>21072.2</v>
      </c>
      <c r="J199" s="23">
        <f t="shared" si="32"/>
        <v>14972.9</v>
      </c>
      <c r="K199" s="23">
        <f t="shared" si="32"/>
        <v>52859.7</v>
      </c>
      <c r="L199" s="43">
        <f>K199*100/F199</f>
        <v>69.568072732345641</v>
      </c>
      <c r="M199" s="23">
        <f>K199*100/E199</f>
        <v>58.115937886177427</v>
      </c>
      <c r="N199" s="23">
        <f>K199*100/D199</f>
        <v>84.2279617386815</v>
      </c>
    </row>
    <row r="200" spans="1:14" x14ac:dyDescent="0.25">
      <c r="A200" s="55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43"/>
      <c r="M200" s="23"/>
      <c r="N200" s="29"/>
    </row>
    <row r="201" spans="1:14" x14ac:dyDescent="0.25">
      <c r="A201" s="18" t="s">
        <v>69</v>
      </c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1:14" x14ac:dyDescent="0.25">
      <c r="A202" s="40" t="s">
        <v>17</v>
      </c>
      <c r="B202" s="40"/>
      <c r="C202" s="57" t="s">
        <v>18</v>
      </c>
      <c r="D202" s="43">
        <f t="shared" ref="D202:J202" si="33">D203+D206+D208+D209+D207+D210+D211+D205+D204</f>
        <v>5245.7</v>
      </c>
      <c r="E202" s="43">
        <f t="shared" si="33"/>
        <v>6004.7</v>
      </c>
      <c r="F202" s="43">
        <f t="shared" si="33"/>
        <v>4607</v>
      </c>
      <c r="G202" s="43">
        <f t="shared" si="33"/>
        <v>1265.1999999999998</v>
      </c>
      <c r="H202" s="43">
        <f t="shared" si="33"/>
        <v>1278.9000000000001</v>
      </c>
      <c r="I202" s="43">
        <f t="shared" si="33"/>
        <v>2062.9</v>
      </c>
      <c r="J202" s="43">
        <f t="shared" si="33"/>
        <v>1397.6999999999998</v>
      </c>
      <c r="K202" s="43">
        <f>K203+K206+K208+K209+K207+K210+K211+K205+K204</f>
        <v>4419.1000000000004</v>
      </c>
      <c r="L202" s="43">
        <f>K202*100/F202</f>
        <v>95.921423920121569</v>
      </c>
      <c r="M202" s="23">
        <f>K202*100/E202</f>
        <v>73.594018019218296</v>
      </c>
      <c r="N202" s="23">
        <f>K202*100/D202</f>
        <v>84.242331814629139</v>
      </c>
    </row>
    <row r="203" spans="1:14" ht="20.25" customHeight="1" x14ac:dyDescent="0.25">
      <c r="A203" s="24" t="s">
        <v>19</v>
      </c>
      <c r="B203" s="24"/>
      <c r="C203" s="25" t="s">
        <v>20</v>
      </c>
      <c r="D203" s="31">
        <v>1340</v>
      </c>
      <c r="E203" s="46">
        <f>G203+H203+I203+J203</f>
        <v>1340</v>
      </c>
      <c r="F203" s="26">
        <f>G203+H203+I203</f>
        <v>990</v>
      </c>
      <c r="G203" s="46">
        <v>330</v>
      </c>
      <c r="H203" s="46">
        <v>330</v>
      </c>
      <c r="I203" s="32">
        <v>330</v>
      </c>
      <c r="J203" s="32">
        <v>350</v>
      </c>
      <c r="K203" s="29">
        <v>914.9</v>
      </c>
      <c r="L203" s="27">
        <f>K203*100/F203</f>
        <v>92.414141414141412</v>
      </c>
      <c r="M203" s="29">
        <f>K203*100/E203</f>
        <v>68.276119402985074</v>
      </c>
      <c r="N203" s="29">
        <f>K203*100/D203</f>
        <v>68.276119402985074</v>
      </c>
    </row>
    <row r="204" spans="1:14" ht="44.25" customHeight="1" x14ac:dyDescent="0.25">
      <c r="A204" s="24" t="s">
        <v>21</v>
      </c>
      <c r="B204" s="24"/>
      <c r="C204" s="30" t="s">
        <v>22</v>
      </c>
      <c r="D204" s="31">
        <v>3475.5</v>
      </c>
      <c r="E204" s="46">
        <f>G204+H204+I204+J204</f>
        <v>3475.5</v>
      </c>
      <c r="F204" s="26">
        <f>G204+H204+I204</f>
        <v>2606.6999999999998</v>
      </c>
      <c r="G204" s="46">
        <v>868.9</v>
      </c>
      <c r="H204" s="46">
        <v>868.9</v>
      </c>
      <c r="I204" s="32">
        <v>868.9</v>
      </c>
      <c r="J204" s="32">
        <v>868.8</v>
      </c>
      <c r="K204" s="29">
        <v>2501.1</v>
      </c>
      <c r="L204" s="27">
        <f>K204*100/F204</f>
        <v>95.948900909195544</v>
      </c>
      <c r="M204" s="29">
        <f>K204*100/E204</f>
        <v>71.963746223564954</v>
      </c>
      <c r="N204" s="29">
        <f>K204*100/D204</f>
        <v>71.963746223564954</v>
      </c>
    </row>
    <row r="205" spans="1:14" ht="18.75" customHeight="1" x14ac:dyDescent="0.25">
      <c r="A205" s="24" t="s">
        <v>23</v>
      </c>
      <c r="B205" s="78" t="s">
        <v>70</v>
      </c>
      <c r="C205" s="30" t="s">
        <v>24</v>
      </c>
      <c r="D205" s="31">
        <v>7</v>
      </c>
      <c r="E205" s="46">
        <f>G205+H205+I205+J205</f>
        <v>7</v>
      </c>
      <c r="F205" s="26">
        <f>G205+H205+I205</f>
        <v>7</v>
      </c>
      <c r="G205" s="46"/>
      <c r="H205" s="46">
        <v>7</v>
      </c>
      <c r="I205" s="32"/>
      <c r="J205" s="32"/>
      <c r="K205" s="29"/>
      <c r="L205" s="27"/>
      <c r="M205" s="29">
        <f>K205*100/E205</f>
        <v>0</v>
      </c>
      <c r="N205" s="29">
        <f>K205*100/D205</f>
        <v>0</v>
      </c>
    </row>
    <row r="206" spans="1:14" ht="16.5" customHeight="1" x14ac:dyDescent="0.25">
      <c r="A206" s="24" t="s">
        <v>25</v>
      </c>
      <c r="B206" s="24"/>
      <c r="C206" s="30" t="s">
        <v>26</v>
      </c>
      <c r="D206" s="31">
        <v>260.89999999999998</v>
      </c>
      <c r="E206" s="46">
        <f>G206+H206+I206+J206</f>
        <v>260.89999999999998</v>
      </c>
      <c r="F206" s="26">
        <f>G206+H206+I206</f>
        <v>124.1</v>
      </c>
      <c r="G206" s="46">
        <v>16.7</v>
      </c>
      <c r="H206" s="46">
        <v>28.2</v>
      </c>
      <c r="I206" s="32">
        <v>79.2</v>
      </c>
      <c r="J206" s="32">
        <v>136.80000000000001</v>
      </c>
      <c r="K206" s="29">
        <v>121.6</v>
      </c>
      <c r="L206" s="27">
        <f>K206*100/F206</f>
        <v>97.985495568090258</v>
      </c>
      <c r="M206" s="29">
        <f>K206*100/E206</f>
        <v>46.607895745496364</v>
      </c>
      <c r="N206" s="29">
        <f>K206*100/D206</f>
        <v>46.607895745496364</v>
      </c>
    </row>
    <row r="207" spans="1:14" ht="21.75" customHeight="1" x14ac:dyDescent="0.25">
      <c r="A207" s="24" t="s">
        <v>27</v>
      </c>
      <c r="B207" s="24"/>
      <c r="C207" s="30" t="s">
        <v>28</v>
      </c>
      <c r="D207" s="31">
        <v>19</v>
      </c>
      <c r="E207" s="46">
        <f>G207+H207+I207+J207</f>
        <v>19</v>
      </c>
      <c r="F207" s="26">
        <f>G207+H207+I207</f>
        <v>8.6999999999999993</v>
      </c>
      <c r="G207" s="46">
        <v>1.7</v>
      </c>
      <c r="H207" s="46">
        <v>3</v>
      </c>
      <c r="I207" s="32">
        <v>4</v>
      </c>
      <c r="J207" s="32">
        <v>10.3</v>
      </c>
      <c r="K207" s="29">
        <v>10.4</v>
      </c>
      <c r="L207" s="27">
        <f>K207*100/F207</f>
        <v>119.54022988505749</v>
      </c>
      <c r="M207" s="29">
        <f>K207*100/E207</f>
        <v>54.736842105263158</v>
      </c>
      <c r="N207" s="29">
        <f>K207*100/D207</f>
        <v>54.736842105263158</v>
      </c>
    </row>
    <row r="208" spans="1:14" ht="42" customHeight="1" x14ac:dyDescent="0.25">
      <c r="A208" s="33" t="s">
        <v>31</v>
      </c>
      <c r="B208" s="33"/>
      <c r="C208" s="30" t="s">
        <v>32</v>
      </c>
      <c r="D208" s="31">
        <v>143.30000000000001</v>
      </c>
      <c r="E208" s="46">
        <f>G208+H208+I208+J208</f>
        <v>153.29999999999998</v>
      </c>
      <c r="F208" s="26">
        <f>G208+H208+I208</f>
        <v>121.49999999999999</v>
      </c>
      <c r="G208" s="46">
        <v>47.9</v>
      </c>
      <c r="H208" s="46">
        <f>31.8+10</f>
        <v>41.8</v>
      </c>
      <c r="I208" s="32">
        <v>31.8</v>
      </c>
      <c r="J208" s="32">
        <v>31.8</v>
      </c>
      <c r="K208" s="29">
        <v>98.4</v>
      </c>
      <c r="L208" s="27">
        <f>K208*100/F208</f>
        <v>80.987654320987659</v>
      </c>
      <c r="M208" s="29">
        <f>K208*100/E208</f>
        <v>64.187866927592964</v>
      </c>
      <c r="N208" s="29">
        <f>K208*100/D208</f>
        <v>68.667131891137473</v>
      </c>
    </row>
    <row r="209" spans="1:14" ht="33.75" customHeight="1" x14ac:dyDescent="0.25">
      <c r="A209" s="34" t="s">
        <v>37</v>
      </c>
      <c r="B209" s="34"/>
      <c r="C209" s="30" t="s">
        <v>38</v>
      </c>
      <c r="D209" s="31"/>
      <c r="E209" s="46">
        <f>G209+H209+I209+J209</f>
        <v>0</v>
      </c>
      <c r="F209" s="26">
        <f>G209+H209+I209</f>
        <v>0</v>
      </c>
      <c r="G209" s="46"/>
      <c r="H209" s="46"/>
      <c r="I209" s="32"/>
      <c r="J209" s="32"/>
      <c r="K209" s="29"/>
      <c r="L209" s="27" t="e">
        <f>K209*100/F209</f>
        <v>#DIV/0!</v>
      </c>
      <c r="M209" s="29" t="e">
        <f>K209*100/E209</f>
        <v>#DIV/0!</v>
      </c>
      <c r="N209" s="29" t="e">
        <f>K209*100/D209</f>
        <v>#DIV/0!</v>
      </c>
    </row>
    <row r="210" spans="1:14" ht="21" customHeight="1" x14ac:dyDescent="0.25">
      <c r="A210" s="34" t="s">
        <v>41</v>
      </c>
      <c r="B210" s="58"/>
      <c r="C210" s="30" t="s">
        <v>42</v>
      </c>
      <c r="D210" s="31"/>
      <c r="E210" s="46">
        <f>G210+H210+I210+J210</f>
        <v>0</v>
      </c>
      <c r="F210" s="26">
        <f>G210+H210+I210</f>
        <v>0</v>
      </c>
      <c r="G210" s="46"/>
      <c r="H210" s="46"/>
      <c r="I210" s="32"/>
      <c r="J210" s="32"/>
      <c r="K210" s="29">
        <v>23.9</v>
      </c>
      <c r="L210" s="27"/>
      <c r="M210" s="29"/>
      <c r="N210" s="29"/>
    </row>
    <row r="211" spans="1:14" ht="20.25" customHeight="1" x14ac:dyDescent="0.25">
      <c r="A211" s="63" t="s">
        <v>43</v>
      </c>
      <c r="B211" s="38"/>
      <c r="C211" s="39" t="s">
        <v>44</v>
      </c>
      <c r="D211" s="31"/>
      <c r="E211" s="46">
        <f>G211+H211+I211+J211</f>
        <v>749</v>
      </c>
      <c r="F211" s="26">
        <f>G211+H211+I211</f>
        <v>749</v>
      </c>
      <c r="G211" s="46"/>
      <c r="H211" s="46"/>
      <c r="I211" s="32">
        <v>749</v>
      </c>
      <c r="J211" s="32"/>
      <c r="K211" s="29">
        <v>748.8</v>
      </c>
      <c r="L211" s="27">
        <f>K211*100/F211</f>
        <v>99.973297730307081</v>
      </c>
      <c r="M211" s="29">
        <f>K211*100/E211</f>
        <v>99.973297730307081</v>
      </c>
      <c r="N211" s="29"/>
    </row>
    <row r="212" spans="1:14" x14ac:dyDescent="0.25">
      <c r="A212" s="40" t="s">
        <v>45</v>
      </c>
      <c r="B212" s="40"/>
      <c r="C212" s="41" t="s">
        <v>46</v>
      </c>
      <c r="D212" s="42">
        <f t="shared" ref="D212:J212" si="34">D213</f>
        <v>34559.5</v>
      </c>
      <c r="E212" s="42">
        <f>E213+E214</f>
        <v>49489.100000000006</v>
      </c>
      <c r="F212" s="42">
        <f t="shared" si="34"/>
        <v>43165.600000000006</v>
      </c>
      <c r="G212" s="42">
        <f t="shared" si="34"/>
        <v>6813.3</v>
      </c>
      <c r="H212" s="42">
        <f t="shared" si="34"/>
        <v>28805.4</v>
      </c>
      <c r="I212" s="42">
        <f t="shared" si="34"/>
        <v>7546.9</v>
      </c>
      <c r="J212" s="42">
        <f t="shared" si="34"/>
        <v>6208.5</v>
      </c>
      <c r="K212" s="42">
        <f>K213+K214</f>
        <v>31614.1</v>
      </c>
      <c r="L212" s="43">
        <f>K212*100/F212</f>
        <v>73.239107066738313</v>
      </c>
      <c r="M212" s="23">
        <f>K212*100/E212</f>
        <v>63.880935397895691</v>
      </c>
      <c r="N212" s="23">
        <f>K212*100/D212</f>
        <v>91.477307252709096</v>
      </c>
    </row>
    <row r="213" spans="1:14" ht="39" customHeight="1" x14ac:dyDescent="0.25">
      <c r="A213" s="44" t="s">
        <v>47</v>
      </c>
      <c r="B213" s="24"/>
      <c r="C213" s="45" t="s">
        <v>48</v>
      </c>
      <c r="D213" s="46">
        <v>34559.5</v>
      </c>
      <c r="E213" s="46">
        <f>G213+H213+I213+J213</f>
        <v>49374.100000000006</v>
      </c>
      <c r="F213" s="26">
        <f>G213+H213+I213</f>
        <v>43165.600000000006</v>
      </c>
      <c r="G213" s="46">
        <v>6813.3</v>
      </c>
      <c r="H213" s="46">
        <v>28805.4</v>
      </c>
      <c r="I213" s="32">
        <v>7546.9</v>
      </c>
      <c r="J213" s="32">
        <v>6208.5</v>
      </c>
      <c r="K213" s="29">
        <v>31499.1</v>
      </c>
      <c r="L213" s="27">
        <f>K213*100/F213</f>
        <v>72.972691217080254</v>
      </c>
      <c r="M213" s="29">
        <f>K213*100/E213</f>
        <v>63.796808448153982</v>
      </c>
      <c r="N213" s="29">
        <f>K213*100/D213</f>
        <v>91.144547808851399</v>
      </c>
    </row>
    <row r="214" spans="1:14" x14ac:dyDescent="0.25">
      <c r="A214" s="44" t="s">
        <v>49</v>
      </c>
      <c r="B214" s="44"/>
      <c r="C214" s="47" t="s">
        <v>50</v>
      </c>
      <c r="D214" s="46"/>
      <c r="E214" s="46">
        <f>G214+H214+I214+J214</f>
        <v>115</v>
      </c>
      <c r="F214" s="26">
        <f>G214+H214+I214</f>
        <v>115</v>
      </c>
      <c r="G214" s="46"/>
      <c r="H214" s="46">
        <v>115</v>
      </c>
      <c r="I214" s="32"/>
      <c r="J214" s="32"/>
      <c r="K214" s="29">
        <v>115</v>
      </c>
      <c r="L214" s="27">
        <f>K214*100/F214</f>
        <v>100</v>
      </c>
      <c r="M214" s="29">
        <f>K214*100/E214</f>
        <v>100</v>
      </c>
      <c r="N214" s="29"/>
    </row>
    <row r="215" spans="1:14" ht="19.5" customHeight="1" x14ac:dyDescent="0.25">
      <c r="A215" s="36"/>
      <c r="B215" s="53"/>
      <c r="C215" s="54" t="s">
        <v>55</v>
      </c>
      <c r="D215" s="23">
        <f t="shared" ref="D215:J215" si="35">D212+D202</f>
        <v>39805.199999999997</v>
      </c>
      <c r="E215" s="23">
        <f t="shared" si="35"/>
        <v>55493.8</v>
      </c>
      <c r="F215" s="23">
        <f t="shared" si="35"/>
        <v>47772.600000000006</v>
      </c>
      <c r="G215" s="22">
        <f t="shared" si="35"/>
        <v>8078.5</v>
      </c>
      <c r="H215" s="22">
        <f t="shared" si="35"/>
        <v>30084.300000000003</v>
      </c>
      <c r="I215" s="22">
        <f t="shared" si="35"/>
        <v>9609.7999999999993</v>
      </c>
      <c r="J215" s="22">
        <f t="shared" si="35"/>
        <v>7606.2</v>
      </c>
      <c r="K215" s="23">
        <f>K212+K202</f>
        <v>36033.199999999997</v>
      </c>
      <c r="L215" s="43">
        <f>K215*100/F215</f>
        <v>75.426499709038211</v>
      </c>
      <c r="M215" s="23">
        <f>K215*100/E215</f>
        <v>64.931938342661695</v>
      </c>
      <c r="N215" s="23">
        <f>K215*100/D215</f>
        <v>90.523851155125456</v>
      </c>
    </row>
    <row r="216" spans="1:14" x14ac:dyDescent="0.25">
      <c r="A216" s="55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43"/>
      <c r="M216" s="23"/>
      <c r="N216" s="29"/>
    </row>
    <row r="217" spans="1:14" x14ac:dyDescent="0.25">
      <c r="A217" s="18" t="s">
        <v>71</v>
      </c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</row>
    <row r="218" spans="1:14" x14ac:dyDescent="0.25">
      <c r="A218" s="40" t="s">
        <v>17</v>
      </c>
      <c r="B218" s="79"/>
      <c r="C218" s="57" t="s">
        <v>18</v>
      </c>
      <c r="D218" s="43">
        <f t="shared" ref="D218:J218" si="36">D219+D221+D222+D223+D225+D226+D228+D230+D227+D224+D231+D229+D220</f>
        <v>992028.50000000012</v>
      </c>
      <c r="E218" s="43">
        <f t="shared" si="36"/>
        <v>1103477.2</v>
      </c>
      <c r="F218" s="43">
        <f t="shared" si="36"/>
        <v>832884.7</v>
      </c>
      <c r="G218" s="43">
        <f t="shared" si="36"/>
        <v>282514.89999999997</v>
      </c>
      <c r="H218" s="43">
        <f t="shared" si="36"/>
        <v>322236.20000000007</v>
      </c>
      <c r="I218" s="43">
        <f t="shared" si="36"/>
        <v>228133.60000000003</v>
      </c>
      <c r="J218" s="43">
        <f t="shared" si="36"/>
        <v>270592.5</v>
      </c>
      <c r="K218" s="43">
        <f>K219+K221+K222+K223+K225+K226+K228+K230+K227+K224+K231+K229+K220</f>
        <v>759786.9</v>
      </c>
      <c r="L218" s="43">
        <f>K218*100/F218</f>
        <v>91.223539104512312</v>
      </c>
      <c r="M218" s="23">
        <f>K218*100/E218</f>
        <v>68.853882980092393</v>
      </c>
      <c r="N218" s="23">
        <f>K218*100/D218</f>
        <v>76.58922097500222</v>
      </c>
    </row>
    <row r="219" spans="1:14" ht="22.5" customHeight="1" x14ac:dyDescent="0.25">
      <c r="A219" s="24" t="s">
        <v>19</v>
      </c>
      <c r="B219" s="24"/>
      <c r="C219" s="25" t="s">
        <v>20</v>
      </c>
      <c r="D219" s="29">
        <f>D9+D31+D47+D65+D82+D100+D116+D133+D151+D169+D186+D203</f>
        <v>722151.9</v>
      </c>
      <c r="E219" s="46">
        <f>G219+H219+I219+J219</f>
        <v>725762.39999999991</v>
      </c>
      <c r="F219" s="26">
        <f>G219+H219+I219</f>
        <v>534295.19999999995</v>
      </c>
      <c r="G219" s="29">
        <f>G9+G31+G47+G65+G82+G100+G116+G133+G151+G169+G186+G203</f>
        <v>177564.3</v>
      </c>
      <c r="H219" s="29">
        <f>H9+H31+H47+H65+H82+H100+H116+H133+H151+H169+H186+H203</f>
        <v>189005.40000000002</v>
      </c>
      <c r="I219" s="29">
        <f>I9+I31+I47+I65+I82+I100+I116+I133+I151+I169+I186+I203</f>
        <v>167725.5</v>
      </c>
      <c r="J219" s="29">
        <f>J9+J31+J47+J65+J82+J100+J116+J133+J151+J169+J186+J203</f>
        <v>191467.2</v>
      </c>
      <c r="K219" s="29">
        <f>K9+K31+K47+K65+K82+K100+K116+K133+K151+K169+K186+K203+0.1</f>
        <v>480705.60000000003</v>
      </c>
      <c r="L219" s="27">
        <f>K219*100/F219</f>
        <v>89.970039034601101</v>
      </c>
      <c r="M219" s="29">
        <f>K219*100/E219</f>
        <v>66.234569330127883</v>
      </c>
      <c r="N219" s="29">
        <f>K219*100/D219</f>
        <v>66.565718375870787</v>
      </c>
    </row>
    <row r="220" spans="1:14" ht="43.5" customHeight="1" x14ac:dyDescent="0.25">
      <c r="A220" s="24" t="s">
        <v>21</v>
      </c>
      <c r="B220" s="24"/>
      <c r="C220" s="30" t="s">
        <v>22</v>
      </c>
      <c r="D220" s="29">
        <f>D10+D32+D48+D66+D83+D101+D118+D134+D152+D170+D187+D204</f>
        <v>48098.299999999996</v>
      </c>
      <c r="E220" s="46">
        <f>G220+H220+I220+J220</f>
        <v>47778.299999999988</v>
      </c>
      <c r="F220" s="26">
        <f>G220+H220+I220</f>
        <v>35815.899999999994</v>
      </c>
      <c r="G220" s="29">
        <f>G10+G32+G48+G66+G83+G101+G118+G134+G152+G170+G187+G204</f>
        <v>12129.999999999998</v>
      </c>
      <c r="H220" s="29">
        <f>H10+H32+H48+H66+H83+H101+H118+H134+H152+H170+H187+H204</f>
        <v>11320.699999999999</v>
      </c>
      <c r="I220" s="29">
        <f>I10+I32+I48+I66+I83+I101+I118+I134+I152+I170+I187+I204</f>
        <v>12365.199999999999</v>
      </c>
      <c r="J220" s="29">
        <f>J10+J32+J48+J66+J83+J101+J118+J134+J152+J170+J187+J204</f>
        <v>11962.399999999998</v>
      </c>
      <c r="K220" s="29">
        <f>K10+K32+K48+K66+K83+K101+K118+K134+K152+K170+K187+K204-0.1</f>
        <v>34612.400000000001</v>
      </c>
      <c r="L220" s="27">
        <f>K220*100/F220</f>
        <v>96.639760553273845</v>
      </c>
      <c r="M220" s="29">
        <f>K220*100/E220</f>
        <v>72.443766312321713</v>
      </c>
      <c r="N220" s="29">
        <f>K220*100/D220</f>
        <v>71.961794907512328</v>
      </c>
    </row>
    <row r="221" spans="1:14" ht="19.5" customHeight="1" x14ac:dyDescent="0.25">
      <c r="A221" s="24" t="s">
        <v>23</v>
      </c>
      <c r="B221" s="78" t="s">
        <v>70</v>
      </c>
      <c r="C221" s="30" t="s">
        <v>24</v>
      </c>
      <c r="D221" s="29">
        <f>D11+D49+D67+D205+D153+D117+D188+D84+D102+D171+D119</f>
        <v>38336</v>
      </c>
      <c r="E221" s="46">
        <f>G221+H221+I221+J221</f>
        <v>47455.199999999997</v>
      </c>
      <c r="F221" s="26">
        <f>G221+H221+I221</f>
        <v>41731.5</v>
      </c>
      <c r="G221" s="29">
        <f>G11+G49+G67+G205+G153+G188+G84+G102+G171+G119</f>
        <v>14890.099999999999</v>
      </c>
      <c r="H221" s="29">
        <f>H11+H49+H67+H205+H153+H188+H84+H102+H171+H119</f>
        <v>20546.400000000001</v>
      </c>
      <c r="I221" s="29">
        <f>I11+I49+I67+I205+I153+I188+I84+I102+I171+I119</f>
        <v>6295</v>
      </c>
      <c r="J221" s="29">
        <f>J11+J49+J67+J205+J153+J188+J84+J102+J171+J119</f>
        <v>5723.7</v>
      </c>
      <c r="K221" s="29">
        <f>K11+K49+K67+K205+K153+K117+K188+K84+K102+K171+K119</f>
        <v>52651.899999999994</v>
      </c>
      <c r="L221" s="27">
        <f>K221*100/F221</f>
        <v>126.16824221511327</v>
      </c>
      <c r="M221" s="29">
        <f>K221*100/E221</f>
        <v>110.95074933832329</v>
      </c>
      <c r="N221" s="29">
        <f>K221*100/D221</f>
        <v>137.34322829716191</v>
      </c>
    </row>
    <row r="222" spans="1:14" ht="22.5" customHeight="1" x14ac:dyDescent="0.25">
      <c r="A222" s="24" t="s">
        <v>25</v>
      </c>
      <c r="B222" s="78" t="s">
        <v>72</v>
      </c>
      <c r="C222" s="30" t="s">
        <v>26</v>
      </c>
      <c r="D222" s="29">
        <f>D12+D33+D50+D68+D85+D103+D120+D135+D154+D172+D189+D206</f>
        <v>28415.800000000007</v>
      </c>
      <c r="E222" s="46">
        <f>G222+H222+I222+J222</f>
        <v>28672.800000000003</v>
      </c>
      <c r="F222" s="26">
        <f>G222+H222+I222</f>
        <v>12999.400000000001</v>
      </c>
      <c r="G222" s="29">
        <f>G12+G33+G50+G68+G85+G103+G120+G135+G154+G172+G189+G206</f>
        <v>4576.5</v>
      </c>
      <c r="H222" s="29">
        <f>H12+H33+H50+H68+H85+H103+H120+H135+H154+H172+H189+H206</f>
        <v>3791.2</v>
      </c>
      <c r="I222" s="29">
        <f>I12+I33+I50+I68+I85+I103+I120+I135+I154+I172+I189+I206</f>
        <v>4631.7</v>
      </c>
      <c r="J222" s="29">
        <f>J12+J33+J50+J68+J85+J103+J120+J135+J154+J172+J189+J206</f>
        <v>15673.400000000003</v>
      </c>
      <c r="K222" s="29">
        <f>K12+K33+K50+K68+K85+K103+K120+K135+K154+K172+K189+K206</f>
        <v>13624.3</v>
      </c>
      <c r="L222" s="27">
        <f>K222*100/F222</f>
        <v>104.80714494515131</v>
      </c>
      <c r="M222" s="29">
        <f>K222*100/E222</f>
        <v>47.516461594263546</v>
      </c>
      <c r="N222" s="29">
        <f>K222*100/D222</f>
        <v>47.946213022332635</v>
      </c>
    </row>
    <row r="223" spans="1:14" ht="18.75" customHeight="1" x14ac:dyDescent="0.25">
      <c r="A223" s="24" t="s">
        <v>27</v>
      </c>
      <c r="B223" s="78" t="s">
        <v>73</v>
      </c>
      <c r="C223" s="30" t="s">
        <v>28</v>
      </c>
      <c r="D223" s="29">
        <f>D13+D34+D51+D69+D86+D104+D121+D136+D155+D173+D190+D207</f>
        <v>4091</v>
      </c>
      <c r="E223" s="46">
        <f>G223+H223+I223+J223</f>
        <v>4091</v>
      </c>
      <c r="F223" s="26">
        <f>G223+H223+I223</f>
        <v>3019.3</v>
      </c>
      <c r="G223" s="29">
        <f>G13+G34+G69+G86+G104+G121+G136+G155+G173+G190+G207+G51</f>
        <v>964.6</v>
      </c>
      <c r="H223" s="29">
        <f>H13+H34+H69+H86+H104+H121+H136+H155+H173+H190+H207+H51</f>
        <v>1037.7</v>
      </c>
      <c r="I223" s="29">
        <f>I13+I34+I69+I86+I104+I121+I136+I155+I173+I190+I207+I51</f>
        <v>1016.9999999999999</v>
      </c>
      <c r="J223" s="29">
        <f>J13+J34+J69+J86+J104+J121+J136+J155+J173+J190+J207+J51</f>
        <v>1071.7</v>
      </c>
      <c r="K223" s="29">
        <f>K13+K34+K69+K86+K104+K121+K136+K155+K173+K190+K207+K51+0.1</f>
        <v>3029.2999999999997</v>
      </c>
      <c r="L223" s="27">
        <f>K223*100/F223</f>
        <v>100.33120259662836</v>
      </c>
      <c r="M223" s="29">
        <f>K223*100/E223</f>
        <v>74.047910046443405</v>
      </c>
      <c r="N223" s="29">
        <f>K223*100/D223</f>
        <v>74.047910046443405</v>
      </c>
    </row>
    <row r="224" spans="1:14" ht="156" hidden="1" x14ac:dyDescent="0.25">
      <c r="A224" s="24" t="s">
        <v>29</v>
      </c>
      <c r="B224" s="78" t="s">
        <v>74</v>
      </c>
      <c r="C224" s="30" t="s">
        <v>30</v>
      </c>
      <c r="D224" s="80">
        <f>D14</f>
        <v>0</v>
      </c>
      <c r="E224" s="46">
        <f>G224+H224+I224+J224</f>
        <v>0</v>
      </c>
      <c r="F224" s="26">
        <f>G224+H224+I224</f>
        <v>0</v>
      </c>
      <c r="G224" s="80">
        <f>G14</f>
        <v>0</v>
      </c>
      <c r="H224" s="80">
        <f>H14</f>
        <v>0</v>
      </c>
      <c r="I224" s="80">
        <f>I14</f>
        <v>0</v>
      </c>
      <c r="J224" s="80">
        <f>J14</f>
        <v>0</v>
      </c>
      <c r="K224" s="80">
        <f>K14</f>
        <v>0</v>
      </c>
      <c r="L224" s="27"/>
      <c r="M224" s="29"/>
      <c r="N224" s="29" t="e">
        <f>K224*100/D224</f>
        <v>#DIV/0!</v>
      </c>
    </row>
    <row r="225" spans="1:14" ht="45" customHeight="1" x14ac:dyDescent="0.25">
      <c r="A225" s="33" t="s">
        <v>31</v>
      </c>
      <c r="B225" s="81" t="s">
        <v>75</v>
      </c>
      <c r="C225" s="30" t="s">
        <v>32</v>
      </c>
      <c r="D225" s="29">
        <f>D15+D35+D52+D70+D87+D105+D122+D137+D156+D174+D191+D208</f>
        <v>114947.59999999999</v>
      </c>
      <c r="E225" s="46">
        <f>G225+H225+I225+J225</f>
        <v>120317.29999999999</v>
      </c>
      <c r="F225" s="26">
        <f>G225+H225+I225</f>
        <v>91605.299999999988</v>
      </c>
      <c r="G225" s="29">
        <f>G15+G35+G52+G70+G87+G105+G122+G137+G156+G174+G191+G208</f>
        <v>21614.3</v>
      </c>
      <c r="H225" s="29">
        <f>H15+H35+H52+H70+H87+H105+H122+H137+H156+H174+H191+H208</f>
        <v>42249.700000000004</v>
      </c>
      <c r="I225" s="29">
        <f>I15+I35+I52+I70+I87+I105+I122+I137+I156+I174+I191+I208</f>
        <v>27741.299999999996</v>
      </c>
      <c r="J225" s="29">
        <f>J15+J35+J52+J70+J87+J105+J122+J137+J156+J174+J191+J208</f>
        <v>28711.999999999996</v>
      </c>
      <c r="K225" s="29">
        <f>K15+K35+K52+K70+K87+K105+K122+K137+K156+K174+K191+K208-0.1</f>
        <v>73102.199999999983</v>
      </c>
      <c r="L225" s="27">
        <f>K225*100/F225</f>
        <v>79.80127787366014</v>
      </c>
      <c r="M225" s="29">
        <f>K225*100/E225</f>
        <v>60.75784612852847</v>
      </c>
      <c r="N225" s="29">
        <f>K225*100/D225</f>
        <v>63.596108139708868</v>
      </c>
    </row>
    <row r="226" spans="1:14" ht="30.75" customHeight="1" x14ac:dyDescent="0.25">
      <c r="A226" s="34" t="s">
        <v>33</v>
      </c>
      <c r="B226" s="82" t="s">
        <v>76</v>
      </c>
      <c r="C226" s="30" t="s">
        <v>34</v>
      </c>
      <c r="D226" s="29">
        <f>D16</f>
        <v>6005.5</v>
      </c>
      <c r="E226" s="46">
        <f>G226+H226+I226+J226</f>
        <v>16213.000000000002</v>
      </c>
      <c r="F226" s="26">
        <f>G226+H226+I226</f>
        <v>13129.600000000002</v>
      </c>
      <c r="G226" s="29">
        <f>G16</f>
        <v>5285.3</v>
      </c>
      <c r="H226" s="29">
        <f>H16</f>
        <v>4760.6000000000004</v>
      </c>
      <c r="I226" s="29">
        <f>I16</f>
        <v>3083.7</v>
      </c>
      <c r="J226" s="29">
        <f>J16</f>
        <v>3083.4</v>
      </c>
      <c r="K226" s="29">
        <f>K16</f>
        <v>15373.6</v>
      </c>
      <c r="L226" s="27">
        <f>K226*100/F226</f>
        <v>117.09115281501339</v>
      </c>
      <c r="M226" s="29">
        <f>K226*100/E226</f>
        <v>94.822673163510757</v>
      </c>
      <c r="N226" s="29">
        <f>K226*100/D226</f>
        <v>255.99200732661726</v>
      </c>
    </row>
    <row r="227" spans="1:14" ht="36" customHeight="1" x14ac:dyDescent="0.25">
      <c r="A227" s="35" t="s">
        <v>35</v>
      </c>
      <c r="B227" s="83" t="s">
        <v>77</v>
      </c>
      <c r="C227" s="30" t="s">
        <v>36</v>
      </c>
      <c r="D227" s="84">
        <f>D17+D88+D53+D106+D138+D157+D175+D192+D123+D71+D36</f>
        <v>15466.8</v>
      </c>
      <c r="E227" s="46">
        <f>G227+H227+I227+J227</f>
        <v>21097.300000000003</v>
      </c>
      <c r="F227" s="26">
        <f>G227+H227+I227</f>
        <v>15354.900000000001</v>
      </c>
      <c r="G227" s="84">
        <f>G17+G36+G123+G157+G192+G88+G106+G53</f>
        <v>4990.4000000000005</v>
      </c>
      <c r="H227" s="84">
        <f>H17+H36+H123+H157+H192+H88+H106+H53</f>
        <v>8135.8</v>
      </c>
      <c r="I227" s="84">
        <f>I17+I36+I123+I157+I192+I88+I106+I53</f>
        <v>2228.7000000000003</v>
      </c>
      <c r="J227" s="84">
        <f>J17+J36+J123+J157+J192+J88+J106+J53</f>
        <v>5742.4</v>
      </c>
      <c r="K227" s="84">
        <f>K17+K36+K123+K157+K192+K88+K106+K53+0.1</f>
        <v>19043.299999999992</v>
      </c>
      <c r="L227" s="27">
        <f>K227*100/F227</f>
        <v>124.02099655484562</v>
      </c>
      <c r="M227" s="29">
        <f>K227*100/E227</f>
        <v>90.264157024832514</v>
      </c>
      <c r="N227" s="29">
        <f>K227*100/D227</f>
        <v>123.1237230713528</v>
      </c>
    </row>
    <row r="228" spans="1:14" ht="31.5" customHeight="1" x14ac:dyDescent="0.25">
      <c r="A228" s="35" t="s">
        <v>37</v>
      </c>
      <c r="B228" s="83" t="s">
        <v>78</v>
      </c>
      <c r="C228" s="30" t="s">
        <v>38</v>
      </c>
      <c r="D228" s="29">
        <f>D18+D37+D54+D72+D89+D124+D158+D176+D193+D209+D139</f>
        <v>10909.599999999999</v>
      </c>
      <c r="E228" s="46">
        <f>G228+H228+I228+J228</f>
        <v>51471.6</v>
      </c>
      <c r="F228" s="26">
        <f>G228+H228+I228</f>
        <v>44400.6</v>
      </c>
      <c r="G228" s="29">
        <f>G18+G37+G54+G72+G89+G107+G124+G158+G176+G193+G209+G139</f>
        <v>4194.8</v>
      </c>
      <c r="H228" s="29">
        <f>H18+H37+H54+H72+H89+H107+H124+H158+H176+H193+H209+H139</f>
        <v>38207.199999999997</v>
      </c>
      <c r="I228" s="29">
        <f>I18+I37+I54+I72+I89+I107+I124+I158+I176+I193+I209+I139</f>
        <v>1998.6000000000001</v>
      </c>
      <c r="J228" s="29">
        <f>J18+J37+J54+J72+J89+J107+J124+J158+J176+J193+J209+J139</f>
        <v>7071</v>
      </c>
      <c r="K228" s="29">
        <f>K18+K37+K54+K72+K89+K124+K158+K176+K193+K209+K139</f>
        <v>17125.899999999998</v>
      </c>
      <c r="L228" s="27">
        <f>K228*100/F228</f>
        <v>38.57132561271694</v>
      </c>
      <c r="M228" s="29">
        <f>K228*100/E228</f>
        <v>33.27252310011734</v>
      </c>
      <c r="N228" s="29">
        <f>K228*100/D228</f>
        <v>156.98009092908998</v>
      </c>
    </row>
    <row r="229" spans="1:14" ht="27.75" customHeight="1" x14ac:dyDescent="0.25">
      <c r="A229" s="35" t="s">
        <v>39</v>
      </c>
      <c r="B229" s="35"/>
      <c r="C229" s="30" t="s">
        <v>40</v>
      </c>
      <c r="D229" s="29">
        <f>D19</f>
        <v>11</v>
      </c>
      <c r="E229" s="46">
        <f>G229+H229+I229+J229</f>
        <v>11</v>
      </c>
      <c r="F229" s="26">
        <f>G229+H229+I229</f>
        <v>6</v>
      </c>
      <c r="G229" s="29">
        <f>G19</f>
        <v>1</v>
      </c>
      <c r="H229" s="29">
        <f>H19</f>
        <v>3</v>
      </c>
      <c r="I229" s="29">
        <f>I19</f>
        <v>2</v>
      </c>
      <c r="J229" s="29">
        <f>J19</f>
        <v>5</v>
      </c>
      <c r="K229" s="29">
        <f>K19</f>
        <v>2</v>
      </c>
      <c r="L229" s="27">
        <f>K229*100/F229</f>
        <v>33.333333333333336</v>
      </c>
      <c r="M229" s="29">
        <f>K229*100/E229</f>
        <v>18.181818181818183</v>
      </c>
      <c r="N229" s="29">
        <f>K229*100/D229</f>
        <v>18.181818181818183</v>
      </c>
    </row>
    <row r="230" spans="1:14" ht="26.25" customHeight="1" x14ac:dyDescent="0.25">
      <c r="A230" s="36" t="s">
        <v>41</v>
      </c>
      <c r="B230" s="85" t="s">
        <v>79</v>
      </c>
      <c r="C230" s="30" t="s">
        <v>42</v>
      </c>
      <c r="D230" s="29">
        <f>D20+D194+D210+D73+D140+D55+D159+D90+D177+D107</f>
        <v>3595</v>
      </c>
      <c r="E230" s="46">
        <f>G230+H230+I230+J230</f>
        <v>39628.300000000003</v>
      </c>
      <c r="F230" s="26">
        <f>G230+H230+I230</f>
        <v>39548</v>
      </c>
      <c r="G230" s="29">
        <f>G20+G194+G210+G73+G140+G55+G159+G90+G177</f>
        <v>36303.599999999999</v>
      </c>
      <c r="H230" s="29">
        <f>H20+H194+H210+H73+H140+H55+H159+H90+H177</f>
        <v>2948.5</v>
      </c>
      <c r="I230" s="29">
        <f>I20+I194+I210+I73+I140+I55+I159+I90+I177</f>
        <v>295.89999999999998</v>
      </c>
      <c r="J230" s="29">
        <f>J20+J194+J210+J73+J140+J55+J159+J90+J177</f>
        <v>80.3</v>
      </c>
      <c r="K230" s="29">
        <f>K20+K194+K210+K73+K140+K55+K159+K90+K177+K107+K38</f>
        <v>49534.2</v>
      </c>
      <c r="L230" s="27">
        <f>K230*100/F230</f>
        <v>125.25083442904824</v>
      </c>
      <c r="M230" s="29">
        <f>K230*100/E230</f>
        <v>124.99703494724729</v>
      </c>
      <c r="N230" s="29">
        <f>K230*100/D230</f>
        <v>1377.8636995827537</v>
      </c>
    </row>
    <row r="231" spans="1:14" ht="24" customHeight="1" x14ac:dyDescent="0.25">
      <c r="A231" s="37" t="s">
        <v>43</v>
      </c>
      <c r="B231" s="86" t="s">
        <v>74</v>
      </c>
      <c r="C231" s="39" t="s">
        <v>44</v>
      </c>
      <c r="D231" s="29">
        <f>D21+D39+D56+D74+D91+D108+D126+D141+D160+D178+D195+D211</f>
        <v>0</v>
      </c>
      <c r="E231" s="46">
        <f>G231+H231+I231+J231</f>
        <v>979</v>
      </c>
      <c r="F231" s="26">
        <f>G231+H231+I231</f>
        <v>979</v>
      </c>
      <c r="G231" s="29">
        <v>0</v>
      </c>
      <c r="H231" s="29">
        <f>H21+H39+H56+H74+H91+H108+H126+H141+H160+H178+H195+H211</f>
        <v>230</v>
      </c>
      <c r="I231" s="29">
        <f>I21+I39+I56+I74+I91+I108+I126+I141+I160+I178+I195+I211</f>
        <v>749</v>
      </c>
      <c r="J231" s="29">
        <f>J21+J39+J56+J74+J91+J108+J126+J141+J160+J178+J195+J211</f>
        <v>0</v>
      </c>
      <c r="K231" s="29">
        <f>K21+K39+K56+K74+K91+K108+K126+K141+K160+K178+K195+K211</f>
        <v>982.19999999999993</v>
      </c>
      <c r="L231" s="27"/>
      <c r="M231" s="29"/>
      <c r="N231" s="29"/>
    </row>
    <row r="232" spans="1:14" x14ac:dyDescent="0.25">
      <c r="A232" s="40" t="s">
        <v>45</v>
      </c>
      <c r="B232" s="79"/>
      <c r="C232" s="41" t="s">
        <v>46</v>
      </c>
      <c r="D232" s="42">
        <f>D233+D234+D236+D235</f>
        <v>2833111.3000000003</v>
      </c>
      <c r="E232" s="42">
        <f t="shared" ref="E232:J232" si="37">E233+E234+E236+E235</f>
        <v>3028778.5</v>
      </c>
      <c r="F232" s="42">
        <f t="shared" si="37"/>
        <v>2299490.4000000004</v>
      </c>
      <c r="G232" s="42">
        <f t="shared" si="37"/>
        <v>722653</v>
      </c>
      <c r="H232" s="42">
        <f t="shared" si="37"/>
        <v>721741.79999999993</v>
      </c>
      <c r="I232" s="42">
        <f t="shared" si="37"/>
        <v>855095.6</v>
      </c>
      <c r="J232" s="42">
        <f t="shared" si="37"/>
        <v>729288.10000000009</v>
      </c>
      <c r="K232" s="42">
        <f>K233+K234+K236+K235</f>
        <v>1893718.5</v>
      </c>
      <c r="L232" s="43">
        <f>K232*100/F232</f>
        <v>82.353833701588826</v>
      </c>
      <c r="M232" s="23">
        <f>K232*100/E232</f>
        <v>62.524166095341734</v>
      </c>
      <c r="N232" s="23">
        <f>K232*100/D232</f>
        <v>66.842361611419918</v>
      </c>
    </row>
    <row r="233" spans="1:14" ht="42" customHeight="1" x14ac:dyDescent="0.25">
      <c r="A233" s="44" t="s">
        <v>47</v>
      </c>
      <c r="B233" s="78" t="s">
        <v>80</v>
      </c>
      <c r="C233" s="45" t="s">
        <v>48</v>
      </c>
      <c r="D233" s="32">
        <f>D23-39973.3</f>
        <v>2833111.3000000003</v>
      </c>
      <c r="E233" s="46">
        <f>G233+H233+I233+J233</f>
        <v>3022014</v>
      </c>
      <c r="F233" s="26">
        <f>G233+H233+I233</f>
        <v>2294435.2000000002</v>
      </c>
      <c r="G233" s="32">
        <f>G23</f>
        <v>725629.5</v>
      </c>
      <c r="H233" s="32">
        <f>H23-9654.8</f>
        <v>716715.1</v>
      </c>
      <c r="I233" s="32">
        <f>I23-9993</f>
        <v>852090.6</v>
      </c>
      <c r="J233" s="32">
        <f>J23-20425.8-17.2</f>
        <v>727578.8</v>
      </c>
      <c r="K233" s="32">
        <f>K23-20081.5+100</f>
        <v>1889930.9</v>
      </c>
      <c r="L233" s="27">
        <f>K233*100/F233</f>
        <v>82.370201607785646</v>
      </c>
      <c r="M233" s="29">
        <f>K233*100/E233</f>
        <v>62.538787047313477</v>
      </c>
      <c r="N233" s="29">
        <f>K233*100/D233</f>
        <v>66.708671134805044</v>
      </c>
    </row>
    <row r="234" spans="1:14" x14ac:dyDescent="0.25">
      <c r="A234" s="44" t="s">
        <v>49</v>
      </c>
      <c r="B234" s="44" t="s">
        <v>81</v>
      </c>
      <c r="C234" s="47" t="s">
        <v>50</v>
      </c>
      <c r="D234" s="29">
        <f>D24+D95+D181+D77</f>
        <v>0</v>
      </c>
      <c r="E234" s="46">
        <f>G234+H234+I234+J234</f>
        <v>11640</v>
      </c>
      <c r="F234" s="26">
        <f>G234+H234+I234</f>
        <v>9930.7000000000007</v>
      </c>
      <c r="G234" s="29">
        <f>G24+G95+G163+G198+G214+G146+G77+G111</f>
        <v>1500</v>
      </c>
      <c r="H234" s="29">
        <f>H24+H95+H163+H198+H214+H146+H77+H111</f>
        <v>5425.7</v>
      </c>
      <c r="I234" s="29">
        <f>I24+I95+I163+I198+I214+I146+I77+I111</f>
        <v>3005</v>
      </c>
      <c r="J234" s="29">
        <f>J24+J95+J163+J198+J214+J146+J77+J111</f>
        <v>1709.3</v>
      </c>
      <c r="K234" s="29">
        <f>K24+K95+K163+K198+K214+K146+K77+K111</f>
        <v>8674.2999999999993</v>
      </c>
      <c r="L234" s="27">
        <f>K234*100/F234</f>
        <v>87.348323884519701</v>
      </c>
      <c r="M234" s="29">
        <f>K234*100/E234</f>
        <v>74.521477663230229</v>
      </c>
      <c r="N234" s="29"/>
    </row>
    <row r="235" spans="1:14" ht="86.25" customHeight="1" x14ac:dyDescent="0.25">
      <c r="A235" s="44" t="s">
        <v>51</v>
      </c>
      <c r="B235" s="49" t="s">
        <v>52</v>
      </c>
      <c r="C235" s="39" t="s">
        <v>52</v>
      </c>
      <c r="D235" s="29"/>
      <c r="E235" s="46">
        <f>470.7-470.7</f>
        <v>0</v>
      </c>
      <c r="F235" s="26">
        <f>G235+H235+I235</f>
        <v>0</v>
      </c>
      <c r="G235" s="29">
        <f>-470.7+470.7</f>
        <v>0</v>
      </c>
      <c r="H235" s="29"/>
      <c r="I235" s="29"/>
      <c r="J235" s="29"/>
      <c r="K235" s="29"/>
      <c r="L235" s="27"/>
      <c r="M235" s="29"/>
      <c r="N235" s="29"/>
    </row>
    <row r="236" spans="1:14" ht="48" customHeight="1" x14ac:dyDescent="0.25">
      <c r="A236" s="44" t="s">
        <v>53</v>
      </c>
      <c r="B236" s="49"/>
      <c r="C236" s="51" t="s">
        <v>54</v>
      </c>
      <c r="D236" s="29">
        <f>D26</f>
        <v>0</v>
      </c>
      <c r="E236" s="46">
        <f>G236+H236+I236+J236</f>
        <v>-4875.5</v>
      </c>
      <c r="F236" s="26">
        <f>G236+H236+I236</f>
        <v>-4875.5</v>
      </c>
      <c r="G236" s="29">
        <f>G26</f>
        <v>-4476.5</v>
      </c>
      <c r="H236" s="29">
        <f>H26</f>
        <v>-399</v>
      </c>
      <c r="I236" s="29">
        <f>I26</f>
        <v>0</v>
      </c>
      <c r="J236" s="29">
        <f>J26</f>
        <v>0</v>
      </c>
      <c r="K236" s="29">
        <f>K26</f>
        <v>-4886.7</v>
      </c>
      <c r="L236" s="27">
        <f>K236*100/F236</f>
        <v>100.22972002871501</v>
      </c>
      <c r="M236" s="29">
        <f>K236*100/E236</f>
        <v>100.22972002871501</v>
      </c>
      <c r="N236" s="29"/>
    </row>
    <row r="237" spans="1:14" ht="28.5" customHeight="1" x14ac:dyDescent="0.25">
      <c r="A237" s="36"/>
      <c r="B237" s="53"/>
      <c r="C237" s="54" t="s">
        <v>55</v>
      </c>
      <c r="D237" s="23">
        <f t="shared" ref="D237:K237" si="38">D232+D218</f>
        <v>3825139.8000000003</v>
      </c>
      <c r="E237" s="23">
        <f>E232+E218</f>
        <v>4132255.7</v>
      </c>
      <c r="F237" s="23">
        <f t="shared" si="38"/>
        <v>3132375.1000000006</v>
      </c>
      <c r="G237" s="23">
        <f t="shared" si="38"/>
        <v>1005167.8999999999</v>
      </c>
      <c r="H237" s="23">
        <f t="shared" si="38"/>
        <v>1043978</v>
      </c>
      <c r="I237" s="23">
        <f t="shared" si="38"/>
        <v>1083229.2</v>
      </c>
      <c r="J237" s="23">
        <f t="shared" si="38"/>
        <v>999880.60000000009</v>
      </c>
      <c r="K237" s="23">
        <f t="shared" si="38"/>
        <v>2653505.4</v>
      </c>
      <c r="L237" s="43">
        <f>K237*100/F237</f>
        <v>84.712249181140521</v>
      </c>
      <c r="M237" s="23">
        <f>K237*100/E237</f>
        <v>64.214453137544226</v>
      </c>
      <c r="N237" s="23">
        <f>K237*100/D237</f>
        <v>69.370154784930989</v>
      </c>
    </row>
    <row r="238" spans="1:14" x14ac:dyDescent="0.25">
      <c r="A238" s="3"/>
      <c r="B238" s="3"/>
      <c r="C238" s="87"/>
      <c r="D238" s="87"/>
      <c r="E238" s="87"/>
      <c r="F238" s="87"/>
      <c r="G238" s="87"/>
      <c r="H238" s="87"/>
      <c r="I238" s="88"/>
      <c r="J238" s="3"/>
      <c r="K238" s="3"/>
      <c r="L238" s="3"/>
      <c r="M238" s="3"/>
      <c r="N238" s="3"/>
    </row>
  </sheetData>
  <mergeCells count="38">
    <mergeCell ref="A200:K200"/>
    <mergeCell ref="A201:N201"/>
    <mergeCell ref="A216:K216"/>
    <mergeCell ref="A217:N217"/>
    <mergeCell ref="A148:K148"/>
    <mergeCell ref="A149:N149"/>
    <mergeCell ref="A166:K166"/>
    <mergeCell ref="A167:N167"/>
    <mergeCell ref="A183:K183"/>
    <mergeCell ref="A184:N184"/>
    <mergeCell ref="A97:K97"/>
    <mergeCell ref="A98:N98"/>
    <mergeCell ref="A113:K113"/>
    <mergeCell ref="A114:N114"/>
    <mergeCell ref="A130:K130"/>
    <mergeCell ref="A131:N131"/>
    <mergeCell ref="C44:K44"/>
    <mergeCell ref="A45:N45"/>
    <mergeCell ref="A62:K62"/>
    <mergeCell ref="A63:N63"/>
    <mergeCell ref="A79:K79"/>
    <mergeCell ref="A80:N80"/>
    <mergeCell ref="L4:L6"/>
    <mergeCell ref="M4:M6"/>
    <mergeCell ref="N4:N6"/>
    <mergeCell ref="A7:N7"/>
    <mergeCell ref="A28:K28"/>
    <mergeCell ref="A29:N29"/>
    <mergeCell ref="A1:N1"/>
    <mergeCell ref="A2:K2"/>
    <mergeCell ref="D4:D6"/>
    <mergeCell ref="E4:E6"/>
    <mergeCell ref="F4:F6"/>
    <mergeCell ref="G4:G6"/>
    <mergeCell ref="H4:H6"/>
    <mergeCell ref="I4:I6"/>
    <mergeCell ref="J4:J6"/>
    <mergeCell ref="K4:K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6"/>
  <sheetViews>
    <sheetView tabSelected="1" workbookViewId="0">
      <selection activeCell="G153" sqref="G153"/>
    </sheetView>
  </sheetViews>
  <sheetFormatPr defaultRowHeight="15" x14ac:dyDescent="0.25"/>
  <cols>
    <col min="2" max="2" width="43.42578125" customWidth="1"/>
    <col min="3" max="3" width="15.85546875" customWidth="1"/>
    <col min="4" max="4" width="17.7109375" customWidth="1"/>
    <col min="5" max="5" width="12.140625" customWidth="1"/>
    <col min="6" max="6" width="15" customWidth="1"/>
    <col min="7" max="7" width="16.42578125" customWidth="1"/>
    <col min="8" max="8" width="16.140625" customWidth="1"/>
    <col min="9" max="9" width="14.85546875" customWidth="1"/>
    <col min="10" max="10" width="15.28515625" customWidth="1"/>
    <col min="11" max="11" width="16.140625" customWidth="1"/>
    <col min="12" max="12" width="16.7109375" customWidth="1"/>
    <col min="13" max="13" width="14.28515625" customWidth="1"/>
    <col min="14" max="14" width="14.5703125" customWidth="1"/>
    <col min="15" max="15" width="12.28515625" customWidth="1"/>
  </cols>
  <sheetData>
    <row r="1" spans="1:15" ht="15.75" x14ac:dyDescent="0.25">
      <c r="A1" s="89" t="s">
        <v>82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15.75" thickBot="1" x14ac:dyDescent="0.3">
      <c r="A2" s="90"/>
      <c r="B2" s="91"/>
      <c r="C2" s="92"/>
      <c r="D2" s="93"/>
      <c r="E2" s="94"/>
      <c r="F2" s="95"/>
      <c r="G2" s="95"/>
      <c r="H2" s="96"/>
      <c r="I2" s="96"/>
      <c r="J2" s="96"/>
      <c r="K2" s="97"/>
      <c r="L2" s="98"/>
      <c r="M2" s="97"/>
      <c r="N2" s="99"/>
      <c r="O2" s="100"/>
    </row>
    <row r="3" spans="1:15" x14ac:dyDescent="0.25">
      <c r="A3" s="101" t="s">
        <v>83</v>
      </c>
      <c r="B3" s="102" t="s">
        <v>84</v>
      </c>
      <c r="C3" s="103" t="s">
        <v>85</v>
      </c>
      <c r="D3" s="103"/>
      <c r="E3" s="103"/>
      <c r="F3" s="104" t="s">
        <v>86</v>
      </c>
      <c r="G3" s="104"/>
      <c r="H3" s="104"/>
      <c r="I3" s="105" t="s">
        <v>87</v>
      </c>
      <c r="J3" s="106"/>
      <c r="K3" s="106"/>
      <c r="L3" s="106"/>
      <c r="M3" s="106"/>
      <c r="N3" s="106"/>
      <c r="O3" s="107"/>
    </row>
    <row r="4" spans="1:15" x14ac:dyDescent="0.25">
      <c r="A4" s="108"/>
      <c r="B4" s="109"/>
      <c r="C4" s="110" t="s">
        <v>88</v>
      </c>
      <c r="D4" s="110" t="s">
        <v>89</v>
      </c>
      <c r="E4" s="111" t="s">
        <v>90</v>
      </c>
      <c r="F4" s="110" t="s">
        <v>88</v>
      </c>
      <c r="G4" s="110" t="s">
        <v>89</v>
      </c>
      <c r="H4" s="112" t="s">
        <v>90</v>
      </c>
      <c r="I4" s="113" t="s">
        <v>91</v>
      </c>
      <c r="J4" s="113" t="s">
        <v>92</v>
      </c>
      <c r="K4" s="114" t="s">
        <v>88</v>
      </c>
      <c r="L4" s="113" t="s">
        <v>93</v>
      </c>
      <c r="M4" s="113" t="s">
        <v>92</v>
      </c>
      <c r="N4" s="115" t="s">
        <v>94</v>
      </c>
      <c r="O4" s="116" t="s">
        <v>90</v>
      </c>
    </row>
    <row r="5" spans="1:15" ht="47.25" customHeight="1" x14ac:dyDescent="0.25">
      <c r="A5" s="108"/>
      <c r="B5" s="109"/>
      <c r="C5" s="117"/>
      <c r="D5" s="110"/>
      <c r="E5" s="118"/>
      <c r="F5" s="117"/>
      <c r="G5" s="110"/>
      <c r="H5" s="119"/>
      <c r="I5" s="113"/>
      <c r="J5" s="113"/>
      <c r="K5" s="120"/>
      <c r="L5" s="113"/>
      <c r="M5" s="113"/>
      <c r="N5" s="115"/>
      <c r="O5" s="121"/>
    </row>
    <row r="6" spans="1:15" x14ac:dyDescent="0.25">
      <c r="A6" s="108"/>
      <c r="B6" s="122" t="s">
        <v>95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</row>
    <row r="7" spans="1:15" ht="6.75" customHeight="1" x14ac:dyDescent="0.25">
      <c r="A7" s="108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</row>
    <row r="8" spans="1:15" hidden="1" x14ac:dyDescent="0.25">
      <c r="A8" s="108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</row>
    <row r="9" spans="1:15" hidden="1" x14ac:dyDescent="0.25">
      <c r="A9" s="123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5"/>
      <c r="M9" s="124"/>
      <c r="N9" s="124"/>
      <c r="O9" s="126"/>
    </row>
    <row r="10" spans="1:15" ht="23.25" customHeight="1" x14ac:dyDescent="0.25">
      <c r="A10" s="127" t="s">
        <v>96</v>
      </c>
      <c r="B10" s="128" t="s">
        <v>97</v>
      </c>
      <c r="C10" s="129">
        <f>SUM(C11:C18)</f>
        <v>443418.4</v>
      </c>
      <c r="D10" s="129">
        <f>SUM(D11:D18)</f>
        <v>230996</v>
      </c>
      <c r="E10" s="129">
        <f>D10/C10*100</f>
        <v>52.094365051157098</v>
      </c>
      <c r="F10" s="129">
        <f>F11+F12+F13+F14+F15+F17+F18+F16</f>
        <v>230888.4</v>
      </c>
      <c r="G10" s="129">
        <f>SUM(G11:G18)</f>
        <v>155626.70000000001</v>
      </c>
      <c r="H10" s="130">
        <f>G10/F10*100</f>
        <v>67.403429535654453</v>
      </c>
      <c r="I10" s="129">
        <f t="shared" ref="I10:N10" si="0">SUM(I11:I18)</f>
        <v>674306.8</v>
      </c>
      <c r="J10" s="129">
        <f>SUM(J11:J18)</f>
        <v>15074.199999999999</v>
      </c>
      <c r="K10" s="129">
        <f>SUM(K11:K18)</f>
        <v>659232.6</v>
      </c>
      <c r="L10" s="129">
        <f t="shared" si="0"/>
        <v>386622.7</v>
      </c>
      <c r="M10" s="129">
        <f t="shared" si="0"/>
        <v>6868</v>
      </c>
      <c r="N10" s="129">
        <f t="shared" si="0"/>
        <v>379754.7</v>
      </c>
      <c r="O10" s="131">
        <f>N10/K10*100</f>
        <v>57.605570476945466</v>
      </c>
    </row>
    <row r="11" spans="1:15" ht="27.75" customHeight="1" x14ac:dyDescent="0.25">
      <c r="A11" s="132" t="s">
        <v>98</v>
      </c>
      <c r="B11" s="133" t="s">
        <v>99</v>
      </c>
      <c r="C11" s="134">
        <v>4694</v>
      </c>
      <c r="D11" s="134">
        <v>3296.5</v>
      </c>
      <c r="E11" s="135">
        <f>D11/C11*100</f>
        <v>70.227950575202385</v>
      </c>
      <c r="F11" s="136">
        <v>46185.599999999999</v>
      </c>
      <c r="G11" s="136">
        <v>33548.9</v>
      </c>
      <c r="H11" s="137">
        <f>G11/F11*100</f>
        <v>72.639307489780364</v>
      </c>
      <c r="I11" s="138">
        <f>C11+F11</f>
        <v>50879.6</v>
      </c>
      <c r="J11" s="139"/>
      <c r="K11" s="140">
        <f>I11-J11</f>
        <v>50879.6</v>
      </c>
      <c r="L11" s="138">
        <f>D11+G11</f>
        <v>36845.4</v>
      </c>
      <c r="M11" s="139"/>
      <c r="N11" s="140">
        <f>L11-M11</f>
        <v>36845.4</v>
      </c>
      <c r="O11" s="141">
        <f t="shared" ref="O11:O115" si="1">N11/K11*100</f>
        <v>72.416842899708328</v>
      </c>
    </row>
    <row r="12" spans="1:15" ht="42.75" customHeight="1" x14ac:dyDescent="0.25">
      <c r="A12" s="132" t="s">
        <v>100</v>
      </c>
      <c r="B12" s="133" t="s">
        <v>101</v>
      </c>
      <c r="C12" s="134">
        <v>8682.5</v>
      </c>
      <c r="D12" s="134">
        <v>6491.4</v>
      </c>
      <c r="E12" s="135">
        <f t="shared" ref="E12:E20" si="2">D12/C12*100</f>
        <v>74.764180823495536</v>
      </c>
      <c r="F12" s="136">
        <v>0</v>
      </c>
      <c r="G12" s="136"/>
      <c r="H12" s="137">
        <v>0</v>
      </c>
      <c r="I12" s="138">
        <f t="shared" ref="I12:I18" si="3">C12+F12</f>
        <v>8682.5</v>
      </c>
      <c r="J12" s="139"/>
      <c r="K12" s="140">
        <f t="shared" ref="K12:K18" si="4">I12-J12</f>
        <v>8682.5</v>
      </c>
      <c r="L12" s="138">
        <f t="shared" ref="L12:L86" si="5">D12+G12</f>
        <v>6491.4</v>
      </c>
      <c r="M12" s="139"/>
      <c r="N12" s="140">
        <f t="shared" ref="N12:N86" si="6">L12-M12</f>
        <v>6491.4</v>
      </c>
      <c r="O12" s="141">
        <f t="shared" si="1"/>
        <v>74.764180823495536</v>
      </c>
    </row>
    <row r="13" spans="1:15" ht="39" customHeight="1" x14ac:dyDescent="0.25">
      <c r="A13" s="132" t="s">
        <v>102</v>
      </c>
      <c r="B13" s="133" t="s">
        <v>103</v>
      </c>
      <c r="C13" s="134">
        <v>173680.5</v>
      </c>
      <c r="D13" s="134">
        <v>112720.6</v>
      </c>
      <c r="E13" s="135">
        <f t="shared" si="2"/>
        <v>64.901125917993099</v>
      </c>
      <c r="F13" s="136">
        <v>128906.4</v>
      </c>
      <c r="G13" s="136">
        <v>91161.600000000006</v>
      </c>
      <c r="H13" s="137">
        <f>G13/F13*100</f>
        <v>70.719219526726377</v>
      </c>
      <c r="I13" s="138">
        <f t="shared" si="3"/>
        <v>302586.90000000002</v>
      </c>
      <c r="J13" s="139">
        <v>6855.4</v>
      </c>
      <c r="K13" s="140">
        <f t="shared" si="4"/>
        <v>295731.5</v>
      </c>
      <c r="L13" s="138">
        <f>D13+G13</f>
        <v>203882.2</v>
      </c>
      <c r="M13" s="139">
        <v>3427.7</v>
      </c>
      <c r="N13" s="140">
        <f>L13-M13</f>
        <v>200454.5</v>
      </c>
      <c r="O13" s="141">
        <f t="shared" si="1"/>
        <v>67.782600095018623</v>
      </c>
    </row>
    <row r="14" spans="1:15" ht="26.25" customHeight="1" x14ac:dyDescent="0.25">
      <c r="A14" s="132" t="s">
        <v>104</v>
      </c>
      <c r="B14" s="133" t="s">
        <v>105</v>
      </c>
      <c r="C14" s="134">
        <v>7.4</v>
      </c>
      <c r="D14" s="134"/>
      <c r="E14" s="135">
        <f t="shared" si="2"/>
        <v>0</v>
      </c>
      <c r="F14" s="136">
        <v>0</v>
      </c>
      <c r="G14" s="136"/>
      <c r="H14" s="137">
        <v>0</v>
      </c>
      <c r="I14" s="138">
        <f t="shared" si="3"/>
        <v>7.4</v>
      </c>
      <c r="J14" s="139"/>
      <c r="K14" s="140">
        <f t="shared" si="4"/>
        <v>7.4</v>
      </c>
      <c r="L14" s="138">
        <f>D14+G14</f>
        <v>0</v>
      </c>
      <c r="M14" s="139"/>
      <c r="N14" s="140">
        <f>L14-M14</f>
        <v>0</v>
      </c>
      <c r="O14" s="141">
        <f t="shared" si="1"/>
        <v>0</v>
      </c>
    </row>
    <row r="15" spans="1:15" ht="33" customHeight="1" x14ac:dyDescent="0.25">
      <c r="A15" s="132" t="s">
        <v>106</v>
      </c>
      <c r="B15" s="133" t="s">
        <v>107</v>
      </c>
      <c r="C15" s="134">
        <v>35167.599999999999</v>
      </c>
      <c r="D15" s="134">
        <v>24681.4</v>
      </c>
      <c r="E15" s="135">
        <f t="shared" si="2"/>
        <v>70.182213173489245</v>
      </c>
      <c r="F15" s="136">
        <v>0</v>
      </c>
      <c r="G15" s="136"/>
      <c r="H15" s="137">
        <v>0</v>
      </c>
      <c r="I15" s="138">
        <f t="shared" si="3"/>
        <v>35167.599999999999</v>
      </c>
      <c r="J15" s="139"/>
      <c r="K15" s="140">
        <f t="shared" si="4"/>
        <v>35167.599999999999</v>
      </c>
      <c r="L15" s="138">
        <f>D15+G15</f>
        <v>24681.4</v>
      </c>
      <c r="M15" s="139"/>
      <c r="N15" s="140">
        <f t="shared" si="6"/>
        <v>24681.4</v>
      </c>
      <c r="O15" s="141">
        <f t="shared" si="1"/>
        <v>70.182213173489245</v>
      </c>
    </row>
    <row r="16" spans="1:15" ht="38.25" hidden="1" customHeight="1" x14ac:dyDescent="0.25">
      <c r="A16" s="132" t="s">
        <v>108</v>
      </c>
      <c r="B16" s="133" t="s">
        <v>109</v>
      </c>
      <c r="C16" s="134"/>
      <c r="D16" s="134"/>
      <c r="E16" s="135"/>
      <c r="F16" s="136"/>
      <c r="G16" s="136"/>
      <c r="H16" s="137" t="e">
        <f>G16/F16*100</f>
        <v>#DIV/0!</v>
      </c>
      <c r="I16" s="138">
        <f t="shared" si="3"/>
        <v>0</v>
      </c>
      <c r="J16" s="139"/>
      <c r="K16" s="140">
        <f t="shared" si="4"/>
        <v>0</v>
      </c>
      <c r="L16" s="138">
        <f t="shared" si="5"/>
        <v>0</v>
      </c>
      <c r="M16" s="139"/>
      <c r="N16" s="140">
        <f t="shared" si="6"/>
        <v>0</v>
      </c>
      <c r="O16" s="141" t="e">
        <f t="shared" si="1"/>
        <v>#DIV/0!</v>
      </c>
    </row>
    <row r="17" spans="1:15" x14ac:dyDescent="0.25">
      <c r="A17" s="142" t="s">
        <v>110</v>
      </c>
      <c r="B17" s="133" t="s">
        <v>111</v>
      </c>
      <c r="C17" s="134">
        <v>14056.8</v>
      </c>
      <c r="D17" s="134">
        <v>0</v>
      </c>
      <c r="E17" s="135">
        <f t="shared" si="2"/>
        <v>0</v>
      </c>
      <c r="F17" s="136">
        <v>616</v>
      </c>
      <c r="G17" s="136"/>
      <c r="H17" s="137">
        <f>G17/F17*100</f>
        <v>0</v>
      </c>
      <c r="I17" s="138">
        <f t="shared" si="3"/>
        <v>14672.8</v>
      </c>
      <c r="J17" s="139"/>
      <c r="K17" s="140">
        <f t="shared" si="4"/>
        <v>14672.8</v>
      </c>
      <c r="L17" s="138">
        <f t="shared" si="5"/>
        <v>0</v>
      </c>
      <c r="M17" s="139"/>
      <c r="N17" s="140">
        <f t="shared" si="6"/>
        <v>0</v>
      </c>
      <c r="O17" s="141">
        <f t="shared" si="1"/>
        <v>0</v>
      </c>
    </row>
    <row r="18" spans="1:15" ht="28.5" customHeight="1" x14ac:dyDescent="0.25">
      <c r="A18" s="132" t="s">
        <v>112</v>
      </c>
      <c r="B18" s="133" t="s">
        <v>113</v>
      </c>
      <c r="C18" s="134">
        <v>207129.60000000001</v>
      </c>
      <c r="D18" s="134">
        <v>83806.100000000006</v>
      </c>
      <c r="E18" s="135">
        <f t="shared" si="2"/>
        <v>40.460706726609814</v>
      </c>
      <c r="F18" s="136">
        <v>55180.4</v>
      </c>
      <c r="G18" s="136">
        <v>30916.2</v>
      </c>
      <c r="H18" s="137">
        <f>G18/F18*100</f>
        <v>56.027502519010376</v>
      </c>
      <c r="I18" s="138">
        <f t="shared" si="3"/>
        <v>262310</v>
      </c>
      <c r="J18" s="139">
        <v>8218.7999999999993</v>
      </c>
      <c r="K18" s="140">
        <f t="shared" si="4"/>
        <v>254091.2</v>
      </c>
      <c r="L18" s="138">
        <f>D18+G18</f>
        <v>114722.3</v>
      </c>
      <c r="M18" s="143">
        <v>3440.3</v>
      </c>
      <c r="N18" s="140">
        <f t="shared" si="6"/>
        <v>111282</v>
      </c>
      <c r="O18" s="141">
        <f t="shared" si="1"/>
        <v>43.79608581485703</v>
      </c>
    </row>
    <row r="19" spans="1:15" ht="22.5" customHeight="1" x14ac:dyDescent="0.25">
      <c r="A19" s="127" t="s">
        <v>114</v>
      </c>
      <c r="B19" s="128" t="s">
        <v>115</v>
      </c>
      <c r="C19" s="129">
        <f t="shared" ref="C19:N19" si="7">C20</f>
        <v>4025.6</v>
      </c>
      <c r="D19" s="129">
        <f t="shared" si="7"/>
        <v>2588.4</v>
      </c>
      <c r="E19" s="129">
        <f t="shared" si="7"/>
        <v>64.298489666136732</v>
      </c>
      <c r="F19" s="129">
        <f t="shared" si="7"/>
        <v>4025.6</v>
      </c>
      <c r="G19" s="129">
        <f t="shared" si="7"/>
        <v>2514.1999999999998</v>
      </c>
      <c r="H19" s="144">
        <f t="shared" si="7"/>
        <v>62.455286168521461</v>
      </c>
      <c r="I19" s="129">
        <f>I20</f>
        <v>8051.2</v>
      </c>
      <c r="J19" s="129">
        <f>J20</f>
        <v>4025.6</v>
      </c>
      <c r="K19" s="129">
        <f>K20</f>
        <v>4025.6</v>
      </c>
      <c r="L19" s="129">
        <f t="shared" si="7"/>
        <v>5102.6000000000004</v>
      </c>
      <c r="M19" s="129">
        <f>M20</f>
        <v>2588.4</v>
      </c>
      <c r="N19" s="129">
        <f t="shared" si="7"/>
        <v>2514.2000000000003</v>
      </c>
      <c r="O19" s="145">
        <f t="shared" si="1"/>
        <v>62.455286168521475</v>
      </c>
    </row>
    <row r="20" spans="1:15" ht="22.5" customHeight="1" x14ac:dyDescent="0.25">
      <c r="A20" s="132" t="s">
        <v>116</v>
      </c>
      <c r="B20" s="133" t="s">
        <v>117</v>
      </c>
      <c r="C20" s="134">
        <v>4025.6</v>
      </c>
      <c r="D20" s="134">
        <v>2588.4</v>
      </c>
      <c r="E20" s="135">
        <f t="shared" si="2"/>
        <v>64.298489666136732</v>
      </c>
      <c r="F20" s="136">
        <v>4025.6</v>
      </c>
      <c r="G20" s="136">
        <v>2514.1999999999998</v>
      </c>
      <c r="H20" s="137">
        <f t="shared" ref="H20:H28" si="8">G20/F20*100</f>
        <v>62.455286168521461</v>
      </c>
      <c r="I20" s="138">
        <f t="shared" ref="I20:I86" si="9">C20+F20</f>
        <v>8051.2</v>
      </c>
      <c r="J20" s="139">
        <v>4025.6</v>
      </c>
      <c r="K20" s="140">
        <f>I20-J20</f>
        <v>4025.6</v>
      </c>
      <c r="L20" s="138">
        <f>D20+G20</f>
        <v>5102.6000000000004</v>
      </c>
      <c r="M20" s="139">
        <v>2588.4</v>
      </c>
      <c r="N20" s="140">
        <f t="shared" si="6"/>
        <v>2514.2000000000003</v>
      </c>
      <c r="O20" s="141">
        <f t="shared" si="1"/>
        <v>62.455286168521475</v>
      </c>
    </row>
    <row r="21" spans="1:15" ht="48" customHeight="1" x14ac:dyDescent="0.25">
      <c r="A21" s="127" t="s">
        <v>118</v>
      </c>
      <c r="B21" s="146" t="s">
        <v>119</v>
      </c>
      <c r="C21" s="129">
        <f>C23+C25+C22+C24</f>
        <v>26771.4</v>
      </c>
      <c r="D21" s="129">
        <f>D23+D25+D22+D24</f>
        <v>8589.4</v>
      </c>
      <c r="E21" s="147">
        <f>D21/C21*100</f>
        <v>32.084239150735485</v>
      </c>
      <c r="F21" s="147">
        <f>F23+F25+F22+F24</f>
        <v>6791.3</v>
      </c>
      <c r="G21" s="147">
        <f>G23+G25+G22+G24</f>
        <v>3383.3999999999996</v>
      </c>
      <c r="H21" s="147">
        <f t="shared" si="8"/>
        <v>49.819622163650543</v>
      </c>
      <c r="I21" s="147">
        <f>SUM(I22:I25)</f>
        <v>33562.700000000004</v>
      </c>
      <c r="J21" s="147">
        <f>SUM(J22:J25)</f>
        <v>2729.9</v>
      </c>
      <c r="K21" s="147">
        <f>SUM(K22:K25)</f>
        <v>30832.799999999999</v>
      </c>
      <c r="L21" s="147">
        <f t="shared" ref="L21:N21" si="10">SUM(L22:L25)</f>
        <v>11972.800000000001</v>
      </c>
      <c r="M21" s="147">
        <f t="shared" si="10"/>
        <v>1524</v>
      </c>
      <c r="N21" s="147">
        <f t="shared" si="10"/>
        <v>10448.800000000001</v>
      </c>
      <c r="O21" s="148">
        <f>N21/K21*100</f>
        <v>33.888586180950156</v>
      </c>
    </row>
    <row r="22" spans="1:15" ht="18.75" customHeight="1" x14ac:dyDescent="0.25">
      <c r="A22" s="142" t="s">
        <v>120</v>
      </c>
      <c r="B22" s="133" t="s">
        <v>121</v>
      </c>
      <c r="C22" s="134">
        <v>6168.6</v>
      </c>
      <c r="D22" s="134">
        <v>4211.2</v>
      </c>
      <c r="E22" s="135">
        <f t="shared" ref="E22:E128" si="11">D22/C22*100</f>
        <v>68.268326686768461</v>
      </c>
      <c r="F22" s="136">
        <v>881.2</v>
      </c>
      <c r="G22" s="136">
        <v>504.1</v>
      </c>
      <c r="H22" s="137">
        <f t="shared" si="8"/>
        <v>57.206082614616427</v>
      </c>
      <c r="I22" s="138">
        <f>C22+F22</f>
        <v>7049.8</v>
      </c>
      <c r="J22" s="139">
        <v>881.2</v>
      </c>
      <c r="K22" s="140">
        <f>I22-J22</f>
        <v>6168.6</v>
      </c>
      <c r="L22" s="138">
        <f>D22+G22</f>
        <v>4715.3</v>
      </c>
      <c r="M22" s="139">
        <v>578</v>
      </c>
      <c r="N22" s="140">
        <f t="shared" si="6"/>
        <v>4137.3</v>
      </c>
      <c r="O22" s="141">
        <f>N22/K22*100</f>
        <v>67.070323898453452</v>
      </c>
    </row>
    <row r="23" spans="1:15" ht="35.25" customHeight="1" x14ac:dyDescent="0.25">
      <c r="A23" s="149" t="s">
        <v>122</v>
      </c>
      <c r="B23" s="133" t="s">
        <v>123</v>
      </c>
      <c r="C23" s="134">
        <v>10565.1</v>
      </c>
      <c r="D23" s="134">
        <v>3901</v>
      </c>
      <c r="E23" s="135">
        <f t="shared" si="11"/>
        <v>36.923455528106693</v>
      </c>
      <c r="F23" s="136">
        <v>3176.8</v>
      </c>
      <c r="G23" s="136">
        <v>1862.1</v>
      </c>
      <c r="H23" s="137">
        <f t="shared" si="8"/>
        <v>58.615588013094936</v>
      </c>
      <c r="I23" s="138">
        <f t="shared" ref="I23:I25" si="12">C23+F23</f>
        <v>13741.900000000001</v>
      </c>
      <c r="J23" s="139">
        <v>878.5</v>
      </c>
      <c r="K23" s="140">
        <f>I23-J23</f>
        <v>12863.400000000001</v>
      </c>
      <c r="L23" s="138">
        <f>D23+G23</f>
        <v>5763.1</v>
      </c>
      <c r="M23" s="139">
        <v>573.70000000000005</v>
      </c>
      <c r="N23" s="140">
        <f t="shared" si="6"/>
        <v>5189.4000000000005</v>
      </c>
      <c r="O23" s="141">
        <f t="shared" ref="O23:O25" si="13">N23/K23*100</f>
        <v>40.342366714865427</v>
      </c>
    </row>
    <row r="24" spans="1:15" ht="33.75" customHeight="1" x14ac:dyDescent="0.25">
      <c r="A24" s="149" t="s">
        <v>124</v>
      </c>
      <c r="B24" s="133" t="s">
        <v>125</v>
      </c>
      <c r="C24" s="134">
        <v>9723.7000000000007</v>
      </c>
      <c r="D24" s="134">
        <v>431.6</v>
      </c>
      <c r="E24" s="135">
        <f t="shared" si="11"/>
        <v>4.4386396124931862</v>
      </c>
      <c r="F24" s="136">
        <v>2381.1999999999998</v>
      </c>
      <c r="G24" s="136">
        <v>943.2</v>
      </c>
      <c r="H24" s="137">
        <f t="shared" si="8"/>
        <v>39.610280530824795</v>
      </c>
      <c r="I24" s="138">
        <f t="shared" si="12"/>
        <v>12104.900000000001</v>
      </c>
      <c r="J24" s="139">
        <v>723.7</v>
      </c>
      <c r="K24" s="140">
        <f>I24-J24</f>
        <v>11381.2</v>
      </c>
      <c r="L24" s="138">
        <f>D24+G24</f>
        <v>1374.8000000000002</v>
      </c>
      <c r="M24" s="139">
        <v>326.7</v>
      </c>
      <c r="N24" s="140">
        <f t="shared" si="6"/>
        <v>1048.1000000000001</v>
      </c>
      <c r="O24" s="141">
        <f t="shared" si="13"/>
        <v>9.2090464977331052</v>
      </c>
    </row>
    <row r="25" spans="1:15" ht="51" customHeight="1" x14ac:dyDescent="0.25">
      <c r="A25" s="142" t="s">
        <v>126</v>
      </c>
      <c r="B25" s="133" t="s">
        <v>127</v>
      </c>
      <c r="C25" s="134">
        <v>314</v>
      </c>
      <c r="D25" s="134">
        <v>45.6</v>
      </c>
      <c r="E25" s="135">
        <f t="shared" si="11"/>
        <v>14.522292993630574</v>
      </c>
      <c r="F25" s="136">
        <v>352.1</v>
      </c>
      <c r="G25" s="136">
        <v>74</v>
      </c>
      <c r="H25" s="137">
        <f t="shared" si="8"/>
        <v>21.016756603237717</v>
      </c>
      <c r="I25" s="138">
        <f t="shared" si="12"/>
        <v>666.1</v>
      </c>
      <c r="J25" s="139">
        <v>246.5</v>
      </c>
      <c r="K25" s="140">
        <f>I25-J25</f>
        <v>419.6</v>
      </c>
      <c r="L25" s="138">
        <f>D25+G25</f>
        <v>119.6</v>
      </c>
      <c r="M25" s="139">
        <v>45.6</v>
      </c>
      <c r="N25" s="140">
        <f t="shared" si="6"/>
        <v>74</v>
      </c>
      <c r="O25" s="141">
        <f t="shared" si="13"/>
        <v>17.63584366062917</v>
      </c>
    </row>
    <row r="26" spans="1:15" ht="24.75" customHeight="1" x14ac:dyDescent="0.25">
      <c r="A26" s="127" t="s">
        <v>128</v>
      </c>
      <c r="B26" s="128" t="s">
        <v>129</v>
      </c>
      <c r="C26" s="129">
        <f>SUM(C27:C57)</f>
        <v>184905.4</v>
      </c>
      <c r="D26" s="129">
        <f>SUM(D27:D57)</f>
        <v>93796.099999999991</v>
      </c>
      <c r="E26" s="129">
        <f>D26/C26*100</f>
        <v>50.726533676139255</v>
      </c>
      <c r="F26" s="129">
        <f>SUM(F27:F57)</f>
        <v>169322</v>
      </c>
      <c r="G26" s="129">
        <f>SUM(G27:G57)</f>
        <v>71573.300000000017</v>
      </c>
      <c r="H26" s="130">
        <f t="shared" si="8"/>
        <v>42.270525980085296</v>
      </c>
      <c r="I26" s="129">
        <f t="shared" ref="I26:N26" si="14">SUM(I27:I57)</f>
        <v>354227.4</v>
      </c>
      <c r="J26" s="129">
        <f t="shared" si="14"/>
        <v>58183.9</v>
      </c>
      <c r="K26" s="129">
        <f>SUM(K27:K57)</f>
        <v>296043.5</v>
      </c>
      <c r="L26" s="129">
        <f t="shared" si="14"/>
        <v>165369.4</v>
      </c>
      <c r="M26" s="129">
        <f t="shared" si="14"/>
        <v>24623.200000000001</v>
      </c>
      <c r="N26" s="129">
        <f t="shared" si="14"/>
        <v>140746.20000000001</v>
      </c>
      <c r="O26" s="131">
        <f t="shared" si="1"/>
        <v>47.542405085739091</v>
      </c>
    </row>
    <row r="27" spans="1:15" ht="74.25" customHeight="1" x14ac:dyDescent="0.25">
      <c r="A27" s="142" t="s">
        <v>130</v>
      </c>
      <c r="B27" s="150" t="s">
        <v>131</v>
      </c>
      <c r="C27" s="134">
        <v>28262.7</v>
      </c>
      <c r="D27" s="134">
        <v>16214.4</v>
      </c>
      <c r="E27" s="135">
        <f t="shared" si="11"/>
        <v>57.370314938063238</v>
      </c>
      <c r="F27" s="134">
        <v>14599.4</v>
      </c>
      <c r="G27" s="136">
        <v>11879.4</v>
      </c>
      <c r="H27" s="137">
        <f t="shared" si="8"/>
        <v>81.369097360165483</v>
      </c>
      <c r="I27" s="138">
        <f t="shared" si="9"/>
        <v>42862.1</v>
      </c>
      <c r="J27" s="139">
        <v>14599.4</v>
      </c>
      <c r="K27" s="140">
        <f>I27-J27</f>
        <v>28262.699999999997</v>
      </c>
      <c r="L27" s="138">
        <f>D27+G27</f>
        <v>28093.8</v>
      </c>
      <c r="M27" s="139">
        <v>12174.1</v>
      </c>
      <c r="N27" s="140">
        <f>L27-M27</f>
        <v>15919.699999999999</v>
      </c>
      <c r="O27" s="141">
        <f t="shared" si="1"/>
        <v>56.327597858661768</v>
      </c>
    </row>
    <row r="28" spans="1:15" ht="29.25" customHeight="1" x14ac:dyDescent="0.25">
      <c r="A28" s="132" t="s">
        <v>132</v>
      </c>
      <c r="B28" s="133" t="s">
        <v>133</v>
      </c>
      <c r="C28" s="134">
        <v>34970.9</v>
      </c>
      <c r="D28" s="134">
        <v>26942.799999999999</v>
      </c>
      <c r="E28" s="135">
        <f t="shared" si="11"/>
        <v>77.043484725872077</v>
      </c>
      <c r="F28" s="136">
        <v>1158.2</v>
      </c>
      <c r="G28" s="136">
        <v>320</v>
      </c>
      <c r="H28" s="137">
        <f t="shared" si="8"/>
        <v>27.629079606285618</v>
      </c>
      <c r="I28" s="138">
        <f t="shared" si="9"/>
        <v>36129.1</v>
      </c>
      <c r="J28" s="139">
        <v>1076.2</v>
      </c>
      <c r="K28" s="140">
        <f>I28-J28</f>
        <v>35052.9</v>
      </c>
      <c r="L28" s="138">
        <f t="shared" si="5"/>
        <v>27262.799999999999</v>
      </c>
      <c r="M28" s="139">
        <v>320</v>
      </c>
      <c r="N28" s="140">
        <f t="shared" si="6"/>
        <v>26942.799999999999</v>
      </c>
      <c r="O28" s="141">
        <f t="shared" si="1"/>
        <v>76.863255251348676</v>
      </c>
    </row>
    <row r="29" spans="1:15" ht="27.75" customHeight="1" x14ac:dyDescent="0.25">
      <c r="A29" s="132" t="s">
        <v>134</v>
      </c>
      <c r="B29" s="133" t="s">
        <v>135</v>
      </c>
      <c r="C29" s="134">
        <v>5500</v>
      </c>
      <c r="D29" s="134">
        <v>2604.6</v>
      </c>
      <c r="E29" s="135">
        <f t="shared" si="11"/>
        <v>47.356363636363632</v>
      </c>
      <c r="F29" s="136">
        <v>0</v>
      </c>
      <c r="G29" s="136"/>
      <c r="H29" s="137">
        <v>0</v>
      </c>
      <c r="I29" s="138">
        <f t="shared" si="9"/>
        <v>5500</v>
      </c>
      <c r="J29" s="139"/>
      <c r="K29" s="140">
        <f>I29-J29</f>
        <v>5500</v>
      </c>
      <c r="L29" s="138">
        <f t="shared" si="5"/>
        <v>2604.6</v>
      </c>
      <c r="M29" s="139"/>
      <c r="N29" s="140">
        <f t="shared" si="6"/>
        <v>2604.6</v>
      </c>
      <c r="O29" s="141">
        <f t="shared" si="1"/>
        <v>47.356363636363632</v>
      </c>
    </row>
    <row r="30" spans="1:15" ht="61.5" customHeight="1" x14ac:dyDescent="0.25">
      <c r="A30" s="132" t="s">
        <v>134</v>
      </c>
      <c r="B30" s="133" t="s">
        <v>136</v>
      </c>
      <c r="C30" s="134">
        <v>20688.5</v>
      </c>
      <c r="D30" s="134">
        <v>15060.7</v>
      </c>
      <c r="E30" s="135">
        <f t="shared" si="11"/>
        <v>72.797447857505375</v>
      </c>
      <c r="F30" s="136">
        <v>18590.900000000001</v>
      </c>
      <c r="G30" s="136">
        <v>11130</v>
      </c>
      <c r="H30" s="137">
        <f>G30/F30*100</f>
        <v>59.867999935452289</v>
      </c>
      <c r="I30" s="138">
        <f t="shared" si="9"/>
        <v>39279.4</v>
      </c>
      <c r="J30" s="139">
        <v>3161.5</v>
      </c>
      <c r="K30" s="140">
        <f>I30-J30</f>
        <v>36117.9</v>
      </c>
      <c r="L30" s="138">
        <f t="shared" si="5"/>
        <v>26190.7</v>
      </c>
      <c r="M30" s="139">
        <v>1580.7</v>
      </c>
      <c r="N30" s="140">
        <f t="shared" si="6"/>
        <v>24610</v>
      </c>
      <c r="O30" s="141">
        <f t="shared" si="1"/>
        <v>68.137959294421876</v>
      </c>
    </row>
    <row r="31" spans="1:15" ht="35.25" customHeight="1" x14ac:dyDescent="0.25">
      <c r="A31" s="132" t="s">
        <v>134</v>
      </c>
      <c r="B31" s="133" t="s">
        <v>137</v>
      </c>
      <c r="C31" s="134">
        <v>23860</v>
      </c>
      <c r="D31" s="134">
        <v>17474.400000000001</v>
      </c>
      <c r="E31" s="135">
        <f t="shared" si="11"/>
        <v>73.237217099748548</v>
      </c>
      <c r="F31" s="136">
        <v>0</v>
      </c>
      <c r="G31" s="136"/>
      <c r="H31" s="137">
        <v>0</v>
      </c>
      <c r="I31" s="138">
        <f t="shared" si="9"/>
        <v>23860</v>
      </c>
      <c r="J31" s="139"/>
      <c r="K31" s="140">
        <f>I31-J31</f>
        <v>23860</v>
      </c>
      <c r="L31" s="138">
        <f t="shared" si="5"/>
        <v>17474.400000000001</v>
      </c>
      <c r="M31" s="139"/>
      <c r="N31" s="140">
        <f t="shared" si="6"/>
        <v>17474.400000000001</v>
      </c>
      <c r="O31" s="141">
        <f t="shared" si="1"/>
        <v>73.237217099748548</v>
      </c>
    </row>
    <row r="32" spans="1:15" ht="255" hidden="1" x14ac:dyDescent="0.25">
      <c r="A32" s="132" t="s">
        <v>138</v>
      </c>
      <c r="B32" s="151" t="s">
        <v>139</v>
      </c>
      <c r="C32" s="134"/>
      <c r="D32" s="134"/>
      <c r="E32" s="135"/>
      <c r="F32" s="136"/>
      <c r="G32" s="136"/>
      <c r="H32" s="137"/>
      <c r="I32" s="138">
        <f t="shared" si="9"/>
        <v>0</v>
      </c>
      <c r="J32" s="139"/>
      <c r="K32" s="140">
        <f t="shared" ref="K32:K95" si="15">I32-J32</f>
        <v>0</v>
      </c>
      <c r="L32" s="138">
        <f t="shared" si="5"/>
        <v>0</v>
      </c>
      <c r="M32" s="139"/>
      <c r="N32" s="140">
        <f t="shared" si="6"/>
        <v>0</v>
      </c>
      <c r="O32" s="141"/>
    </row>
    <row r="33" spans="1:15" ht="300" hidden="1" x14ac:dyDescent="0.25">
      <c r="A33" s="142" t="s">
        <v>138</v>
      </c>
      <c r="B33" s="151" t="s">
        <v>140</v>
      </c>
      <c r="C33" s="134"/>
      <c r="D33" s="134"/>
      <c r="E33" s="135"/>
      <c r="F33" s="136"/>
      <c r="G33" s="136"/>
      <c r="H33" s="137"/>
      <c r="I33" s="138">
        <f t="shared" si="9"/>
        <v>0</v>
      </c>
      <c r="J33" s="139"/>
      <c r="K33" s="140">
        <f t="shared" si="15"/>
        <v>0</v>
      </c>
      <c r="L33" s="138">
        <f t="shared" si="5"/>
        <v>0</v>
      </c>
      <c r="M33" s="139"/>
      <c r="N33" s="140">
        <f t="shared" si="6"/>
        <v>0</v>
      </c>
      <c r="O33" s="141"/>
    </row>
    <row r="34" spans="1:15" ht="30" x14ac:dyDescent="0.25">
      <c r="A34" s="142" t="s">
        <v>138</v>
      </c>
      <c r="B34" s="133" t="s">
        <v>141</v>
      </c>
      <c r="C34" s="134">
        <v>13484.9</v>
      </c>
      <c r="D34" s="134">
        <v>292.3</v>
      </c>
      <c r="E34" s="135">
        <f t="shared" si="11"/>
        <v>2.1676096967719451</v>
      </c>
      <c r="F34" s="136"/>
      <c r="G34" s="136"/>
      <c r="H34" s="137" t="e">
        <f>G34/F34*100</f>
        <v>#DIV/0!</v>
      </c>
      <c r="I34" s="138">
        <f t="shared" si="9"/>
        <v>13484.9</v>
      </c>
      <c r="J34" s="139"/>
      <c r="K34" s="140">
        <f>I34-J34</f>
        <v>13484.9</v>
      </c>
      <c r="L34" s="138">
        <f t="shared" si="5"/>
        <v>292.3</v>
      </c>
      <c r="M34" s="139"/>
      <c r="N34" s="140">
        <f t="shared" si="6"/>
        <v>292.3</v>
      </c>
      <c r="O34" s="141">
        <f t="shared" si="1"/>
        <v>2.1676096967719451</v>
      </c>
    </row>
    <row r="35" spans="1:15" ht="117.75" customHeight="1" x14ac:dyDescent="0.25">
      <c r="A35" s="142" t="s">
        <v>138</v>
      </c>
      <c r="B35" s="133" t="s">
        <v>142</v>
      </c>
      <c r="C35" s="134"/>
      <c r="D35" s="134"/>
      <c r="E35" s="135" t="e">
        <f t="shared" si="11"/>
        <v>#DIV/0!</v>
      </c>
      <c r="F35" s="136">
        <v>60025.5</v>
      </c>
      <c r="G35" s="136">
        <v>9028.2000000000007</v>
      </c>
      <c r="H35" s="137">
        <f>G35/F35*100</f>
        <v>15.040607741709774</v>
      </c>
      <c r="I35" s="138">
        <f t="shared" si="9"/>
        <v>60025.5</v>
      </c>
      <c r="J35" s="139"/>
      <c r="K35" s="140">
        <f>I35-J35</f>
        <v>60025.5</v>
      </c>
      <c r="L35" s="138">
        <f t="shared" si="5"/>
        <v>9028.2000000000007</v>
      </c>
      <c r="M35" s="139"/>
      <c r="N35" s="140">
        <f t="shared" si="6"/>
        <v>9028.2000000000007</v>
      </c>
      <c r="O35" s="141">
        <f t="shared" si="1"/>
        <v>15.040607741709774</v>
      </c>
    </row>
    <row r="36" spans="1:15" ht="84" customHeight="1" x14ac:dyDescent="0.25">
      <c r="A36" s="142" t="s">
        <v>138</v>
      </c>
      <c r="B36" s="133" t="s">
        <v>143</v>
      </c>
      <c r="C36" s="134"/>
      <c r="D36" s="134"/>
      <c r="E36" s="135" t="e">
        <f t="shared" si="11"/>
        <v>#DIV/0!</v>
      </c>
      <c r="F36" s="136">
        <v>10773.8</v>
      </c>
      <c r="G36" s="136">
        <v>4404.8999999999996</v>
      </c>
      <c r="H36" s="137">
        <f t="shared" ref="H36:H57" si="16">G36/F36*100</f>
        <v>40.885295810206237</v>
      </c>
      <c r="I36" s="138">
        <f t="shared" si="9"/>
        <v>10773.8</v>
      </c>
      <c r="J36" s="139"/>
      <c r="K36" s="140">
        <f>I36-J36</f>
        <v>10773.8</v>
      </c>
      <c r="L36" s="138">
        <f t="shared" si="5"/>
        <v>4404.8999999999996</v>
      </c>
      <c r="M36" s="139"/>
      <c r="N36" s="140">
        <f t="shared" si="6"/>
        <v>4404.8999999999996</v>
      </c>
      <c r="O36" s="141">
        <f t="shared" si="1"/>
        <v>40.885295810206237</v>
      </c>
    </row>
    <row r="37" spans="1:15" ht="165" hidden="1" x14ac:dyDescent="0.25">
      <c r="A37" s="142" t="s">
        <v>138</v>
      </c>
      <c r="B37" s="133" t="s">
        <v>144</v>
      </c>
      <c r="C37" s="134"/>
      <c r="D37" s="134"/>
      <c r="E37" s="135"/>
      <c r="F37" s="136"/>
      <c r="G37" s="136"/>
      <c r="H37" s="137" t="e">
        <f t="shared" si="16"/>
        <v>#DIV/0!</v>
      </c>
      <c r="I37" s="138">
        <f t="shared" si="9"/>
        <v>0</v>
      </c>
      <c r="J37" s="139"/>
      <c r="K37" s="140">
        <f t="shared" si="15"/>
        <v>0</v>
      </c>
      <c r="L37" s="138">
        <f t="shared" si="5"/>
        <v>0</v>
      </c>
      <c r="M37" s="139"/>
      <c r="N37" s="140">
        <f t="shared" si="6"/>
        <v>0</v>
      </c>
      <c r="O37" s="141" t="e">
        <f t="shared" si="1"/>
        <v>#DIV/0!</v>
      </c>
    </row>
    <row r="38" spans="1:15" ht="105" x14ac:dyDescent="0.25">
      <c r="A38" s="152" t="s">
        <v>138</v>
      </c>
      <c r="B38" s="133" t="s">
        <v>145</v>
      </c>
      <c r="C38" s="134">
        <v>38165.800000000003</v>
      </c>
      <c r="D38" s="134">
        <v>10087.4</v>
      </c>
      <c r="E38" s="135"/>
      <c r="F38" s="136">
        <f>4777.8+1509.9+874.5</f>
        <v>7162.2000000000007</v>
      </c>
      <c r="G38" s="136">
        <f>899.2+664.5+2872.6</f>
        <v>4436.3</v>
      </c>
      <c r="H38" s="137">
        <f t="shared" si="16"/>
        <v>61.940465220183739</v>
      </c>
      <c r="I38" s="138">
        <f t="shared" si="9"/>
        <v>45328</v>
      </c>
      <c r="J38" s="139">
        <v>38165.800000000003</v>
      </c>
      <c r="K38" s="140">
        <f t="shared" si="15"/>
        <v>7162.1999999999971</v>
      </c>
      <c r="L38" s="138">
        <f t="shared" si="5"/>
        <v>14523.7</v>
      </c>
      <c r="M38" s="139">
        <v>10087.4</v>
      </c>
      <c r="N38" s="140">
        <f t="shared" si="6"/>
        <v>4436.3000000000011</v>
      </c>
      <c r="O38" s="141">
        <f t="shared" si="1"/>
        <v>61.940465220183782</v>
      </c>
    </row>
    <row r="39" spans="1:15" ht="78.75" customHeight="1" x14ac:dyDescent="0.25">
      <c r="A39" s="152" t="s">
        <v>138</v>
      </c>
      <c r="B39" s="133" t="s">
        <v>146</v>
      </c>
      <c r="C39" s="134"/>
      <c r="D39" s="134"/>
      <c r="E39" s="135"/>
      <c r="F39" s="136">
        <f>27144.7+4040</f>
        <v>31184.7</v>
      </c>
      <c r="G39" s="136">
        <v>14274.2</v>
      </c>
      <c r="H39" s="137">
        <f t="shared" si="16"/>
        <v>45.773087443521987</v>
      </c>
      <c r="I39" s="138">
        <f t="shared" si="9"/>
        <v>31184.7</v>
      </c>
      <c r="J39" s="139"/>
      <c r="K39" s="140">
        <f t="shared" si="15"/>
        <v>31184.7</v>
      </c>
      <c r="L39" s="138">
        <f t="shared" si="5"/>
        <v>14274.2</v>
      </c>
      <c r="M39" s="139"/>
      <c r="N39" s="140">
        <f t="shared" si="6"/>
        <v>14274.2</v>
      </c>
      <c r="O39" s="141">
        <f t="shared" si="1"/>
        <v>45.773087443521987</v>
      </c>
    </row>
    <row r="40" spans="1:15" ht="195" hidden="1" x14ac:dyDescent="0.25">
      <c r="A40" s="142" t="s">
        <v>138</v>
      </c>
      <c r="B40" s="133" t="s">
        <v>147</v>
      </c>
      <c r="C40" s="134"/>
      <c r="D40" s="134"/>
      <c r="E40" s="135" t="e">
        <f t="shared" si="11"/>
        <v>#DIV/0!</v>
      </c>
      <c r="F40" s="136">
        <v>0</v>
      </c>
      <c r="G40" s="136"/>
      <c r="H40" s="137" t="e">
        <f t="shared" si="16"/>
        <v>#DIV/0!</v>
      </c>
      <c r="I40" s="138">
        <f t="shared" si="9"/>
        <v>0</v>
      </c>
      <c r="J40" s="139"/>
      <c r="K40" s="140">
        <f>I40-J40</f>
        <v>0</v>
      </c>
      <c r="L40" s="138">
        <f t="shared" si="5"/>
        <v>0</v>
      </c>
      <c r="M40" s="139"/>
      <c r="N40" s="140">
        <f t="shared" si="6"/>
        <v>0</v>
      </c>
      <c r="O40" s="141" t="e">
        <f t="shared" si="1"/>
        <v>#DIV/0!</v>
      </c>
    </row>
    <row r="41" spans="1:15" ht="30" x14ac:dyDescent="0.25">
      <c r="A41" s="142" t="s">
        <v>138</v>
      </c>
      <c r="B41" s="133" t="s">
        <v>148</v>
      </c>
      <c r="C41" s="134"/>
      <c r="D41" s="134"/>
      <c r="E41" s="135"/>
      <c r="F41" s="136">
        <v>5908</v>
      </c>
      <c r="G41" s="136">
        <v>4419.8</v>
      </c>
      <c r="H41" s="137">
        <f t="shared" si="16"/>
        <v>74.810426540284354</v>
      </c>
      <c r="I41" s="138">
        <f t="shared" si="9"/>
        <v>5908</v>
      </c>
      <c r="J41" s="139"/>
      <c r="K41" s="140">
        <f t="shared" si="15"/>
        <v>5908</v>
      </c>
      <c r="L41" s="138">
        <f t="shared" si="5"/>
        <v>4419.8</v>
      </c>
      <c r="M41" s="139"/>
      <c r="N41" s="140">
        <f t="shared" si="6"/>
        <v>4419.8</v>
      </c>
      <c r="O41" s="141">
        <f t="shared" si="1"/>
        <v>74.810426540284354</v>
      </c>
    </row>
    <row r="42" spans="1:15" ht="56.25" customHeight="1" x14ac:dyDescent="0.25">
      <c r="A42" s="142" t="s">
        <v>138</v>
      </c>
      <c r="B42" s="133" t="s">
        <v>149</v>
      </c>
      <c r="C42" s="134"/>
      <c r="D42" s="134"/>
      <c r="E42" s="135"/>
      <c r="F42" s="136">
        <v>300</v>
      </c>
      <c r="G42" s="136">
        <v>240.2</v>
      </c>
      <c r="H42" s="137">
        <f t="shared" si="16"/>
        <v>80.066666666666663</v>
      </c>
      <c r="I42" s="138">
        <f t="shared" si="9"/>
        <v>300</v>
      </c>
      <c r="J42" s="139"/>
      <c r="K42" s="140">
        <f t="shared" si="15"/>
        <v>300</v>
      </c>
      <c r="L42" s="138">
        <f t="shared" si="5"/>
        <v>240.2</v>
      </c>
      <c r="M42" s="139"/>
      <c r="N42" s="140">
        <f t="shared" si="6"/>
        <v>240.2</v>
      </c>
      <c r="O42" s="141">
        <f t="shared" si="1"/>
        <v>80.066666666666663</v>
      </c>
    </row>
    <row r="43" spans="1:15" ht="330" hidden="1" x14ac:dyDescent="0.25">
      <c r="A43" s="142" t="s">
        <v>138</v>
      </c>
      <c r="B43" s="133" t="s">
        <v>150</v>
      </c>
      <c r="C43" s="134">
        <v>0</v>
      </c>
      <c r="D43" s="134"/>
      <c r="E43" s="135"/>
      <c r="F43" s="136"/>
      <c r="G43" s="136"/>
      <c r="H43" s="137" t="e">
        <f t="shared" si="16"/>
        <v>#DIV/0!</v>
      </c>
      <c r="I43" s="138">
        <f t="shared" si="9"/>
        <v>0</v>
      </c>
      <c r="J43" s="139"/>
      <c r="K43" s="140">
        <f t="shared" si="15"/>
        <v>0</v>
      </c>
      <c r="L43" s="138">
        <f t="shared" si="5"/>
        <v>0</v>
      </c>
      <c r="M43" s="139"/>
      <c r="N43" s="140">
        <f t="shared" si="6"/>
        <v>0</v>
      </c>
      <c r="O43" s="141" t="e">
        <f t="shared" si="1"/>
        <v>#DIV/0!</v>
      </c>
    </row>
    <row r="44" spans="1:15" ht="30" hidden="1" x14ac:dyDescent="0.25">
      <c r="A44" s="142" t="s">
        <v>138</v>
      </c>
      <c r="B44" s="133" t="s">
        <v>151</v>
      </c>
      <c r="C44" s="134"/>
      <c r="D44" s="134"/>
      <c r="E44" s="134"/>
      <c r="F44" s="136"/>
      <c r="G44" s="136"/>
      <c r="H44" s="137" t="e">
        <f t="shared" si="16"/>
        <v>#DIV/0!</v>
      </c>
      <c r="I44" s="138">
        <f t="shared" si="9"/>
        <v>0</v>
      </c>
      <c r="J44" s="139"/>
      <c r="K44" s="140">
        <f t="shared" si="15"/>
        <v>0</v>
      </c>
      <c r="L44" s="138">
        <f t="shared" si="5"/>
        <v>0</v>
      </c>
      <c r="M44" s="139"/>
      <c r="N44" s="140">
        <f t="shared" si="6"/>
        <v>0</v>
      </c>
      <c r="O44" s="141" t="e">
        <f t="shared" si="1"/>
        <v>#DIV/0!</v>
      </c>
    </row>
    <row r="45" spans="1:15" ht="45" x14ac:dyDescent="0.25">
      <c r="A45" s="142" t="s">
        <v>138</v>
      </c>
      <c r="B45" s="133" t="s">
        <v>152</v>
      </c>
      <c r="C45" s="134"/>
      <c r="D45" s="134"/>
      <c r="E45" s="135"/>
      <c r="F45" s="136">
        <v>13144.5</v>
      </c>
      <c r="G45" s="136">
        <v>7774.1</v>
      </c>
      <c r="H45" s="137">
        <f t="shared" si="16"/>
        <v>59.143367948571644</v>
      </c>
      <c r="I45" s="138">
        <f t="shared" si="9"/>
        <v>13144.5</v>
      </c>
      <c r="J45" s="139"/>
      <c r="K45" s="140">
        <f t="shared" si="15"/>
        <v>13144.5</v>
      </c>
      <c r="L45" s="138">
        <f t="shared" si="5"/>
        <v>7774.1</v>
      </c>
      <c r="M45" s="139"/>
      <c r="N45" s="140">
        <f t="shared" si="6"/>
        <v>7774.1</v>
      </c>
      <c r="O45" s="141">
        <f t="shared" si="1"/>
        <v>59.143367948571644</v>
      </c>
    </row>
    <row r="46" spans="1:15" ht="26.25" customHeight="1" x14ac:dyDescent="0.25">
      <c r="A46" s="132" t="s">
        <v>153</v>
      </c>
      <c r="B46" s="133" t="s">
        <v>154</v>
      </c>
      <c r="C46" s="134">
        <v>7796</v>
      </c>
      <c r="D46" s="134">
        <v>2740</v>
      </c>
      <c r="E46" s="135">
        <f t="shared" si="11"/>
        <v>35.14622883530015</v>
      </c>
      <c r="F46" s="136">
        <v>5293.8</v>
      </c>
      <c r="G46" s="136">
        <v>3297.1</v>
      </c>
      <c r="H46" s="136">
        <f t="shared" si="16"/>
        <v>62.282292493105139</v>
      </c>
      <c r="I46" s="138">
        <f t="shared" si="9"/>
        <v>13089.8</v>
      </c>
      <c r="J46" s="139"/>
      <c r="K46" s="140">
        <f t="shared" si="15"/>
        <v>13089.8</v>
      </c>
      <c r="L46" s="138">
        <f t="shared" si="5"/>
        <v>6037.1</v>
      </c>
      <c r="M46" s="139"/>
      <c r="N46" s="140">
        <f t="shared" si="6"/>
        <v>6037.1</v>
      </c>
      <c r="O46" s="141">
        <f t="shared" si="1"/>
        <v>46.120643554523376</v>
      </c>
    </row>
    <row r="47" spans="1:15" ht="60" customHeight="1" x14ac:dyDescent="0.25">
      <c r="A47" s="132" t="s">
        <v>155</v>
      </c>
      <c r="B47" s="151" t="s">
        <v>156</v>
      </c>
      <c r="C47" s="134">
        <v>1181</v>
      </c>
      <c r="D47" s="134">
        <v>461</v>
      </c>
      <c r="E47" s="134">
        <f t="shared" si="11"/>
        <v>39.03471634208298</v>
      </c>
      <c r="F47" s="136">
        <v>1181</v>
      </c>
      <c r="G47" s="136">
        <v>369.1</v>
      </c>
      <c r="H47" s="136">
        <f t="shared" si="16"/>
        <v>31.253175275190522</v>
      </c>
      <c r="I47" s="138">
        <f t="shared" si="9"/>
        <v>2362</v>
      </c>
      <c r="J47" s="139">
        <v>1181</v>
      </c>
      <c r="K47" s="140">
        <f>I47-J47</f>
        <v>1181</v>
      </c>
      <c r="L47" s="138">
        <f t="shared" si="5"/>
        <v>830.1</v>
      </c>
      <c r="M47" s="139">
        <v>461</v>
      </c>
      <c r="N47" s="140">
        <f t="shared" si="6"/>
        <v>369.1</v>
      </c>
      <c r="O47" s="141">
        <f t="shared" si="1"/>
        <v>31.253175275190522</v>
      </c>
    </row>
    <row r="48" spans="1:15" ht="43.5" customHeight="1" x14ac:dyDescent="0.25">
      <c r="A48" s="132" t="s">
        <v>155</v>
      </c>
      <c r="B48" s="151" t="s">
        <v>157</v>
      </c>
      <c r="C48" s="134">
        <v>752.7</v>
      </c>
      <c r="D48" s="134"/>
      <c r="E48" s="134">
        <f t="shared" si="11"/>
        <v>0</v>
      </c>
      <c r="F48" s="136"/>
      <c r="G48" s="136"/>
      <c r="H48" s="136" t="e">
        <f t="shared" si="16"/>
        <v>#DIV/0!</v>
      </c>
      <c r="I48" s="138">
        <f t="shared" si="9"/>
        <v>752.7</v>
      </c>
      <c r="J48" s="139"/>
      <c r="K48" s="140">
        <f t="shared" si="15"/>
        <v>752.7</v>
      </c>
      <c r="L48" s="138">
        <f t="shared" si="5"/>
        <v>0</v>
      </c>
      <c r="M48" s="139"/>
      <c r="N48" s="140">
        <f t="shared" si="6"/>
        <v>0</v>
      </c>
      <c r="O48" s="141">
        <f t="shared" si="1"/>
        <v>0</v>
      </c>
    </row>
    <row r="49" spans="1:15" ht="64.5" customHeight="1" x14ac:dyDescent="0.25">
      <c r="A49" s="132" t="s">
        <v>155</v>
      </c>
      <c r="B49" s="151" t="s">
        <v>158</v>
      </c>
      <c r="C49" s="134">
        <v>1224.5</v>
      </c>
      <c r="D49" s="136">
        <v>50</v>
      </c>
      <c r="E49" s="135">
        <f t="shared" si="11"/>
        <v>4.0832993058391178</v>
      </c>
      <c r="F49" s="136">
        <v>0</v>
      </c>
      <c r="G49" s="136"/>
      <c r="H49" s="136" t="e">
        <f t="shared" si="16"/>
        <v>#DIV/0!</v>
      </c>
      <c r="I49" s="138">
        <f t="shared" si="9"/>
        <v>1224.5</v>
      </c>
      <c r="J49" s="139"/>
      <c r="K49" s="140">
        <f t="shared" si="15"/>
        <v>1224.5</v>
      </c>
      <c r="L49" s="138">
        <f t="shared" si="5"/>
        <v>50</v>
      </c>
      <c r="M49" s="139"/>
      <c r="N49" s="140">
        <f t="shared" si="6"/>
        <v>50</v>
      </c>
      <c r="O49" s="141">
        <f t="shared" si="1"/>
        <v>4.0832993058391178</v>
      </c>
    </row>
    <row r="50" spans="1:15" ht="99" customHeight="1" x14ac:dyDescent="0.25">
      <c r="A50" s="142" t="s">
        <v>155</v>
      </c>
      <c r="B50" s="151" t="s">
        <v>159</v>
      </c>
      <c r="C50" s="134">
        <v>2426.8000000000002</v>
      </c>
      <c r="D50" s="136"/>
      <c r="E50" s="134">
        <f t="shared" si="11"/>
        <v>0</v>
      </c>
      <c r="F50" s="136"/>
      <c r="G50" s="136"/>
      <c r="H50" s="136" t="e">
        <f t="shared" si="16"/>
        <v>#DIV/0!</v>
      </c>
      <c r="I50" s="138">
        <f t="shared" si="9"/>
        <v>2426.8000000000002</v>
      </c>
      <c r="J50" s="139"/>
      <c r="K50" s="140">
        <f t="shared" si="15"/>
        <v>2426.8000000000002</v>
      </c>
      <c r="L50" s="138">
        <f t="shared" si="5"/>
        <v>0</v>
      </c>
      <c r="M50" s="139"/>
      <c r="N50" s="140">
        <f t="shared" si="6"/>
        <v>0</v>
      </c>
      <c r="O50" s="141">
        <f t="shared" si="1"/>
        <v>0</v>
      </c>
    </row>
    <row r="51" spans="1:15" ht="55.5" customHeight="1" x14ac:dyDescent="0.25">
      <c r="A51" s="142" t="s">
        <v>155</v>
      </c>
      <c r="B51" s="151" t="s">
        <v>160</v>
      </c>
      <c r="C51" s="134">
        <v>1533.4</v>
      </c>
      <c r="D51" s="136">
        <v>905.1</v>
      </c>
      <c r="E51" s="134">
        <f t="shared" si="11"/>
        <v>59.025694535020214</v>
      </c>
      <c r="F51" s="136">
        <v>0</v>
      </c>
      <c r="G51" s="136"/>
      <c r="H51" s="136" t="e">
        <f t="shared" si="16"/>
        <v>#DIV/0!</v>
      </c>
      <c r="I51" s="138">
        <f t="shared" si="9"/>
        <v>1533.4</v>
      </c>
      <c r="J51" s="139"/>
      <c r="K51" s="140">
        <f t="shared" si="15"/>
        <v>1533.4</v>
      </c>
      <c r="L51" s="138">
        <f>D51+G51</f>
        <v>905.1</v>
      </c>
      <c r="M51" s="139"/>
      <c r="N51" s="140">
        <f t="shared" si="6"/>
        <v>905.1</v>
      </c>
      <c r="O51" s="141">
        <f t="shared" si="1"/>
        <v>59.025694535020214</v>
      </c>
    </row>
    <row r="52" spans="1:15" ht="75" customHeight="1" x14ac:dyDescent="0.25">
      <c r="A52" s="142" t="s">
        <v>155</v>
      </c>
      <c r="B52" s="151" t="s">
        <v>161</v>
      </c>
      <c r="C52" s="134">
        <v>2654.2</v>
      </c>
      <c r="D52" s="136"/>
      <c r="E52" s="134">
        <f t="shared" si="11"/>
        <v>0</v>
      </c>
      <c r="F52" s="136"/>
      <c r="G52" s="136"/>
      <c r="H52" s="136" t="e">
        <f t="shared" si="16"/>
        <v>#DIV/0!</v>
      </c>
      <c r="I52" s="138">
        <f t="shared" si="9"/>
        <v>2654.2</v>
      </c>
      <c r="J52" s="139"/>
      <c r="K52" s="140">
        <f t="shared" si="15"/>
        <v>2654.2</v>
      </c>
      <c r="L52" s="138">
        <f t="shared" si="5"/>
        <v>0</v>
      </c>
      <c r="M52" s="139"/>
      <c r="N52" s="140">
        <f t="shared" si="6"/>
        <v>0</v>
      </c>
      <c r="O52" s="141">
        <f t="shared" si="1"/>
        <v>0</v>
      </c>
    </row>
    <row r="53" spans="1:15" ht="49.5" customHeight="1" x14ac:dyDescent="0.25">
      <c r="A53" s="142" t="s">
        <v>155</v>
      </c>
      <c r="B53" s="151" t="s">
        <v>162</v>
      </c>
      <c r="C53" s="134">
        <v>2319</v>
      </c>
      <c r="D53" s="136">
        <v>963.4</v>
      </c>
      <c r="E53" s="134">
        <f t="shared" si="11"/>
        <v>41.54376886589047</v>
      </c>
      <c r="F53" s="136"/>
      <c r="G53" s="136"/>
      <c r="H53" s="136" t="e">
        <f t="shared" si="16"/>
        <v>#DIV/0!</v>
      </c>
      <c r="I53" s="138">
        <f t="shared" si="9"/>
        <v>2319</v>
      </c>
      <c r="J53" s="139"/>
      <c r="K53" s="140">
        <f t="shared" si="15"/>
        <v>2319</v>
      </c>
      <c r="L53" s="138">
        <f t="shared" si="5"/>
        <v>963.4</v>
      </c>
      <c r="M53" s="139"/>
      <c r="N53" s="140">
        <f t="shared" si="6"/>
        <v>963.4</v>
      </c>
      <c r="O53" s="141">
        <f t="shared" si="1"/>
        <v>41.54376886589047</v>
      </c>
    </row>
    <row r="54" spans="1:15" ht="64.5" customHeight="1" x14ac:dyDescent="0.25">
      <c r="A54" s="142" t="s">
        <v>155</v>
      </c>
      <c r="B54" s="151" t="s">
        <v>163</v>
      </c>
      <c r="C54" s="134">
        <v>85</v>
      </c>
      <c r="D54" s="136"/>
      <c r="E54" s="134">
        <f>D54/C54*100</f>
        <v>0</v>
      </c>
      <c r="F54" s="136"/>
      <c r="G54" s="136"/>
      <c r="H54" s="136" t="e">
        <f t="shared" si="16"/>
        <v>#DIV/0!</v>
      </c>
      <c r="I54" s="138">
        <f t="shared" si="9"/>
        <v>85</v>
      </c>
      <c r="J54" s="139"/>
      <c r="K54" s="140">
        <f t="shared" si="15"/>
        <v>85</v>
      </c>
      <c r="L54" s="138">
        <f t="shared" si="5"/>
        <v>0</v>
      </c>
      <c r="M54" s="139"/>
      <c r="N54" s="140">
        <f t="shared" si="6"/>
        <v>0</v>
      </c>
      <c r="O54" s="141">
        <f t="shared" si="1"/>
        <v>0</v>
      </c>
    </row>
    <row r="55" spans="1:15" ht="409.5" hidden="1" x14ac:dyDescent="0.25">
      <c r="A55" s="142" t="s">
        <v>155</v>
      </c>
      <c r="B55" s="151" t="s">
        <v>164</v>
      </c>
      <c r="C55" s="134"/>
      <c r="D55" s="136"/>
      <c r="E55" s="134" t="e">
        <f>D55/C55*100</f>
        <v>#DIV/0!</v>
      </c>
      <c r="F55" s="136"/>
      <c r="G55" s="136"/>
      <c r="H55" s="136"/>
      <c r="I55" s="138">
        <f t="shared" si="9"/>
        <v>0</v>
      </c>
      <c r="J55" s="139"/>
      <c r="K55" s="140">
        <f t="shared" si="15"/>
        <v>0</v>
      </c>
      <c r="L55" s="138">
        <f t="shared" si="5"/>
        <v>0</v>
      </c>
      <c r="M55" s="139"/>
      <c r="N55" s="140">
        <f t="shared" si="6"/>
        <v>0</v>
      </c>
      <c r="O55" s="141" t="e">
        <f t="shared" si="1"/>
        <v>#DIV/0!</v>
      </c>
    </row>
    <row r="56" spans="1:15" ht="30" x14ac:dyDescent="0.25">
      <c r="A56" s="142" t="s">
        <v>155</v>
      </c>
      <c r="B56" s="151" t="s">
        <v>165</v>
      </c>
      <c r="C56" s="134">
        <v>0</v>
      </c>
      <c r="D56" s="136">
        <v>0</v>
      </c>
      <c r="E56" s="134"/>
      <c r="F56" s="136"/>
      <c r="G56" s="136"/>
      <c r="H56" s="136" t="e">
        <f t="shared" ref="H56" si="17">G56/F56*100</f>
        <v>#DIV/0!</v>
      </c>
      <c r="I56" s="138">
        <f t="shared" si="9"/>
        <v>0</v>
      </c>
      <c r="J56" s="139"/>
      <c r="K56" s="140">
        <f t="shared" si="15"/>
        <v>0</v>
      </c>
      <c r="L56" s="138">
        <f t="shared" si="5"/>
        <v>0</v>
      </c>
      <c r="M56" s="139"/>
      <c r="N56" s="140">
        <f t="shared" si="6"/>
        <v>0</v>
      </c>
      <c r="O56" s="141" t="e">
        <f t="shared" si="1"/>
        <v>#DIV/0!</v>
      </c>
    </row>
    <row r="57" spans="1:15" ht="195" hidden="1" x14ac:dyDescent="0.25">
      <c r="A57" s="142" t="s">
        <v>155</v>
      </c>
      <c r="B57" s="151" t="s">
        <v>166</v>
      </c>
      <c r="C57" s="134">
        <v>0</v>
      </c>
      <c r="D57" s="136">
        <v>0</v>
      </c>
      <c r="E57" s="134"/>
      <c r="F57" s="136"/>
      <c r="G57" s="136"/>
      <c r="H57" s="136" t="e">
        <f t="shared" si="16"/>
        <v>#DIV/0!</v>
      </c>
      <c r="I57" s="138">
        <f t="shared" si="9"/>
        <v>0</v>
      </c>
      <c r="J57" s="139"/>
      <c r="K57" s="140">
        <f t="shared" si="15"/>
        <v>0</v>
      </c>
      <c r="L57" s="138">
        <f t="shared" si="5"/>
        <v>0</v>
      </c>
      <c r="M57" s="139"/>
      <c r="N57" s="140">
        <f t="shared" si="6"/>
        <v>0</v>
      </c>
      <c r="O57" s="141" t="e">
        <f t="shared" si="1"/>
        <v>#DIV/0!</v>
      </c>
    </row>
    <row r="58" spans="1:15" x14ac:dyDescent="0.25">
      <c r="A58" s="127" t="s">
        <v>167</v>
      </c>
      <c r="B58" s="128" t="s">
        <v>168</v>
      </c>
      <c r="C58" s="129">
        <f>C60+C63+C64+C65+C66+C67+C68+C69+C74+C75+C76+C77+C78+C79+C80+C81+C82+C83+C86+C87+C90+C91+C100</f>
        <v>567078.59999999986</v>
      </c>
      <c r="D58" s="129">
        <f>SUM(D59:D100)</f>
        <v>168664.99999999994</v>
      </c>
      <c r="E58" s="129">
        <f t="shared" si="11"/>
        <v>29.742790505584232</v>
      </c>
      <c r="F58" s="153">
        <f>SUM(F59:F100)</f>
        <v>196837.4</v>
      </c>
      <c r="G58" s="153">
        <f>SUM(G59:G100)</f>
        <v>97544.7</v>
      </c>
      <c r="H58" s="153">
        <f>G58/F58*100</f>
        <v>49.555978691041439</v>
      </c>
      <c r="I58" s="154">
        <f t="shared" si="9"/>
        <v>763915.99999999988</v>
      </c>
      <c r="J58" s="129">
        <f>SUM(J59:J100)</f>
        <v>101883.9</v>
      </c>
      <c r="K58" s="129">
        <f>SUM(K59:K100)</f>
        <v>662032.09999999986</v>
      </c>
      <c r="L58" s="129">
        <f t="shared" ref="L58:N58" si="18">SUM(L59:L100)</f>
        <v>266209.69999999995</v>
      </c>
      <c r="M58" s="129">
        <f t="shared" si="18"/>
        <v>38758.400000000001</v>
      </c>
      <c r="N58" s="129">
        <f t="shared" si="18"/>
        <v>227451.29999999996</v>
      </c>
      <c r="O58" s="131">
        <f t="shared" si="1"/>
        <v>34.356536488185391</v>
      </c>
    </row>
    <row r="59" spans="1:15" ht="405" hidden="1" x14ac:dyDescent="0.25">
      <c r="A59" s="132" t="s">
        <v>169</v>
      </c>
      <c r="B59" s="133" t="s">
        <v>170</v>
      </c>
      <c r="C59" s="134"/>
      <c r="D59" s="134"/>
      <c r="E59" s="135" t="e">
        <f t="shared" si="11"/>
        <v>#DIV/0!</v>
      </c>
      <c r="F59" s="136">
        <v>0</v>
      </c>
      <c r="G59" s="136">
        <v>0</v>
      </c>
      <c r="H59" s="137">
        <v>0</v>
      </c>
      <c r="I59" s="138">
        <f t="shared" si="9"/>
        <v>0</v>
      </c>
      <c r="J59" s="139"/>
      <c r="K59" s="140">
        <f t="shared" si="15"/>
        <v>0</v>
      </c>
      <c r="L59" s="138">
        <f t="shared" si="5"/>
        <v>0</v>
      </c>
      <c r="M59" s="139"/>
      <c r="N59" s="140">
        <f t="shared" si="6"/>
        <v>0</v>
      </c>
      <c r="O59" s="141" t="e">
        <f t="shared" si="1"/>
        <v>#DIV/0!</v>
      </c>
    </row>
    <row r="60" spans="1:15" ht="60" x14ac:dyDescent="0.25">
      <c r="A60" s="132" t="s">
        <v>169</v>
      </c>
      <c r="B60" s="133" t="s">
        <v>171</v>
      </c>
      <c r="C60" s="134">
        <v>1716</v>
      </c>
      <c r="D60" s="134">
        <v>990.1</v>
      </c>
      <c r="E60" s="135">
        <f t="shared" si="11"/>
        <v>57.698135198135205</v>
      </c>
      <c r="F60" s="136"/>
      <c r="G60" s="136"/>
      <c r="H60" s="137">
        <v>0</v>
      </c>
      <c r="I60" s="138">
        <f t="shared" si="9"/>
        <v>1716</v>
      </c>
      <c r="J60" s="139"/>
      <c r="K60" s="140">
        <f t="shared" si="15"/>
        <v>1716</v>
      </c>
      <c r="L60" s="138">
        <f>D60+G60</f>
        <v>990.1</v>
      </c>
      <c r="M60" s="139"/>
      <c r="N60" s="140">
        <f t="shared" si="6"/>
        <v>990.1</v>
      </c>
      <c r="O60" s="141">
        <f t="shared" si="1"/>
        <v>57.698135198135205</v>
      </c>
    </row>
    <row r="61" spans="1:15" ht="210" hidden="1" x14ac:dyDescent="0.25">
      <c r="A61" s="132" t="s">
        <v>169</v>
      </c>
      <c r="B61" s="133" t="s">
        <v>172</v>
      </c>
      <c r="C61" s="134">
        <v>0</v>
      </c>
      <c r="D61" s="134">
        <v>0</v>
      </c>
      <c r="E61" s="135" t="e">
        <f t="shared" si="11"/>
        <v>#DIV/0!</v>
      </c>
      <c r="F61" s="136"/>
      <c r="G61" s="136"/>
      <c r="H61" s="137">
        <v>0</v>
      </c>
      <c r="I61" s="138">
        <f t="shared" si="9"/>
        <v>0</v>
      </c>
      <c r="J61" s="139"/>
      <c r="K61" s="140">
        <f t="shared" si="15"/>
        <v>0</v>
      </c>
      <c r="L61" s="138">
        <f t="shared" si="5"/>
        <v>0</v>
      </c>
      <c r="M61" s="139"/>
      <c r="N61" s="140">
        <f t="shared" si="6"/>
        <v>0</v>
      </c>
      <c r="O61" s="141"/>
    </row>
    <row r="62" spans="1:15" ht="30" hidden="1" x14ac:dyDescent="0.25">
      <c r="A62" s="132" t="s">
        <v>169</v>
      </c>
      <c r="B62" s="133" t="s">
        <v>173</v>
      </c>
      <c r="C62" s="134"/>
      <c r="D62" s="134"/>
      <c r="E62" s="135" t="e">
        <f t="shared" si="11"/>
        <v>#DIV/0!</v>
      </c>
      <c r="F62" s="136"/>
      <c r="G62" s="136"/>
      <c r="H62" s="137">
        <v>0</v>
      </c>
      <c r="I62" s="138">
        <f t="shared" si="9"/>
        <v>0</v>
      </c>
      <c r="J62" s="139"/>
      <c r="K62" s="140">
        <f t="shared" si="15"/>
        <v>0</v>
      </c>
      <c r="L62" s="138">
        <f t="shared" si="5"/>
        <v>0</v>
      </c>
      <c r="M62" s="139"/>
      <c r="N62" s="140">
        <f t="shared" si="6"/>
        <v>0</v>
      </c>
      <c r="O62" s="141"/>
    </row>
    <row r="63" spans="1:15" ht="75" x14ac:dyDescent="0.25">
      <c r="A63" s="132" t="s">
        <v>169</v>
      </c>
      <c r="B63" s="133" t="s">
        <v>174</v>
      </c>
      <c r="C63" s="134">
        <v>139750.39999999999</v>
      </c>
      <c r="D63" s="134">
        <v>69196.800000000003</v>
      </c>
      <c r="E63" s="135">
        <f t="shared" si="11"/>
        <v>49.514563106796125</v>
      </c>
      <c r="F63" s="136"/>
      <c r="G63" s="136"/>
      <c r="H63" s="137">
        <v>0</v>
      </c>
      <c r="I63" s="138">
        <f t="shared" si="9"/>
        <v>139750.39999999999</v>
      </c>
      <c r="J63" s="139"/>
      <c r="K63" s="140">
        <f t="shared" si="15"/>
        <v>139750.39999999999</v>
      </c>
      <c r="L63" s="138">
        <f t="shared" si="5"/>
        <v>69196.800000000003</v>
      </c>
      <c r="M63" s="139"/>
      <c r="N63" s="140">
        <f t="shared" si="6"/>
        <v>69196.800000000003</v>
      </c>
      <c r="O63" s="141"/>
    </row>
    <row r="64" spans="1:15" ht="112.5" customHeight="1" x14ac:dyDescent="0.25">
      <c r="A64" s="132" t="s">
        <v>169</v>
      </c>
      <c r="B64" s="133" t="s">
        <v>175</v>
      </c>
      <c r="C64" s="134">
        <v>39248.5</v>
      </c>
      <c r="D64" s="134">
        <v>10668.4</v>
      </c>
      <c r="E64" s="135">
        <f t="shared" si="11"/>
        <v>27.181675732830552</v>
      </c>
      <c r="F64" s="136"/>
      <c r="G64" s="136"/>
      <c r="H64" s="137">
        <v>0</v>
      </c>
      <c r="I64" s="138">
        <f t="shared" si="9"/>
        <v>39248.5</v>
      </c>
      <c r="J64" s="139"/>
      <c r="K64" s="140">
        <f t="shared" si="15"/>
        <v>39248.5</v>
      </c>
      <c r="L64" s="138">
        <f t="shared" si="5"/>
        <v>10668.4</v>
      </c>
      <c r="M64" s="139"/>
      <c r="N64" s="140">
        <f t="shared" si="6"/>
        <v>10668.4</v>
      </c>
      <c r="O64" s="141">
        <f t="shared" si="1"/>
        <v>27.181675732830552</v>
      </c>
    </row>
    <row r="65" spans="1:15" ht="114" customHeight="1" x14ac:dyDescent="0.25">
      <c r="A65" s="132" t="s">
        <v>169</v>
      </c>
      <c r="B65" s="133" t="s">
        <v>176</v>
      </c>
      <c r="C65" s="134">
        <v>3813.3</v>
      </c>
      <c r="D65" s="134">
        <v>1316.4</v>
      </c>
      <c r="E65" s="135">
        <f t="shared" si="11"/>
        <v>34.521280780426409</v>
      </c>
      <c r="F65" s="136"/>
      <c r="G65" s="136"/>
      <c r="H65" s="137">
        <v>0</v>
      </c>
      <c r="I65" s="138">
        <f t="shared" si="9"/>
        <v>3813.3</v>
      </c>
      <c r="J65" s="139"/>
      <c r="K65" s="140">
        <f t="shared" si="15"/>
        <v>3813.3</v>
      </c>
      <c r="L65" s="138">
        <f t="shared" si="5"/>
        <v>1316.4</v>
      </c>
      <c r="M65" s="139"/>
      <c r="N65" s="140">
        <f t="shared" si="6"/>
        <v>1316.4</v>
      </c>
      <c r="O65" s="141">
        <f t="shared" si="1"/>
        <v>34.521280780426409</v>
      </c>
    </row>
    <row r="66" spans="1:15" ht="123" customHeight="1" x14ac:dyDescent="0.25">
      <c r="A66" s="132" t="s">
        <v>169</v>
      </c>
      <c r="B66" s="133" t="s">
        <v>177</v>
      </c>
      <c r="C66" s="134">
        <v>11413.7</v>
      </c>
      <c r="D66" s="134">
        <v>6820.8</v>
      </c>
      <c r="E66" s="135">
        <f t="shared" si="11"/>
        <v>59.759762390811048</v>
      </c>
      <c r="F66" s="136"/>
      <c r="G66" s="136"/>
      <c r="H66" s="137">
        <v>0</v>
      </c>
      <c r="I66" s="138">
        <f t="shared" si="9"/>
        <v>11413.7</v>
      </c>
      <c r="J66" s="139"/>
      <c r="K66" s="140">
        <f t="shared" si="15"/>
        <v>11413.7</v>
      </c>
      <c r="L66" s="138">
        <f t="shared" si="5"/>
        <v>6820.8</v>
      </c>
      <c r="M66" s="139"/>
      <c r="N66" s="140">
        <f t="shared" si="6"/>
        <v>6820.8</v>
      </c>
      <c r="O66" s="141">
        <f t="shared" si="1"/>
        <v>59.759762390811048</v>
      </c>
    </row>
    <row r="67" spans="1:15" ht="78" customHeight="1" x14ac:dyDescent="0.25">
      <c r="A67" s="132" t="s">
        <v>169</v>
      </c>
      <c r="B67" s="133" t="s">
        <v>178</v>
      </c>
      <c r="C67" s="134"/>
      <c r="D67" s="134"/>
      <c r="E67" s="135"/>
      <c r="F67" s="136">
        <v>1873</v>
      </c>
      <c r="G67" s="136">
        <v>1386.9</v>
      </c>
      <c r="H67" s="137">
        <f>G67/F67*100</f>
        <v>74.046983449012288</v>
      </c>
      <c r="I67" s="138">
        <f t="shared" si="9"/>
        <v>1873</v>
      </c>
      <c r="J67" s="139"/>
      <c r="K67" s="140">
        <f t="shared" si="15"/>
        <v>1873</v>
      </c>
      <c r="L67" s="138">
        <f t="shared" si="5"/>
        <v>1386.9</v>
      </c>
      <c r="M67" s="139"/>
      <c r="N67" s="140">
        <f t="shared" si="6"/>
        <v>1386.9</v>
      </c>
      <c r="O67" s="141">
        <f t="shared" si="1"/>
        <v>74.046983449012288</v>
      </c>
    </row>
    <row r="68" spans="1:15" ht="59.25" customHeight="1" x14ac:dyDescent="0.25">
      <c r="A68" s="142" t="s">
        <v>169</v>
      </c>
      <c r="B68" s="133" t="s">
        <v>179</v>
      </c>
      <c r="C68" s="134">
        <f>13237+248.5</f>
        <v>13485.5</v>
      </c>
      <c r="D68" s="134">
        <v>1185.5999999999999</v>
      </c>
      <c r="E68" s="135">
        <f t="shared" si="11"/>
        <v>8.7916651217974859</v>
      </c>
      <c r="F68" s="136">
        <v>19549.099999999999</v>
      </c>
      <c r="G68" s="136">
        <v>3150.5</v>
      </c>
      <c r="H68" s="137">
        <f>G68/F68*100</f>
        <v>16.115831419349231</v>
      </c>
      <c r="I68" s="138">
        <f t="shared" si="9"/>
        <v>33034.6</v>
      </c>
      <c r="J68" s="139">
        <v>13237</v>
      </c>
      <c r="K68" s="140">
        <f t="shared" si="15"/>
        <v>19797.599999999999</v>
      </c>
      <c r="L68" s="138">
        <f t="shared" si="5"/>
        <v>4336.1000000000004</v>
      </c>
      <c r="M68" s="139">
        <v>1185.5999999999999</v>
      </c>
      <c r="N68" s="140">
        <f t="shared" si="6"/>
        <v>3150.5000000000005</v>
      </c>
      <c r="O68" s="141">
        <f t="shared" si="1"/>
        <v>15.913545076170852</v>
      </c>
    </row>
    <row r="69" spans="1:15" ht="108" customHeight="1" x14ac:dyDescent="0.25">
      <c r="A69" s="132" t="s">
        <v>180</v>
      </c>
      <c r="B69" s="133" t="s">
        <v>181</v>
      </c>
      <c r="C69" s="135">
        <v>45079.6</v>
      </c>
      <c r="D69" s="135">
        <v>44488.2</v>
      </c>
      <c r="E69" s="135">
        <f t="shared" si="11"/>
        <v>98.688098385966157</v>
      </c>
      <c r="F69" s="137">
        <v>22459.7</v>
      </c>
      <c r="G69" s="137">
        <v>20108.599999999999</v>
      </c>
      <c r="H69" s="137">
        <f>G69/F69*100</f>
        <v>89.531917167192788</v>
      </c>
      <c r="I69" s="138">
        <f t="shared" si="9"/>
        <v>67539.3</v>
      </c>
      <c r="J69" s="139">
        <v>6000</v>
      </c>
      <c r="K69" s="140">
        <f t="shared" si="15"/>
        <v>61539.3</v>
      </c>
      <c r="L69" s="138">
        <f t="shared" si="5"/>
        <v>64596.799999999996</v>
      </c>
      <c r="M69" s="139">
        <v>6000</v>
      </c>
      <c r="N69" s="140">
        <f t="shared" si="6"/>
        <v>58596.799999999996</v>
      </c>
      <c r="O69" s="141">
        <f t="shared" si="1"/>
        <v>95.218502647901417</v>
      </c>
    </row>
    <row r="70" spans="1:15" ht="409.5" hidden="1" x14ac:dyDescent="0.25">
      <c r="A70" s="149" t="s">
        <v>180</v>
      </c>
      <c r="B70" s="133" t="s">
        <v>182</v>
      </c>
      <c r="C70" s="134"/>
      <c r="D70" s="134"/>
      <c r="E70" s="135" t="e">
        <f t="shared" si="11"/>
        <v>#DIV/0!</v>
      </c>
      <c r="F70" s="136"/>
      <c r="G70" s="136"/>
      <c r="H70" s="137" t="e">
        <f t="shared" ref="H70:H74" si="19">G70/F70*100</f>
        <v>#DIV/0!</v>
      </c>
      <c r="I70" s="138">
        <f t="shared" si="9"/>
        <v>0</v>
      </c>
      <c r="J70" s="139"/>
      <c r="K70" s="140">
        <f t="shared" si="15"/>
        <v>0</v>
      </c>
      <c r="L70" s="138">
        <f t="shared" si="5"/>
        <v>0</v>
      </c>
      <c r="M70" s="139"/>
      <c r="N70" s="140">
        <f t="shared" si="6"/>
        <v>0</v>
      </c>
      <c r="O70" s="141" t="e">
        <f t="shared" si="1"/>
        <v>#DIV/0!</v>
      </c>
    </row>
    <row r="71" spans="1:15" ht="150" hidden="1" x14ac:dyDescent="0.25">
      <c r="A71" s="132" t="s">
        <v>180</v>
      </c>
      <c r="B71" s="133" t="s">
        <v>183</v>
      </c>
      <c r="C71" s="134"/>
      <c r="D71" s="134"/>
      <c r="E71" s="135" t="e">
        <f t="shared" si="11"/>
        <v>#DIV/0!</v>
      </c>
      <c r="F71" s="136"/>
      <c r="G71" s="136"/>
      <c r="H71" s="137" t="e">
        <f t="shared" si="19"/>
        <v>#DIV/0!</v>
      </c>
      <c r="I71" s="138">
        <f t="shared" si="9"/>
        <v>0</v>
      </c>
      <c r="J71" s="139"/>
      <c r="K71" s="140">
        <f t="shared" si="15"/>
        <v>0</v>
      </c>
      <c r="L71" s="138">
        <f t="shared" si="5"/>
        <v>0</v>
      </c>
      <c r="M71" s="139"/>
      <c r="N71" s="140">
        <f t="shared" si="6"/>
        <v>0</v>
      </c>
      <c r="O71" s="141" t="e">
        <f t="shared" si="1"/>
        <v>#DIV/0!</v>
      </c>
    </row>
    <row r="72" spans="1:15" ht="135" hidden="1" x14ac:dyDescent="0.25">
      <c r="A72" s="142" t="s">
        <v>180</v>
      </c>
      <c r="B72" s="133" t="s">
        <v>184</v>
      </c>
      <c r="C72" s="134"/>
      <c r="D72" s="134"/>
      <c r="E72" s="135" t="e">
        <f t="shared" si="11"/>
        <v>#DIV/0!</v>
      </c>
      <c r="F72" s="136"/>
      <c r="G72" s="136"/>
      <c r="H72" s="137" t="e">
        <f t="shared" si="19"/>
        <v>#DIV/0!</v>
      </c>
      <c r="I72" s="138">
        <f t="shared" si="9"/>
        <v>0</v>
      </c>
      <c r="J72" s="139"/>
      <c r="K72" s="140">
        <f t="shared" si="15"/>
        <v>0</v>
      </c>
      <c r="L72" s="138">
        <f t="shared" si="5"/>
        <v>0</v>
      </c>
      <c r="M72" s="139"/>
      <c r="N72" s="140">
        <f t="shared" si="6"/>
        <v>0</v>
      </c>
      <c r="O72" s="141" t="e">
        <f t="shared" si="1"/>
        <v>#DIV/0!</v>
      </c>
    </row>
    <row r="73" spans="1:15" ht="135" hidden="1" x14ac:dyDescent="0.25">
      <c r="A73" s="142" t="s">
        <v>180</v>
      </c>
      <c r="B73" s="133" t="s">
        <v>185</v>
      </c>
      <c r="C73" s="134"/>
      <c r="D73" s="134"/>
      <c r="E73" s="135" t="e">
        <f t="shared" si="11"/>
        <v>#DIV/0!</v>
      </c>
      <c r="F73" s="136"/>
      <c r="G73" s="136"/>
      <c r="H73" s="137" t="e">
        <f t="shared" si="19"/>
        <v>#DIV/0!</v>
      </c>
      <c r="I73" s="138">
        <f t="shared" si="9"/>
        <v>0</v>
      </c>
      <c r="J73" s="139"/>
      <c r="K73" s="140">
        <f t="shared" si="15"/>
        <v>0</v>
      </c>
      <c r="L73" s="138">
        <f t="shared" si="5"/>
        <v>0</v>
      </c>
      <c r="M73" s="139"/>
      <c r="N73" s="140">
        <f t="shared" si="6"/>
        <v>0</v>
      </c>
      <c r="O73" s="141" t="e">
        <f t="shared" si="1"/>
        <v>#DIV/0!</v>
      </c>
    </row>
    <row r="74" spans="1:15" ht="63.75" x14ac:dyDescent="0.25">
      <c r="A74" s="132" t="s">
        <v>180</v>
      </c>
      <c r="B74" s="155" t="s">
        <v>186</v>
      </c>
      <c r="C74" s="134">
        <v>3813.4</v>
      </c>
      <c r="D74" s="134">
        <v>2169.8000000000002</v>
      </c>
      <c r="E74" s="135">
        <f>D74/C74*100</f>
        <v>56.899354906382761</v>
      </c>
      <c r="F74" s="136"/>
      <c r="G74" s="136"/>
      <c r="H74" s="137" t="e">
        <f t="shared" si="19"/>
        <v>#DIV/0!</v>
      </c>
      <c r="I74" s="138">
        <f t="shared" si="9"/>
        <v>3813.4</v>
      </c>
      <c r="J74" s="139"/>
      <c r="K74" s="140">
        <f t="shared" si="15"/>
        <v>3813.4</v>
      </c>
      <c r="L74" s="138">
        <f t="shared" si="5"/>
        <v>2169.8000000000002</v>
      </c>
      <c r="M74" s="139"/>
      <c r="N74" s="140">
        <f t="shared" si="6"/>
        <v>2169.8000000000002</v>
      </c>
      <c r="O74" s="141">
        <f>N74/K74*100</f>
        <v>56.899354906382761</v>
      </c>
    </row>
    <row r="75" spans="1:15" ht="79.5" customHeight="1" x14ac:dyDescent="0.25">
      <c r="A75" s="142" t="s">
        <v>180</v>
      </c>
      <c r="B75" s="151" t="s">
        <v>187</v>
      </c>
      <c r="C75" s="134">
        <v>41350.6</v>
      </c>
      <c r="D75" s="134">
        <v>1740.3</v>
      </c>
      <c r="E75" s="135">
        <f t="shared" ref="E75:E86" si="20">D75/C75*100</f>
        <v>4.2086450982573407</v>
      </c>
      <c r="F75" s="136">
        <f>22186.6+1631.4+19921.1</f>
        <v>43739.1</v>
      </c>
      <c r="G75" s="136">
        <f>1596.8+10829.9</f>
        <v>12426.699999999999</v>
      </c>
      <c r="H75" s="137">
        <f>G75/F75*100</f>
        <v>28.410964103056529</v>
      </c>
      <c r="I75" s="138">
        <f t="shared" si="9"/>
        <v>85089.7</v>
      </c>
      <c r="J75" s="139">
        <v>22186.5</v>
      </c>
      <c r="K75" s="140">
        <f t="shared" si="15"/>
        <v>62903.199999999997</v>
      </c>
      <c r="L75" s="138">
        <f>D75+G75</f>
        <v>14166.999999999998</v>
      </c>
      <c r="M75" s="139"/>
      <c r="N75" s="140">
        <f>L75-M75</f>
        <v>14166.999999999998</v>
      </c>
      <c r="O75" s="141">
        <f t="shared" si="1"/>
        <v>22.521906675654019</v>
      </c>
    </row>
    <row r="76" spans="1:15" ht="49.5" customHeight="1" x14ac:dyDescent="0.25">
      <c r="A76" s="142" t="s">
        <v>180</v>
      </c>
      <c r="B76" s="151" t="s">
        <v>188</v>
      </c>
      <c r="C76" s="134">
        <v>252.3</v>
      </c>
      <c r="D76" s="134">
        <v>252.3</v>
      </c>
      <c r="E76" s="135">
        <f t="shared" si="20"/>
        <v>100</v>
      </c>
      <c r="F76" s="136"/>
      <c r="G76" s="136"/>
      <c r="H76" s="137"/>
      <c r="I76" s="138">
        <f t="shared" si="9"/>
        <v>252.3</v>
      </c>
      <c r="J76" s="139"/>
      <c r="K76" s="140">
        <f t="shared" si="15"/>
        <v>252.3</v>
      </c>
      <c r="L76" s="138">
        <f t="shared" si="5"/>
        <v>252.3</v>
      </c>
      <c r="M76" s="139"/>
      <c r="N76" s="140">
        <f t="shared" si="6"/>
        <v>252.3</v>
      </c>
      <c r="O76" s="141"/>
    </row>
    <row r="77" spans="1:15" ht="43.5" customHeight="1" x14ac:dyDescent="0.25">
      <c r="A77" s="142" t="s">
        <v>180</v>
      </c>
      <c r="B77" s="151" t="s">
        <v>189</v>
      </c>
      <c r="C77" s="134">
        <v>8500</v>
      </c>
      <c r="D77" s="134"/>
      <c r="E77" s="135">
        <f t="shared" si="20"/>
        <v>0</v>
      </c>
      <c r="F77" s="136"/>
      <c r="G77" s="136"/>
      <c r="H77" s="137"/>
      <c r="I77" s="138">
        <f t="shared" si="9"/>
        <v>8500</v>
      </c>
      <c r="J77" s="139"/>
      <c r="K77" s="140">
        <f t="shared" si="15"/>
        <v>8500</v>
      </c>
      <c r="L77" s="138">
        <f t="shared" si="5"/>
        <v>0</v>
      </c>
      <c r="M77" s="139"/>
      <c r="N77" s="140">
        <f t="shared" si="6"/>
        <v>0</v>
      </c>
      <c r="O77" s="141"/>
    </row>
    <row r="78" spans="1:15" ht="98.25" customHeight="1" x14ac:dyDescent="0.25">
      <c r="A78" s="142" t="s">
        <v>180</v>
      </c>
      <c r="B78" s="156" t="s">
        <v>190</v>
      </c>
      <c r="C78" s="134">
        <v>161500</v>
      </c>
      <c r="D78" s="134"/>
      <c r="E78" s="135">
        <f t="shared" si="20"/>
        <v>0</v>
      </c>
      <c r="F78" s="136"/>
      <c r="G78" s="136"/>
      <c r="H78" s="137" t="e">
        <f>G78/F78*100</f>
        <v>#DIV/0!</v>
      </c>
      <c r="I78" s="138">
        <f t="shared" si="9"/>
        <v>161500</v>
      </c>
      <c r="J78" s="139"/>
      <c r="K78" s="140">
        <f t="shared" si="15"/>
        <v>161500</v>
      </c>
      <c r="L78" s="138">
        <f t="shared" si="5"/>
        <v>0</v>
      </c>
      <c r="M78" s="139"/>
      <c r="N78" s="140">
        <f t="shared" si="6"/>
        <v>0</v>
      </c>
      <c r="O78" s="141">
        <f>N78/K78*100</f>
        <v>0</v>
      </c>
    </row>
    <row r="79" spans="1:15" ht="77.25" customHeight="1" x14ac:dyDescent="0.25">
      <c r="A79" s="142" t="s">
        <v>180</v>
      </c>
      <c r="B79" s="151" t="s">
        <v>191</v>
      </c>
      <c r="C79" s="134">
        <v>8101.2</v>
      </c>
      <c r="D79" s="134">
        <v>4788.5</v>
      </c>
      <c r="E79" s="135">
        <f t="shared" si="20"/>
        <v>59.108527131782949</v>
      </c>
      <c r="F79" s="136">
        <v>1700</v>
      </c>
      <c r="G79" s="136">
        <v>222.1</v>
      </c>
      <c r="H79" s="137">
        <f>G79/F79*100</f>
        <v>13.064705882352943</v>
      </c>
      <c r="I79" s="138">
        <f t="shared" si="9"/>
        <v>9801.2000000000007</v>
      </c>
      <c r="J79" s="139">
        <v>1700</v>
      </c>
      <c r="K79" s="140">
        <f t="shared" si="15"/>
        <v>8101.2000000000007</v>
      </c>
      <c r="L79" s="138">
        <f t="shared" si="5"/>
        <v>5010.6000000000004</v>
      </c>
      <c r="M79" s="139">
        <v>310.89999999999998</v>
      </c>
      <c r="N79" s="140">
        <f t="shared" si="6"/>
        <v>4699.7000000000007</v>
      </c>
      <c r="O79" s="141">
        <f>N79/K79*100</f>
        <v>58.012393225694957</v>
      </c>
    </row>
    <row r="80" spans="1:15" ht="90" customHeight="1" x14ac:dyDescent="0.25">
      <c r="A80" s="142" t="s">
        <v>180</v>
      </c>
      <c r="B80" s="151" t="s">
        <v>192</v>
      </c>
      <c r="C80" s="134"/>
      <c r="D80" s="134"/>
      <c r="E80" s="135" t="e">
        <f t="shared" si="20"/>
        <v>#DIV/0!</v>
      </c>
      <c r="F80" s="136">
        <v>15100</v>
      </c>
      <c r="G80" s="136">
        <v>7550</v>
      </c>
      <c r="H80" s="137">
        <f>G80/F80*100</f>
        <v>50</v>
      </c>
      <c r="I80" s="138">
        <f t="shared" si="9"/>
        <v>15100</v>
      </c>
      <c r="J80" s="139">
        <v>15100</v>
      </c>
      <c r="K80" s="140">
        <f t="shared" si="15"/>
        <v>0</v>
      </c>
      <c r="L80" s="138">
        <f t="shared" si="5"/>
        <v>7550</v>
      </c>
      <c r="M80" s="139">
        <v>7550</v>
      </c>
      <c r="N80" s="140">
        <f t="shared" si="6"/>
        <v>0</v>
      </c>
      <c r="O80" s="141" t="e">
        <f>N80/K80*100</f>
        <v>#DIV/0!</v>
      </c>
    </row>
    <row r="81" spans="1:15" ht="270" hidden="1" x14ac:dyDescent="0.25">
      <c r="A81" s="142" t="s">
        <v>180</v>
      </c>
      <c r="B81" s="151" t="s">
        <v>193</v>
      </c>
      <c r="C81" s="134"/>
      <c r="D81" s="134"/>
      <c r="E81" s="135" t="e">
        <f t="shared" si="20"/>
        <v>#DIV/0!</v>
      </c>
      <c r="F81" s="136"/>
      <c r="G81" s="136"/>
      <c r="H81" s="137" t="e">
        <f>G81/F81*100</f>
        <v>#DIV/0!</v>
      </c>
      <c r="I81" s="138">
        <f t="shared" si="9"/>
        <v>0</v>
      </c>
      <c r="J81" s="139"/>
      <c r="K81" s="140">
        <f t="shared" si="15"/>
        <v>0</v>
      </c>
      <c r="L81" s="138">
        <f t="shared" si="5"/>
        <v>0</v>
      </c>
      <c r="M81" s="139"/>
      <c r="N81" s="140">
        <f t="shared" si="6"/>
        <v>0</v>
      </c>
      <c r="O81" s="141" t="e">
        <f>N81/K81*100</f>
        <v>#DIV/0!</v>
      </c>
    </row>
    <row r="82" spans="1:15" ht="30" x14ac:dyDescent="0.25">
      <c r="A82" s="142" t="s">
        <v>180</v>
      </c>
      <c r="B82" s="151" t="s">
        <v>194</v>
      </c>
      <c r="C82" s="134">
        <v>3243</v>
      </c>
      <c r="D82" s="134">
        <v>1311.4</v>
      </c>
      <c r="E82" s="135">
        <f t="shared" si="20"/>
        <v>40.437866173296335</v>
      </c>
      <c r="F82" s="136"/>
      <c r="G82" s="136"/>
      <c r="H82" s="137" t="e">
        <f>G82/F82*100</f>
        <v>#DIV/0!</v>
      </c>
      <c r="I82" s="138">
        <f t="shared" si="9"/>
        <v>3243</v>
      </c>
      <c r="J82" s="139"/>
      <c r="K82" s="140">
        <f t="shared" si="15"/>
        <v>3243</v>
      </c>
      <c r="L82" s="138">
        <f t="shared" si="5"/>
        <v>1311.4</v>
      </c>
      <c r="M82" s="139"/>
      <c r="N82" s="140">
        <f t="shared" si="6"/>
        <v>1311.4</v>
      </c>
      <c r="O82" s="157">
        <f t="shared" si="1"/>
        <v>40.437866173296335</v>
      </c>
    </row>
    <row r="83" spans="1:15" ht="64.5" customHeight="1" x14ac:dyDescent="0.25">
      <c r="A83" s="142" t="s">
        <v>180</v>
      </c>
      <c r="B83" s="151" t="s">
        <v>195</v>
      </c>
      <c r="C83" s="134">
        <v>44828.1</v>
      </c>
      <c r="D83" s="134">
        <v>699</v>
      </c>
      <c r="E83" s="135">
        <f t="shared" si="20"/>
        <v>1.5592898204474426</v>
      </c>
      <c r="F83" s="136">
        <v>2724</v>
      </c>
      <c r="G83" s="136">
        <v>699</v>
      </c>
      <c r="H83" s="137">
        <f t="shared" ref="H83:H86" si="21">G83/F83*100</f>
        <v>25.66079295154185</v>
      </c>
      <c r="I83" s="138">
        <f t="shared" si="9"/>
        <v>47552.1</v>
      </c>
      <c r="J83" s="139">
        <v>2724</v>
      </c>
      <c r="K83" s="140">
        <f t="shared" si="15"/>
        <v>44828.1</v>
      </c>
      <c r="L83" s="138">
        <f t="shared" si="5"/>
        <v>1398</v>
      </c>
      <c r="M83" s="139">
        <v>699</v>
      </c>
      <c r="N83" s="140">
        <f t="shared" si="6"/>
        <v>699</v>
      </c>
      <c r="O83" s="141">
        <f t="shared" si="1"/>
        <v>1.5592898204474426</v>
      </c>
    </row>
    <row r="84" spans="1:15" ht="405" hidden="1" x14ac:dyDescent="0.25">
      <c r="A84" s="142" t="s">
        <v>180</v>
      </c>
      <c r="B84" s="151" t="s">
        <v>196</v>
      </c>
      <c r="C84" s="134"/>
      <c r="D84" s="134"/>
      <c r="E84" s="135" t="e">
        <f t="shared" si="20"/>
        <v>#DIV/0!</v>
      </c>
      <c r="F84" s="136"/>
      <c r="G84" s="136"/>
      <c r="H84" s="137" t="e">
        <f t="shared" si="21"/>
        <v>#DIV/0!</v>
      </c>
      <c r="I84" s="138">
        <f t="shared" si="9"/>
        <v>0</v>
      </c>
      <c r="J84" s="139"/>
      <c r="K84" s="140">
        <f t="shared" si="15"/>
        <v>0</v>
      </c>
      <c r="L84" s="138">
        <f t="shared" si="5"/>
        <v>0</v>
      </c>
      <c r="M84" s="139"/>
      <c r="N84" s="140">
        <f t="shared" si="6"/>
        <v>0</v>
      </c>
      <c r="O84" s="141" t="e">
        <f t="shared" si="1"/>
        <v>#DIV/0!</v>
      </c>
    </row>
    <row r="85" spans="1:15" ht="75" hidden="1" x14ac:dyDescent="0.25">
      <c r="A85" s="142" t="s">
        <v>180</v>
      </c>
      <c r="B85" s="151" t="s">
        <v>196</v>
      </c>
      <c r="C85" s="134"/>
      <c r="D85" s="134"/>
      <c r="E85" s="135" t="e">
        <f t="shared" si="20"/>
        <v>#DIV/0!</v>
      </c>
      <c r="F85" s="136"/>
      <c r="G85" s="136"/>
      <c r="H85" s="137" t="e">
        <f t="shared" si="21"/>
        <v>#DIV/0!</v>
      </c>
      <c r="I85" s="138">
        <f t="shared" si="9"/>
        <v>0</v>
      </c>
      <c r="J85" s="139"/>
      <c r="K85" s="140">
        <f t="shared" si="15"/>
        <v>0</v>
      </c>
      <c r="L85" s="138">
        <f t="shared" si="5"/>
        <v>0</v>
      </c>
      <c r="M85" s="139"/>
      <c r="N85" s="140">
        <f t="shared" si="6"/>
        <v>0</v>
      </c>
      <c r="O85" s="141"/>
    </row>
    <row r="86" spans="1:15" ht="120" x14ac:dyDescent="0.25">
      <c r="A86" s="142" t="s">
        <v>197</v>
      </c>
      <c r="B86" s="151" t="s">
        <v>198</v>
      </c>
      <c r="C86" s="134">
        <f>13496.8+1649.1+9344.8</f>
        <v>24490.699999999997</v>
      </c>
      <c r="D86" s="134">
        <v>13496.8</v>
      </c>
      <c r="E86" s="135">
        <f t="shared" si="20"/>
        <v>55.10989885956711</v>
      </c>
      <c r="F86" s="134">
        <f>13496.8+10993.9</f>
        <v>24490.699999999997</v>
      </c>
      <c r="G86" s="136">
        <v>13496.9</v>
      </c>
      <c r="H86" s="137">
        <f t="shared" si="21"/>
        <v>55.110307177826691</v>
      </c>
      <c r="I86" s="138">
        <f t="shared" si="9"/>
        <v>48981.399999999994</v>
      </c>
      <c r="J86" s="139">
        <v>24490.7</v>
      </c>
      <c r="K86" s="140">
        <f t="shared" si="15"/>
        <v>24490.699999999993</v>
      </c>
      <c r="L86" s="138">
        <f t="shared" si="5"/>
        <v>26993.699999999997</v>
      </c>
      <c r="M86" s="139">
        <v>13496.9</v>
      </c>
      <c r="N86" s="140">
        <f t="shared" si="6"/>
        <v>13496.799999999997</v>
      </c>
      <c r="O86" s="141"/>
    </row>
    <row r="87" spans="1:15" ht="121.5" customHeight="1" x14ac:dyDescent="0.25">
      <c r="A87" s="152" t="s">
        <v>197</v>
      </c>
      <c r="B87" s="133" t="s">
        <v>199</v>
      </c>
      <c r="C87" s="134">
        <v>1500</v>
      </c>
      <c r="D87" s="134">
        <v>35</v>
      </c>
      <c r="E87" s="135">
        <f t="shared" si="11"/>
        <v>2.3333333333333335</v>
      </c>
      <c r="F87" s="134">
        <v>1500</v>
      </c>
      <c r="G87" s="136">
        <v>35</v>
      </c>
      <c r="H87" s="137">
        <f>G87/F87*100</f>
        <v>2.3333333333333335</v>
      </c>
      <c r="I87" s="138">
        <f t="shared" ref="I87:I100" si="22">C87+F87</f>
        <v>3000</v>
      </c>
      <c r="J87" s="139">
        <v>1500</v>
      </c>
      <c r="K87" s="140">
        <f t="shared" si="15"/>
        <v>1500</v>
      </c>
      <c r="L87" s="138">
        <f t="shared" ref="L87:L145" si="23">D87+G87</f>
        <v>70</v>
      </c>
      <c r="M87" s="139">
        <v>35</v>
      </c>
      <c r="N87" s="140">
        <f t="shared" ref="N87:N145" si="24">L87-M87</f>
        <v>35</v>
      </c>
      <c r="O87" s="141">
        <f t="shared" si="1"/>
        <v>2.3333333333333335</v>
      </c>
    </row>
    <row r="88" spans="1:15" ht="240" hidden="1" x14ac:dyDescent="0.25">
      <c r="A88" s="142" t="s">
        <v>197</v>
      </c>
      <c r="B88" s="133" t="s">
        <v>200</v>
      </c>
      <c r="C88" s="134"/>
      <c r="D88" s="134"/>
      <c r="E88" s="135" t="e">
        <f t="shared" si="11"/>
        <v>#DIV/0!</v>
      </c>
      <c r="F88" s="134"/>
      <c r="G88" s="136"/>
      <c r="H88" s="137"/>
      <c r="I88" s="138">
        <f t="shared" si="22"/>
        <v>0</v>
      </c>
      <c r="J88" s="139"/>
      <c r="K88" s="140">
        <f t="shared" si="15"/>
        <v>0</v>
      </c>
      <c r="L88" s="138">
        <f t="shared" si="23"/>
        <v>0</v>
      </c>
      <c r="M88" s="139"/>
      <c r="N88" s="140">
        <f t="shared" si="24"/>
        <v>0</v>
      </c>
      <c r="O88" s="141"/>
    </row>
    <row r="89" spans="1:15" ht="45" hidden="1" x14ac:dyDescent="0.25">
      <c r="A89" s="142" t="s">
        <v>197</v>
      </c>
      <c r="B89" s="133" t="s">
        <v>201</v>
      </c>
      <c r="C89" s="134"/>
      <c r="D89" s="134"/>
      <c r="E89" s="135" t="e">
        <f t="shared" si="11"/>
        <v>#DIV/0!</v>
      </c>
      <c r="F89" s="134"/>
      <c r="G89" s="136"/>
      <c r="H89" s="137"/>
      <c r="I89" s="138">
        <f t="shared" si="22"/>
        <v>0</v>
      </c>
      <c r="J89" s="139"/>
      <c r="K89" s="140">
        <f t="shared" si="15"/>
        <v>0</v>
      </c>
      <c r="L89" s="138">
        <f t="shared" si="23"/>
        <v>0</v>
      </c>
      <c r="M89" s="139"/>
      <c r="N89" s="140">
        <f t="shared" si="24"/>
        <v>0</v>
      </c>
      <c r="O89" s="141"/>
    </row>
    <row r="90" spans="1:15" ht="75" x14ac:dyDescent="0.25">
      <c r="A90" s="142" t="s">
        <v>197</v>
      </c>
      <c r="B90" s="133" t="s">
        <v>202</v>
      </c>
      <c r="C90" s="134">
        <v>12827.5</v>
      </c>
      <c r="D90" s="134">
        <v>9481</v>
      </c>
      <c r="E90" s="135">
        <f t="shared" si="11"/>
        <v>73.911518222568702</v>
      </c>
      <c r="F90" s="134">
        <v>12827.5</v>
      </c>
      <c r="G90" s="136">
        <v>9481</v>
      </c>
      <c r="H90" s="137">
        <f>G90/F90*100</f>
        <v>73.911518222568702</v>
      </c>
      <c r="I90" s="138">
        <f t="shared" si="22"/>
        <v>25655</v>
      </c>
      <c r="J90" s="139">
        <v>12827.5</v>
      </c>
      <c r="K90" s="140">
        <f t="shared" si="15"/>
        <v>12827.5</v>
      </c>
      <c r="L90" s="138">
        <f t="shared" si="23"/>
        <v>18962</v>
      </c>
      <c r="M90" s="139">
        <v>9481</v>
      </c>
      <c r="N90" s="140">
        <f>L90-M90</f>
        <v>9481</v>
      </c>
      <c r="O90" s="141">
        <f t="shared" si="1"/>
        <v>73.911518222568702</v>
      </c>
    </row>
    <row r="91" spans="1:15" ht="94.5" customHeight="1" x14ac:dyDescent="0.25">
      <c r="A91" s="158" t="s">
        <v>197</v>
      </c>
      <c r="B91" s="159" t="s">
        <v>203</v>
      </c>
      <c r="C91" s="134">
        <v>2118.1999999999998</v>
      </c>
      <c r="D91" s="134"/>
      <c r="E91" s="135"/>
      <c r="F91" s="134">
        <v>3278.2</v>
      </c>
      <c r="G91" s="136">
        <v>52</v>
      </c>
      <c r="H91" s="137">
        <f>G91/F91*100</f>
        <v>1.5862363492160334</v>
      </c>
      <c r="I91" s="138">
        <f t="shared" si="22"/>
        <v>5396.4</v>
      </c>
      <c r="J91" s="139">
        <v>2118.1999999999998</v>
      </c>
      <c r="K91" s="140">
        <f t="shared" si="15"/>
        <v>3278.2</v>
      </c>
      <c r="L91" s="138">
        <f t="shared" si="23"/>
        <v>52</v>
      </c>
      <c r="M91" s="139"/>
      <c r="N91" s="140">
        <f t="shared" si="24"/>
        <v>52</v>
      </c>
      <c r="O91" s="141">
        <f t="shared" si="1"/>
        <v>1.5862363492160334</v>
      </c>
    </row>
    <row r="92" spans="1:15" ht="390" hidden="1" x14ac:dyDescent="0.25">
      <c r="A92" s="142" t="s">
        <v>197</v>
      </c>
      <c r="B92" s="133" t="s">
        <v>204</v>
      </c>
      <c r="C92" s="134"/>
      <c r="D92" s="134"/>
      <c r="E92" s="135"/>
      <c r="F92" s="134"/>
      <c r="G92" s="136"/>
      <c r="H92" s="137" t="e">
        <f t="shared" ref="H92:H93" si="25">G92/F92*100</f>
        <v>#DIV/0!</v>
      </c>
      <c r="I92" s="138">
        <f t="shared" si="22"/>
        <v>0</v>
      </c>
      <c r="J92" s="139"/>
      <c r="K92" s="140">
        <f t="shared" si="15"/>
        <v>0</v>
      </c>
      <c r="L92" s="138">
        <f t="shared" si="23"/>
        <v>0</v>
      </c>
      <c r="M92" s="139"/>
      <c r="N92" s="140">
        <f t="shared" si="24"/>
        <v>0</v>
      </c>
      <c r="O92" s="141"/>
    </row>
    <row r="93" spans="1:15" ht="60" hidden="1" x14ac:dyDescent="0.25">
      <c r="A93" s="142" t="s">
        <v>197</v>
      </c>
      <c r="B93" s="133" t="s">
        <v>205</v>
      </c>
      <c r="C93" s="134"/>
      <c r="D93" s="134"/>
      <c r="E93" s="135" t="e">
        <f t="shared" si="11"/>
        <v>#DIV/0!</v>
      </c>
      <c r="F93" s="134"/>
      <c r="G93" s="136"/>
      <c r="H93" s="137" t="e">
        <f t="shared" si="25"/>
        <v>#DIV/0!</v>
      </c>
      <c r="I93" s="138">
        <f t="shared" si="22"/>
        <v>0</v>
      </c>
      <c r="J93" s="139"/>
      <c r="K93" s="140">
        <f t="shared" si="15"/>
        <v>0</v>
      </c>
      <c r="L93" s="138">
        <f t="shared" si="23"/>
        <v>0</v>
      </c>
      <c r="M93" s="139"/>
      <c r="N93" s="140">
        <f t="shared" si="24"/>
        <v>0</v>
      </c>
      <c r="O93" s="141" t="e">
        <f t="shared" si="1"/>
        <v>#DIV/0!</v>
      </c>
    </row>
    <row r="94" spans="1:15" ht="90" hidden="1" x14ac:dyDescent="0.25">
      <c r="A94" s="142" t="s">
        <v>197</v>
      </c>
      <c r="B94" s="160" t="s">
        <v>206</v>
      </c>
      <c r="C94" s="134"/>
      <c r="D94" s="134"/>
      <c r="E94" s="135"/>
      <c r="F94" s="134"/>
      <c r="G94" s="136"/>
      <c r="H94" s="137" t="e">
        <f>G94/F94*100</f>
        <v>#DIV/0!</v>
      </c>
      <c r="I94" s="138">
        <f t="shared" si="22"/>
        <v>0</v>
      </c>
      <c r="J94" s="139"/>
      <c r="K94" s="140">
        <f t="shared" si="15"/>
        <v>0</v>
      </c>
      <c r="L94" s="138">
        <f t="shared" si="23"/>
        <v>0</v>
      </c>
      <c r="M94" s="139"/>
      <c r="N94" s="140">
        <f t="shared" si="24"/>
        <v>0</v>
      </c>
      <c r="O94" s="141" t="e">
        <f t="shared" si="1"/>
        <v>#DIV/0!</v>
      </c>
    </row>
    <row r="95" spans="1:15" ht="150" hidden="1" x14ac:dyDescent="0.25">
      <c r="A95" s="142" t="s">
        <v>197</v>
      </c>
      <c r="B95" s="133" t="s">
        <v>207</v>
      </c>
      <c r="C95" s="134"/>
      <c r="D95" s="134"/>
      <c r="E95" s="135" t="e">
        <f t="shared" si="11"/>
        <v>#DIV/0!</v>
      </c>
      <c r="F95" s="134"/>
      <c r="G95" s="136"/>
      <c r="H95" s="137" t="e">
        <f>G95/F95*100</f>
        <v>#DIV/0!</v>
      </c>
      <c r="I95" s="138">
        <f t="shared" si="22"/>
        <v>0</v>
      </c>
      <c r="J95" s="139"/>
      <c r="K95" s="140">
        <f t="shared" si="15"/>
        <v>0</v>
      </c>
      <c r="L95" s="138">
        <f t="shared" si="23"/>
        <v>0</v>
      </c>
      <c r="M95" s="139"/>
      <c r="N95" s="140">
        <f t="shared" si="24"/>
        <v>0</v>
      </c>
      <c r="O95" s="141" t="e">
        <f t="shared" si="1"/>
        <v>#DIV/0!</v>
      </c>
    </row>
    <row r="96" spans="1:15" ht="195" hidden="1" x14ac:dyDescent="0.25">
      <c r="A96" s="142" t="s">
        <v>197</v>
      </c>
      <c r="B96" s="133" t="s">
        <v>208</v>
      </c>
      <c r="C96" s="134"/>
      <c r="D96" s="134"/>
      <c r="E96" s="135"/>
      <c r="F96" s="134"/>
      <c r="G96" s="136"/>
      <c r="H96" s="137"/>
      <c r="I96" s="138">
        <f t="shared" si="22"/>
        <v>0</v>
      </c>
      <c r="J96" s="139"/>
      <c r="K96" s="140">
        <f t="shared" ref="K96:K100" si="26">I96-J96</f>
        <v>0</v>
      </c>
      <c r="L96" s="138">
        <f t="shared" si="23"/>
        <v>0</v>
      </c>
      <c r="M96" s="139"/>
      <c r="N96" s="140">
        <f t="shared" si="24"/>
        <v>0</v>
      </c>
      <c r="O96" s="141" t="e">
        <f t="shared" si="1"/>
        <v>#DIV/0!</v>
      </c>
    </row>
    <row r="97" spans="1:15" ht="30" x14ac:dyDescent="0.25">
      <c r="A97" s="142" t="s">
        <v>197</v>
      </c>
      <c r="B97" s="133" t="s">
        <v>209</v>
      </c>
      <c r="C97" s="134"/>
      <c r="D97" s="134"/>
      <c r="E97" s="135"/>
      <c r="F97" s="134"/>
      <c r="G97" s="136"/>
      <c r="H97" s="137"/>
      <c r="I97" s="138">
        <f t="shared" si="22"/>
        <v>0</v>
      </c>
      <c r="J97" s="139"/>
      <c r="K97" s="140">
        <f t="shared" si="26"/>
        <v>0</v>
      </c>
      <c r="L97" s="138">
        <f t="shared" si="23"/>
        <v>0</v>
      </c>
      <c r="M97" s="139"/>
      <c r="N97" s="140">
        <f t="shared" si="24"/>
        <v>0</v>
      </c>
      <c r="O97" s="141" t="e">
        <f t="shared" si="1"/>
        <v>#DIV/0!</v>
      </c>
    </row>
    <row r="98" spans="1:15" ht="405" hidden="1" x14ac:dyDescent="0.25">
      <c r="A98" s="142" t="s">
        <v>197</v>
      </c>
      <c r="B98" s="161" t="s">
        <v>210</v>
      </c>
      <c r="C98" s="134"/>
      <c r="D98" s="134"/>
      <c r="E98" s="135"/>
      <c r="F98" s="134"/>
      <c r="G98" s="136"/>
      <c r="H98" s="137"/>
      <c r="I98" s="138">
        <f t="shared" si="22"/>
        <v>0</v>
      </c>
      <c r="J98" s="139"/>
      <c r="K98" s="140">
        <f t="shared" si="26"/>
        <v>0</v>
      </c>
      <c r="L98" s="138">
        <f t="shared" si="23"/>
        <v>0</v>
      </c>
      <c r="M98" s="139"/>
      <c r="N98" s="140">
        <f t="shared" si="24"/>
        <v>0</v>
      </c>
      <c r="O98" s="141" t="e">
        <f t="shared" si="1"/>
        <v>#DIV/0!</v>
      </c>
    </row>
    <row r="99" spans="1:15" ht="30" x14ac:dyDescent="0.25">
      <c r="A99" s="132" t="s">
        <v>197</v>
      </c>
      <c r="B99" s="133" t="s">
        <v>211</v>
      </c>
      <c r="C99" s="134"/>
      <c r="D99" s="134"/>
      <c r="E99" s="135"/>
      <c r="F99" s="134">
        <v>47596.1</v>
      </c>
      <c r="G99" s="136">
        <v>28936</v>
      </c>
      <c r="H99" s="137">
        <f>G99/F99*100</f>
        <v>60.794897060893646</v>
      </c>
      <c r="I99" s="138">
        <f t="shared" si="22"/>
        <v>47596.1</v>
      </c>
      <c r="J99" s="139"/>
      <c r="K99" s="140">
        <f t="shared" si="26"/>
        <v>47596.1</v>
      </c>
      <c r="L99" s="138">
        <f t="shared" si="23"/>
        <v>28936</v>
      </c>
      <c r="M99" s="139"/>
      <c r="N99" s="140">
        <f t="shared" si="24"/>
        <v>28936</v>
      </c>
      <c r="O99" s="141">
        <f t="shared" si="1"/>
        <v>60.794897060893646</v>
      </c>
    </row>
    <row r="100" spans="1:15" ht="36" customHeight="1" x14ac:dyDescent="0.25">
      <c r="A100" s="142" t="s">
        <v>212</v>
      </c>
      <c r="B100" s="133" t="s">
        <v>213</v>
      </c>
      <c r="C100" s="134">
        <v>46.6</v>
      </c>
      <c r="D100" s="134">
        <v>24.6</v>
      </c>
      <c r="E100" s="135">
        <f>D100/C100*100</f>
        <v>52.789699570815451</v>
      </c>
      <c r="F100" s="134">
        <v>0</v>
      </c>
      <c r="G100" s="136"/>
      <c r="H100" s="137">
        <v>0</v>
      </c>
      <c r="I100" s="138">
        <f t="shared" si="22"/>
        <v>46.6</v>
      </c>
      <c r="J100" s="139"/>
      <c r="K100" s="140">
        <f t="shared" si="26"/>
        <v>46.6</v>
      </c>
      <c r="L100" s="138">
        <f t="shared" si="23"/>
        <v>24.6</v>
      </c>
      <c r="M100" s="139"/>
      <c r="N100" s="140">
        <f t="shared" si="24"/>
        <v>24.6</v>
      </c>
      <c r="O100" s="162">
        <f t="shared" si="1"/>
        <v>52.789699570815451</v>
      </c>
    </row>
    <row r="101" spans="1:15" ht="27" customHeight="1" x14ac:dyDescent="0.25">
      <c r="A101" s="163" t="s">
        <v>214</v>
      </c>
      <c r="B101" s="164" t="s">
        <v>215</v>
      </c>
      <c r="C101" s="153">
        <f>C102</f>
        <v>4763.5</v>
      </c>
      <c r="D101" s="153">
        <f t="shared" ref="D101:N101" si="27">D102</f>
        <v>4759</v>
      </c>
      <c r="E101" s="144">
        <f t="shared" si="11"/>
        <v>99.905531646898297</v>
      </c>
      <c r="F101" s="153">
        <f t="shared" si="27"/>
        <v>4.4000000000000004</v>
      </c>
      <c r="G101" s="153">
        <f t="shared" si="27"/>
        <v>0</v>
      </c>
      <c r="H101" s="130">
        <f t="shared" si="27"/>
        <v>0</v>
      </c>
      <c r="I101" s="153">
        <f t="shared" si="27"/>
        <v>4767.8999999999996</v>
      </c>
      <c r="J101" s="153">
        <f t="shared" si="27"/>
        <v>4.4000000000000004</v>
      </c>
      <c r="K101" s="153">
        <f>K102</f>
        <v>4763.5</v>
      </c>
      <c r="L101" s="153">
        <f t="shared" si="27"/>
        <v>4759</v>
      </c>
      <c r="M101" s="153">
        <f t="shared" si="27"/>
        <v>0</v>
      </c>
      <c r="N101" s="153">
        <f t="shared" si="27"/>
        <v>4759</v>
      </c>
      <c r="O101" s="165">
        <f t="shared" si="1"/>
        <v>99.905531646898297</v>
      </c>
    </row>
    <row r="102" spans="1:15" ht="42" customHeight="1" x14ac:dyDescent="0.25">
      <c r="A102" s="142" t="s">
        <v>216</v>
      </c>
      <c r="B102" s="166" t="s">
        <v>217</v>
      </c>
      <c r="C102" s="136">
        <v>4763.5</v>
      </c>
      <c r="D102" s="136">
        <v>4759</v>
      </c>
      <c r="E102" s="135">
        <f t="shared" si="11"/>
        <v>99.905531646898297</v>
      </c>
      <c r="F102" s="136">
        <v>4.4000000000000004</v>
      </c>
      <c r="G102" s="136"/>
      <c r="H102" s="137">
        <f>G102/F102*100</f>
        <v>0</v>
      </c>
      <c r="I102" s="138">
        <f t="shared" ref="I102:I145" si="28">C102+F102</f>
        <v>4767.8999999999996</v>
      </c>
      <c r="J102" s="139">
        <v>4.4000000000000004</v>
      </c>
      <c r="K102" s="140">
        <f>I102-J102</f>
        <v>4763.5</v>
      </c>
      <c r="L102" s="138">
        <f t="shared" si="23"/>
        <v>4759</v>
      </c>
      <c r="M102" s="139"/>
      <c r="N102" s="140">
        <f t="shared" si="24"/>
        <v>4759</v>
      </c>
      <c r="O102" s="141">
        <f t="shared" si="1"/>
        <v>99.905531646898297</v>
      </c>
    </row>
    <row r="103" spans="1:15" ht="28.5" x14ac:dyDescent="0.25">
      <c r="A103" s="127" t="s">
        <v>218</v>
      </c>
      <c r="B103" s="128" t="s">
        <v>219</v>
      </c>
      <c r="C103" s="129">
        <f>SUM(C104:C113)</f>
        <v>2096665.1999999997</v>
      </c>
      <c r="D103" s="129">
        <f>SUM(D104:D113)</f>
        <v>1359027.3</v>
      </c>
      <c r="E103" s="129">
        <f>D103/C103*100</f>
        <v>64.818517520107662</v>
      </c>
      <c r="F103" s="153">
        <f>F104+F106+F107+F112+F113</f>
        <v>0</v>
      </c>
      <c r="G103" s="153">
        <f>SUM(G104:G113)</f>
        <v>0</v>
      </c>
      <c r="H103" s="130">
        <v>0</v>
      </c>
      <c r="I103" s="129">
        <f t="shared" ref="I103:N103" si="29">SUM(I104:I113)</f>
        <v>2096665.1999999997</v>
      </c>
      <c r="J103" s="129">
        <f t="shared" si="29"/>
        <v>0</v>
      </c>
      <c r="K103" s="129">
        <f t="shared" si="29"/>
        <v>2096665.1999999997</v>
      </c>
      <c r="L103" s="129">
        <f t="shared" si="29"/>
        <v>1359027.3</v>
      </c>
      <c r="M103" s="129">
        <f t="shared" si="29"/>
        <v>0</v>
      </c>
      <c r="N103" s="129">
        <f t="shared" si="29"/>
        <v>1359027.3</v>
      </c>
      <c r="O103" s="131">
        <f t="shared" si="1"/>
        <v>64.818517520107662</v>
      </c>
    </row>
    <row r="104" spans="1:15" ht="19.5" customHeight="1" x14ac:dyDescent="0.25">
      <c r="A104" s="132" t="s">
        <v>220</v>
      </c>
      <c r="B104" s="133" t="s">
        <v>221</v>
      </c>
      <c r="C104" s="134">
        <v>391029.1</v>
      </c>
      <c r="D104" s="134">
        <v>289079.90000000002</v>
      </c>
      <c r="E104" s="135">
        <f t="shared" si="11"/>
        <v>73.927976204328544</v>
      </c>
      <c r="F104" s="136">
        <v>0</v>
      </c>
      <c r="G104" s="136">
        <v>0</v>
      </c>
      <c r="H104" s="137">
        <v>0</v>
      </c>
      <c r="I104" s="138">
        <f t="shared" si="28"/>
        <v>391029.1</v>
      </c>
      <c r="J104" s="139"/>
      <c r="K104" s="140">
        <f t="shared" ref="K104:K145" si="30">I104-J104</f>
        <v>391029.1</v>
      </c>
      <c r="L104" s="138">
        <f t="shared" si="23"/>
        <v>289079.90000000002</v>
      </c>
      <c r="M104" s="139"/>
      <c r="N104" s="140">
        <f t="shared" si="24"/>
        <v>289079.90000000002</v>
      </c>
      <c r="O104" s="141">
        <f t="shared" si="1"/>
        <v>73.927976204328544</v>
      </c>
    </row>
    <row r="105" spans="1:15" ht="60" customHeight="1" x14ac:dyDescent="0.25">
      <c r="A105" s="132" t="s">
        <v>220</v>
      </c>
      <c r="B105" s="133" t="s">
        <v>222</v>
      </c>
      <c r="C105" s="134">
        <v>30</v>
      </c>
      <c r="D105" s="134">
        <v>30</v>
      </c>
      <c r="E105" s="135">
        <f t="shared" si="11"/>
        <v>100</v>
      </c>
      <c r="F105" s="136">
        <v>0</v>
      </c>
      <c r="G105" s="136">
        <v>0</v>
      </c>
      <c r="H105" s="137">
        <v>0</v>
      </c>
      <c r="I105" s="138">
        <f t="shared" si="28"/>
        <v>30</v>
      </c>
      <c r="J105" s="139"/>
      <c r="K105" s="140">
        <f t="shared" si="30"/>
        <v>30</v>
      </c>
      <c r="L105" s="138">
        <f t="shared" si="23"/>
        <v>30</v>
      </c>
      <c r="M105" s="139"/>
      <c r="N105" s="140">
        <f t="shared" si="24"/>
        <v>30</v>
      </c>
      <c r="O105" s="141">
        <f t="shared" si="1"/>
        <v>100</v>
      </c>
    </row>
    <row r="106" spans="1:15" ht="16.5" customHeight="1" x14ac:dyDescent="0.25">
      <c r="A106" s="132" t="s">
        <v>223</v>
      </c>
      <c r="B106" s="160" t="s">
        <v>224</v>
      </c>
      <c r="C106" s="134">
        <v>1365646.7</v>
      </c>
      <c r="D106" s="134">
        <v>863376.8</v>
      </c>
      <c r="E106" s="134">
        <f t="shared" si="11"/>
        <v>63.221095177837725</v>
      </c>
      <c r="F106" s="136">
        <v>0</v>
      </c>
      <c r="G106" s="136">
        <v>0</v>
      </c>
      <c r="H106" s="136">
        <v>0</v>
      </c>
      <c r="I106" s="138">
        <f t="shared" si="28"/>
        <v>1365646.7</v>
      </c>
      <c r="J106" s="139"/>
      <c r="K106" s="140">
        <f t="shared" si="30"/>
        <v>1365646.7</v>
      </c>
      <c r="L106" s="138">
        <f t="shared" si="23"/>
        <v>863376.8</v>
      </c>
      <c r="M106" s="139"/>
      <c r="N106" s="140">
        <f t="shared" si="24"/>
        <v>863376.8</v>
      </c>
      <c r="O106" s="167">
        <f t="shared" si="1"/>
        <v>63.221095177837725</v>
      </c>
    </row>
    <row r="107" spans="1:15" ht="20.25" customHeight="1" x14ac:dyDescent="0.25">
      <c r="A107" s="132" t="s">
        <v>223</v>
      </c>
      <c r="B107" s="133" t="s">
        <v>225</v>
      </c>
      <c r="C107" s="134">
        <v>89349.1</v>
      </c>
      <c r="D107" s="134">
        <v>38733.599999999999</v>
      </c>
      <c r="E107" s="135">
        <f t="shared" si="11"/>
        <v>43.350856360052873</v>
      </c>
      <c r="F107" s="136">
        <v>0</v>
      </c>
      <c r="G107" s="136">
        <v>0</v>
      </c>
      <c r="H107" s="137">
        <v>0</v>
      </c>
      <c r="I107" s="138">
        <f t="shared" si="28"/>
        <v>89349.1</v>
      </c>
      <c r="J107" s="139"/>
      <c r="K107" s="140">
        <f t="shared" si="30"/>
        <v>89349.1</v>
      </c>
      <c r="L107" s="138">
        <f t="shared" si="23"/>
        <v>38733.599999999999</v>
      </c>
      <c r="M107" s="139"/>
      <c r="N107" s="140">
        <f t="shared" si="24"/>
        <v>38733.599999999999</v>
      </c>
      <c r="O107" s="141">
        <f t="shared" si="1"/>
        <v>43.350856360052873</v>
      </c>
    </row>
    <row r="108" spans="1:15" ht="79.5" customHeight="1" x14ac:dyDescent="0.25">
      <c r="A108" s="132" t="s">
        <v>223</v>
      </c>
      <c r="B108" s="133" t="s">
        <v>226</v>
      </c>
      <c r="C108" s="134">
        <v>22134.400000000001</v>
      </c>
      <c r="D108" s="134">
        <v>5735.4</v>
      </c>
      <c r="E108" s="135">
        <f t="shared" si="11"/>
        <v>25.911703050455397</v>
      </c>
      <c r="F108" s="136"/>
      <c r="G108" s="136"/>
      <c r="H108" s="137"/>
      <c r="I108" s="138">
        <f t="shared" si="28"/>
        <v>22134.400000000001</v>
      </c>
      <c r="J108" s="139"/>
      <c r="K108" s="140">
        <f t="shared" si="30"/>
        <v>22134.400000000001</v>
      </c>
      <c r="L108" s="138">
        <f t="shared" si="23"/>
        <v>5735.4</v>
      </c>
      <c r="M108" s="139"/>
      <c r="N108" s="140">
        <f t="shared" si="24"/>
        <v>5735.4</v>
      </c>
      <c r="O108" s="141">
        <f t="shared" si="1"/>
        <v>25.911703050455397</v>
      </c>
    </row>
    <row r="109" spans="1:15" ht="409.5" hidden="1" x14ac:dyDescent="0.25">
      <c r="A109" s="132" t="s">
        <v>223</v>
      </c>
      <c r="B109" s="133" t="s">
        <v>227</v>
      </c>
      <c r="C109" s="134"/>
      <c r="D109" s="134"/>
      <c r="E109" s="135" t="e">
        <f t="shared" si="11"/>
        <v>#DIV/0!</v>
      </c>
      <c r="F109" s="136"/>
      <c r="G109" s="136"/>
      <c r="H109" s="137"/>
      <c r="I109" s="138">
        <f t="shared" si="28"/>
        <v>0</v>
      </c>
      <c r="J109" s="139"/>
      <c r="K109" s="140">
        <f t="shared" si="30"/>
        <v>0</v>
      </c>
      <c r="L109" s="138">
        <f t="shared" si="23"/>
        <v>0</v>
      </c>
      <c r="M109" s="139"/>
      <c r="N109" s="140">
        <f t="shared" si="24"/>
        <v>0</v>
      </c>
      <c r="O109" s="141" t="e">
        <f t="shared" si="1"/>
        <v>#DIV/0!</v>
      </c>
    </row>
    <row r="110" spans="1:15" ht="120" hidden="1" x14ac:dyDescent="0.25">
      <c r="A110" s="132" t="s">
        <v>223</v>
      </c>
      <c r="B110" s="133" t="s">
        <v>228</v>
      </c>
      <c r="C110" s="134"/>
      <c r="D110" s="134"/>
      <c r="E110" s="135"/>
      <c r="F110" s="136">
        <v>0</v>
      </c>
      <c r="G110" s="136">
        <v>0</v>
      </c>
      <c r="H110" s="137">
        <v>0</v>
      </c>
      <c r="I110" s="138">
        <f t="shared" si="28"/>
        <v>0</v>
      </c>
      <c r="J110" s="139"/>
      <c r="K110" s="140">
        <f t="shared" si="30"/>
        <v>0</v>
      </c>
      <c r="L110" s="138">
        <f t="shared" si="23"/>
        <v>0</v>
      </c>
      <c r="M110" s="139"/>
      <c r="N110" s="140">
        <f t="shared" si="24"/>
        <v>0</v>
      </c>
      <c r="O110" s="141"/>
    </row>
    <row r="111" spans="1:15" x14ac:dyDescent="0.25">
      <c r="A111" s="132" t="s">
        <v>229</v>
      </c>
      <c r="B111" s="133" t="s">
        <v>230</v>
      </c>
      <c r="C111" s="134">
        <v>145553.29999999999</v>
      </c>
      <c r="D111" s="134">
        <v>107569.2</v>
      </c>
      <c r="E111" s="135">
        <f t="shared" si="11"/>
        <v>73.903649041279039</v>
      </c>
      <c r="F111" s="136"/>
      <c r="G111" s="136"/>
      <c r="H111" s="137"/>
      <c r="I111" s="138">
        <f t="shared" si="28"/>
        <v>145553.29999999999</v>
      </c>
      <c r="J111" s="139"/>
      <c r="K111" s="140">
        <f t="shared" si="30"/>
        <v>145553.29999999999</v>
      </c>
      <c r="L111" s="138">
        <f t="shared" si="23"/>
        <v>107569.2</v>
      </c>
      <c r="M111" s="139"/>
      <c r="N111" s="140">
        <f t="shared" si="24"/>
        <v>107569.2</v>
      </c>
      <c r="O111" s="141">
        <f t="shared" si="1"/>
        <v>73.903649041279039</v>
      </c>
    </row>
    <row r="112" spans="1:15" ht="38.25" customHeight="1" x14ac:dyDescent="0.25">
      <c r="A112" s="132" t="s">
        <v>231</v>
      </c>
      <c r="B112" s="133" t="s">
        <v>232</v>
      </c>
      <c r="C112" s="134">
        <v>26991.7</v>
      </c>
      <c r="D112" s="134">
        <v>19105.400000000001</v>
      </c>
      <c r="E112" s="135">
        <f t="shared" si="11"/>
        <v>70.782499805495775</v>
      </c>
      <c r="F112" s="136"/>
      <c r="G112" s="136"/>
      <c r="H112" s="137"/>
      <c r="I112" s="138">
        <f t="shared" si="28"/>
        <v>26991.7</v>
      </c>
      <c r="J112" s="139"/>
      <c r="K112" s="140">
        <f t="shared" si="30"/>
        <v>26991.7</v>
      </c>
      <c r="L112" s="138">
        <f t="shared" si="23"/>
        <v>19105.400000000001</v>
      </c>
      <c r="M112" s="139"/>
      <c r="N112" s="140">
        <f t="shared" si="24"/>
        <v>19105.400000000001</v>
      </c>
      <c r="O112" s="141">
        <f t="shared" si="1"/>
        <v>70.782499805495775</v>
      </c>
    </row>
    <row r="113" spans="1:15" ht="32.25" customHeight="1" x14ac:dyDescent="0.25">
      <c r="A113" s="132" t="s">
        <v>233</v>
      </c>
      <c r="B113" s="133" t="s">
        <v>234</v>
      </c>
      <c r="C113" s="134">
        <v>55930.9</v>
      </c>
      <c r="D113" s="134">
        <v>35397</v>
      </c>
      <c r="E113" s="135">
        <f t="shared" si="11"/>
        <v>63.287020233895753</v>
      </c>
      <c r="F113" s="136">
        <v>0</v>
      </c>
      <c r="G113" s="136"/>
      <c r="H113" s="137">
        <v>0</v>
      </c>
      <c r="I113" s="138">
        <f t="shared" si="28"/>
        <v>55930.9</v>
      </c>
      <c r="J113" s="139"/>
      <c r="K113" s="140">
        <f t="shared" si="30"/>
        <v>55930.9</v>
      </c>
      <c r="L113" s="138">
        <f t="shared" si="23"/>
        <v>35397</v>
      </c>
      <c r="M113" s="139"/>
      <c r="N113" s="140">
        <f t="shared" si="24"/>
        <v>35397</v>
      </c>
      <c r="O113" s="141">
        <f t="shared" si="1"/>
        <v>63.287020233895753</v>
      </c>
    </row>
    <row r="114" spans="1:15" ht="31.5" customHeight="1" x14ac:dyDescent="0.25">
      <c r="A114" s="127" t="s">
        <v>235</v>
      </c>
      <c r="B114" s="128" t="s">
        <v>236</v>
      </c>
      <c r="C114" s="129">
        <f>SUM(C115:C118)</f>
        <v>87998</v>
      </c>
      <c r="D114" s="129">
        <f>SUM(D115:D118)</f>
        <v>63076.800000000003</v>
      </c>
      <c r="E114" s="129">
        <f>D114/C114*100</f>
        <v>71.6798109047933</v>
      </c>
      <c r="F114" s="153">
        <f>SUM(F115:F118)</f>
        <v>117204.6</v>
      </c>
      <c r="G114" s="153">
        <f>SUM(G115:G118)</f>
        <v>77069</v>
      </c>
      <c r="H114" s="130">
        <f>G114/F114*100</f>
        <v>65.755951558215287</v>
      </c>
      <c r="I114" s="153">
        <f t="shared" ref="I114:N114" si="31">SUM(I115:I118)</f>
        <v>205202.6</v>
      </c>
      <c r="J114" s="153">
        <f t="shared" si="31"/>
        <v>17228.400000000001</v>
      </c>
      <c r="K114" s="153">
        <f t="shared" si="31"/>
        <v>187974.2</v>
      </c>
      <c r="L114" s="153">
        <f t="shared" si="31"/>
        <v>140145.79999999999</v>
      </c>
      <c r="M114" s="153">
        <f t="shared" si="31"/>
        <v>9217.1</v>
      </c>
      <c r="N114" s="153">
        <f t="shared" si="31"/>
        <v>130928.70000000001</v>
      </c>
      <c r="O114" s="131">
        <f t="shared" si="1"/>
        <v>69.65248422389881</v>
      </c>
    </row>
    <row r="115" spans="1:15" ht="21" customHeight="1" x14ac:dyDescent="0.25">
      <c r="A115" s="132" t="s">
        <v>237</v>
      </c>
      <c r="B115" s="133" t="s">
        <v>238</v>
      </c>
      <c r="C115" s="134">
        <v>75395.5</v>
      </c>
      <c r="D115" s="134">
        <v>56664.9</v>
      </c>
      <c r="E115" s="135">
        <f t="shared" si="11"/>
        <v>75.156872757657951</v>
      </c>
      <c r="F115" s="168">
        <v>113987.2</v>
      </c>
      <c r="G115" s="136">
        <v>75351.3</v>
      </c>
      <c r="H115" s="137">
        <f>G115/F115*100</f>
        <v>66.105053900788874</v>
      </c>
      <c r="I115" s="138">
        <f t="shared" si="28"/>
        <v>189382.7</v>
      </c>
      <c r="J115" s="139">
        <v>14033.4</v>
      </c>
      <c r="K115" s="140">
        <f>I115-J115</f>
        <v>175349.30000000002</v>
      </c>
      <c r="L115" s="138">
        <f t="shared" si="23"/>
        <v>132016.20000000001</v>
      </c>
      <c r="M115" s="139">
        <v>7615.2</v>
      </c>
      <c r="N115" s="140">
        <f t="shared" si="24"/>
        <v>124401.00000000001</v>
      </c>
      <c r="O115" s="141">
        <f t="shared" si="1"/>
        <v>70.944680132740771</v>
      </c>
    </row>
    <row r="116" spans="1:15" ht="65.25" customHeight="1" x14ac:dyDescent="0.25">
      <c r="A116" s="158" t="s">
        <v>237</v>
      </c>
      <c r="B116" s="159" t="s">
        <v>239</v>
      </c>
      <c r="C116" s="134">
        <v>704.5</v>
      </c>
      <c r="D116" s="134">
        <v>704.5</v>
      </c>
      <c r="E116" s="135">
        <f t="shared" si="11"/>
        <v>100</v>
      </c>
      <c r="F116" s="136">
        <v>126.8</v>
      </c>
      <c r="G116" s="136">
        <v>126.8</v>
      </c>
      <c r="H116" s="137">
        <f>G116/F116*100</f>
        <v>100</v>
      </c>
      <c r="I116" s="138">
        <f t="shared" si="28"/>
        <v>831.3</v>
      </c>
      <c r="J116" s="139">
        <v>124.5</v>
      </c>
      <c r="K116" s="140">
        <f t="shared" si="30"/>
        <v>706.8</v>
      </c>
      <c r="L116" s="138">
        <f t="shared" si="23"/>
        <v>831.3</v>
      </c>
      <c r="M116" s="139">
        <v>124.5</v>
      </c>
      <c r="N116" s="140">
        <f t="shared" si="24"/>
        <v>706.8</v>
      </c>
      <c r="O116" s="141">
        <f>N116/K116*100</f>
        <v>100</v>
      </c>
    </row>
    <row r="117" spans="1:15" ht="20.25" customHeight="1" x14ac:dyDescent="0.25">
      <c r="A117" s="132" t="s">
        <v>240</v>
      </c>
      <c r="B117" s="133" t="s">
        <v>241</v>
      </c>
      <c r="C117" s="134">
        <v>100</v>
      </c>
      <c r="D117" s="134">
        <v>46</v>
      </c>
      <c r="E117" s="135">
        <f t="shared" si="11"/>
        <v>46</v>
      </c>
      <c r="F117" s="136"/>
      <c r="G117" s="136"/>
      <c r="H117" s="137" t="e">
        <f>G117/F117*100</f>
        <v>#DIV/0!</v>
      </c>
      <c r="I117" s="138">
        <f t="shared" si="28"/>
        <v>100</v>
      </c>
      <c r="J117" s="139"/>
      <c r="K117" s="140">
        <f t="shared" si="30"/>
        <v>100</v>
      </c>
      <c r="L117" s="138">
        <f t="shared" si="23"/>
        <v>46</v>
      </c>
      <c r="M117" s="139"/>
      <c r="N117" s="140">
        <f t="shared" si="24"/>
        <v>46</v>
      </c>
      <c r="O117" s="141">
        <f t="shared" ref="O117:O146" si="32">N117/K117*100</f>
        <v>46</v>
      </c>
    </row>
    <row r="118" spans="1:15" ht="33" customHeight="1" x14ac:dyDescent="0.25">
      <c r="A118" s="132" t="s">
        <v>242</v>
      </c>
      <c r="B118" s="133" t="s">
        <v>243</v>
      </c>
      <c r="C118" s="134">
        <v>11798</v>
      </c>
      <c r="D118" s="134">
        <v>5661.4</v>
      </c>
      <c r="E118" s="135">
        <f t="shared" si="11"/>
        <v>47.986099338870993</v>
      </c>
      <c r="F118" s="136">
        <v>3090.6</v>
      </c>
      <c r="G118" s="136">
        <v>1590.9</v>
      </c>
      <c r="H118" s="137">
        <f>G118/F118*100</f>
        <v>51.47544166181325</v>
      </c>
      <c r="I118" s="138">
        <f t="shared" si="28"/>
        <v>14888.6</v>
      </c>
      <c r="J118" s="139">
        <v>3070.5</v>
      </c>
      <c r="K118" s="140">
        <f t="shared" si="30"/>
        <v>11818.1</v>
      </c>
      <c r="L118" s="138">
        <f t="shared" si="23"/>
        <v>7252.2999999999993</v>
      </c>
      <c r="M118" s="139">
        <v>1477.4</v>
      </c>
      <c r="N118" s="140">
        <f t="shared" si="24"/>
        <v>5774.9</v>
      </c>
      <c r="O118" s="141">
        <f t="shared" si="32"/>
        <v>48.864876756839081</v>
      </c>
    </row>
    <row r="119" spans="1:15" ht="27" customHeight="1" x14ac:dyDescent="0.25">
      <c r="A119" s="127" t="s">
        <v>244</v>
      </c>
      <c r="B119" s="128" t="s">
        <v>245</v>
      </c>
      <c r="C119" s="129">
        <f>SUM(C120:C122)</f>
        <v>2307.6999999999998</v>
      </c>
      <c r="D119" s="129">
        <f>SUM(D120:D122)</f>
        <v>1067.8</v>
      </c>
      <c r="E119" s="129">
        <f>SUM(E122:E122)</f>
        <v>46.27117909606968</v>
      </c>
      <c r="F119" s="153">
        <f>F120+F121+F122</f>
        <v>0</v>
      </c>
      <c r="G119" s="153">
        <f>G120+G121+G122</f>
        <v>0</v>
      </c>
      <c r="H119" s="153"/>
      <c r="I119" s="153">
        <f t="shared" ref="I119:N119" si="33">I120+I121+I122</f>
        <v>2307.6999999999998</v>
      </c>
      <c r="J119" s="153">
        <f t="shared" si="33"/>
        <v>0</v>
      </c>
      <c r="K119" s="153">
        <f>K120+K121+K122</f>
        <v>2307.6999999999998</v>
      </c>
      <c r="L119" s="153">
        <f t="shared" si="33"/>
        <v>1067.8</v>
      </c>
      <c r="M119" s="153">
        <f t="shared" si="33"/>
        <v>0</v>
      </c>
      <c r="N119" s="153">
        <f t="shared" si="33"/>
        <v>1067.8</v>
      </c>
      <c r="O119" s="131">
        <f t="shared" si="32"/>
        <v>46.27117909606968</v>
      </c>
    </row>
    <row r="120" spans="1:15" ht="315" hidden="1" x14ac:dyDescent="0.25">
      <c r="A120" s="149" t="s">
        <v>246</v>
      </c>
      <c r="B120" s="160" t="s">
        <v>247</v>
      </c>
      <c r="C120" s="134"/>
      <c r="D120" s="134"/>
      <c r="E120" s="135" t="e">
        <f t="shared" si="11"/>
        <v>#DIV/0!</v>
      </c>
      <c r="F120" s="136"/>
      <c r="G120" s="136"/>
      <c r="H120" s="137" t="e">
        <f t="shared" ref="H120" si="34">G120/F120*100</f>
        <v>#DIV/0!</v>
      </c>
      <c r="I120" s="138">
        <f t="shared" si="28"/>
        <v>0</v>
      </c>
      <c r="J120" s="139"/>
      <c r="K120" s="140">
        <f>I120-J120</f>
        <v>0</v>
      </c>
      <c r="L120" s="138">
        <f t="shared" si="23"/>
        <v>0</v>
      </c>
      <c r="M120" s="139"/>
      <c r="N120" s="140">
        <f t="shared" si="24"/>
        <v>0</v>
      </c>
      <c r="O120" s="141" t="e">
        <f t="shared" si="32"/>
        <v>#DIV/0!</v>
      </c>
    </row>
    <row r="121" spans="1:15" ht="45" hidden="1" x14ac:dyDescent="0.25">
      <c r="A121" s="142" t="s">
        <v>248</v>
      </c>
      <c r="B121" s="159" t="s">
        <v>249</v>
      </c>
      <c r="C121" s="134"/>
      <c r="D121" s="134"/>
      <c r="E121" s="135" t="e">
        <f t="shared" si="11"/>
        <v>#DIV/0!</v>
      </c>
      <c r="F121" s="140"/>
      <c r="G121" s="140"/>
      <c r="H121" s="136"/>
      <c r="I121" s="138">
        <f t="shared" si="28"/>
        <v>0</v>
      </c>
      <c r="J121" s="139"/>
      <c r="K121" s="140">
        <f t="shared" si="30"/>
        <v>0</v>
      </c>
      <c r="L121" s="138">
        <f t="shared" si="23"/>
        <v>0</v>
      </c>
      <c r="M121" s="139"/>
      <c r="N121" s="140">
        <f>L121-M121</f>
        <v>0</v>
      </c>
      <c r="O121" s="141" t="e">
        <f t="shared" si="32"/>
        <v>#DIV/0!</v>
      </c>
    </row>
    <row r="122" spans="1:15" ht="45" x14ac:dyDescent="0.25">
      <c r="A122" s="142" t="s">
        <v>248</v>
      </c>
      <c r="B122" s="159" t="s">
        <v>250</v>
      </c>
      <c r="C122" s="134">
        <v>2307.6999999999998</v>
      </c>
      <c r="D122" s="136">
        <v>1067.8</v>
      </c>
      <c r="E122" s="135">
        <f t="shared" si="11"/>
        <v>46.27117909606968</v>
      </c>
      <c r="F122" s="136"/>
      <c r="G122" s="136"/>
      <c r="H122" s="137"/>
      <c r="I122" s="138">
        <f t="shared" si="28"/>
        <v>2307.6999999999998</v>
      </c>
      <c r="J122" s="139"/>
      <c r="K122" s="140">
        <f t="shared" si="30"/>
        <v>2307.6999999999998</v>
      </c>
      <c r="L122" s="138">
        <f t="shared" si="23"/>
        <v>1067.8</v>
      </c>
      <c r="M122" s="139"/>
      <c r="N122" s="140">
        <f t="shared" si="24"/>
        <v>1067.8</v>
      </c>
      <c r="O122" s="141">
        <f t="shared" si="32"/>
        <v>46.27117909606968</v>
      </c>
    </row>
    <row r="123" spans="1:15" ht="36" customHeight="1" x14ac:dyDescent="0.25">
      <c r="A123" s="127">
        <v>10</v>
      </c>
      <c r="B123" s="128" t="s">
        <v>251</v>
      </c>
      <c r="C123" s="129">
        <f>SUM(C124:C133)</f>
        <v>164857.9</v>
      </c>
      <c r="D123" s="129">
        <f>SUM(D124:D133)</f>
        <v>78521.500000000015</v>
      </c>
      <c r="E123" s="129">
        <f>D123/C123*100</f>
        <v>47.629807246119242</v>
      </c>
      <c r="F123" s="129">
        <f>SUM(F124:F133)</f>
        <v>780</v>
      </c>
      <c r="G123" s="129">
        <f>SUM(G124:G133)</f>
        <v>460</v>
      </c>
      <c r="H123" s="130">
        <f>G123/F123*100</f>
        <v>58.974358974358978</v>
      </c>
      <c r="I123" s="129">
        <f>SUM(I124:I133)</f>
        <v>165637.9</v>
      </c>
      <c r="J123" s="129">
        <f t="shared" ref="J123:N123" si="35">SUM(J124:J133)</f>
        <v>0</v>
      </c>
      <c r="K123" s="129">
        <f t="shared" si="35"/>
        <v>165637.9</v>
      </c>
      <c r="L123" s="129">
        <f t="shared" si="35"/>
        <v>78981.500000000015</v>
      </c>
      <c r="M123" s="129">
        <f t="shared" si="35"/>
        <v>0</v>
      </c>
      <c r="N123" s="129">
        <f t="shared" si="35"/>
        <v>78981.500000000015</v>
      </c>
      <c r="O123" s="131">
        <f t="shared" si="32"/>
        <v>47.683229502426691</v>
      </c>
    </row>
    <row r="124" spans="1:15" ht="27.75" customHeight="1" x14ac:dyDescent="0.25">
      <c r="A124" s="142">
        <v>1001</v>
      </c>
      <c r="B124" s="133" t="s">
        <v>252</v>
      </c>
      <c r="C124" s="134">
        <v>4603.5</v>
      </c>
      <c r="D124" s="134">
        <v>3123.6</v>
      </c>
      <c r="E124" s="135">
        <f t="shared" si="11"/>
        <v>67.852720755946564</v>
      </c>
      <c r="F124" s="136">
        <v>780</v>
      </c>
      <c r="G124" s="136">
        <v>460</v>
      </c>
      <c r="H124" s="137">
        <f>G124/F124*100</f>
        <v>58.974358974358978</v>
      </c>
      <c r="I124" s="138">
        <f t="shared" si="28"/>
        <v>5383.5</v>
      </c>
      <c r="J124" s="139"/>
      <c r="K124" s="140">
        <f t="shared" si="30"/>
        <v>5383.5</v>
      </c>
      <c r="L124" s="138">
        <f t="shared" si="23"/>
        <v>3583.6</v>
      </c>
      <c r="M124" s="139"/>
      <c r="N124" s="140">
        <f t="shared" si="24"/>
        <v>3583.6</v>
      </c>
      <c r="O124" s="141">
        <f t="shared" si="32"/>
        <v>66.566360174607595</v>
      </c>
    </row>
    <row r="125" spans="1:15" ht="94.5" customHeight="1" x14ac:dyDescent="0.25">
      <c r="A125" s="142">
        <v>1003</v>
      </c>
      <c r="B125" s="159" t="s">
        <v>253</v>
      </c>
      <c r="C125" s="134">
        <v>1890</v>
      </c>
      <c r="D125" s="134"/>
      <c r="E125" s="135">
        <f t="shared" si="11"/>
        <v>0</v>
      </c>
      <c r="F125" s="136">
        <v>0</v>
      </c>
      <c r="G125" s="136">
        <v>0</v>
      </c>
      <c r="H125" s="137"/>
      <c r="I125" s="138">
        <f t="shared" si="28"/>
        <v>1890</v>
      </c>
      <c r="J125" s="139"/>
      <c r="K125" s="140">
        <f t="shared" si="30"/>
        <v>1890</v>
      </c>
      <c r="L125" s="138">
        <f t="shared" si="23"/>
        <v>0</v>
      </c>
      <c r="M125" s="139"/>
      <c r="N125" s="140">
        <f t="shared" si="24"/>
        <v>0</v>
      </c>
      <c r="O125" s="141">
        <f t="shared" si="32"/>
        <v>0</v>
      </c>
    </row>
    <row r="126" spans="1:15" ht="315" hidden="1" x14ac:dyDescent="0.25">
      <c r="A126" s="142" t="s">
        <v>254</v>
      </c>
      <c r="B126" s="159" t="s">
        <v>255</v>
      </c>
      <c r="C126" s="134"/>
      <c r="D126" s="134"/>
      <c r="E126" s="135" t="e">
        <f t="shared" si="11"/>
        <v>#DIV/0!</v>
      </c>
      <c r="F126" s="136"/>
      <c r="G126" s="136"/>
      <c r="H126" s="137"/>
      <c r="I126" s="138">
        <f t="shared" si="28"/>
        <v>0</v>
      </c>
      <c r="J126" s="139"/>
      <c r="K126" s="140">
        <f t="shared" si="30"/>
        <v>0</v>
      </c>
      <c r="L126" s="138">
        <f t="shared" si="23"/>
        <v>0</v>
      </c>
      <c r="M126" s="139"/>
      <c r="N126" s="140">
        <f t="shared" si="24"/>
        <v>0</v>
      </c>
      <c r="O126" s="141" t="e">
        <f t="shared" si="32"/>
        <v>#DIV/0!</v>
      </c>
    </row>
    <row r="127" spans="1:15" ht="60" hidden="1" x14ac:dyDescent="0.25">
      <c r="A127" s="142" t="s">
        <v>254</v>
      </c>
      <c r="B127" s="133" t="s">
        <v>256</v>
      </c>
      <c r="C127" s="134"/>
      <c r="D127" s="134"/>
      <c r="E127" s="135"/>
      <c r="F127" s="136"/>
      <c r="G127" s="136"/>
      <c r="H127" s="137"/>
      <c r="I127" s="138">
        <f t="shared" si="28"/>
        <v>0</v>
      </c>
      <c r="J127" s="139"/>
      <c r="K127" s="140">
        <f t="shared" si="30"/>
        <v>0</v>
      </c>
      <c r="L127" s="138">
        <f t="shared" si="23"/>
        <v>0</v>
      </c>
      <c r="M127" s="139"/>
      <c r="N127" s="140">
        <f t="shared" si="24"/>
        <v>0</v>
      </c>
      <c r="O127" s="141"/>
    </row>
    <row r="128" spans="1:15" ht="98.25" customHeight="1" x14ac:dyDescent="0.25">
      <c r="A128" s="152">
        <v>1004</v>
      </c>
      <c r="B128" s="133" t="s">
        <v>257</v>
      </c>
      <c r="C128" s="134">
        <v>18895</v>
      </c>
      <c r="D128" s="134">
        <v>10138.5</v>
      </c>
      <c r="E128" s="135">
        <f t="shared" si="11"/>
        <v>53.657052130193172</v>
      </c>
      <c r="F128" s="136">
        <v>0</v>
      </c>
      <c r="G128" s="136">
        <v>0</v>
      </c>
      <c r="H128" s="137"/>
      <c r="I128" s="138">
        <f t="shared" si="28"/>
        <v>18895</v>
      </c>
      <c r="J128" s="139"/>
      <c r="K128" s="140">
        <f t="shared" si="30"/>
        <v>18895</v>
      </c>
      <c r="L128" s="138">
        <f t="shared" si="23"/>
        <v>10138.5</v>
      </c>
      <c r="M128" s="139"/>
      <c r="N128" s="140">
        <f t="shared" si="24"/>
        <v>10138.5</v>
      </c>
      <c r="O128" s="141">
        <f t="shared" si="32"/>
        <v>53.657052130193172</v>
      </c>
    </row>
    <row r="129" spans="1:15" ht="185.25" customHeight="1" x14ac:dyDescent="0.25">
      <c r="A129" s="142">
        <v>1004</v>
      </c>
      <c r="B129" s="133" t="s">
        <v>258</v>
      </c>
      <c r="C129" s="134">
        <v>81567.600000000006</v>
      </c>
      <c r="D129" s="134">
        <v>39312.9</v>
      </c>
      <c r="E129" s="135">
        <f t="shared" ref="E129:E145" si="36">D129/C129*100</f>
        <v>48.196710458564432</v>
      </c>
      <c r="F129" s="136">
        <v>0</v>
      </c>
      <c r="G129" s="136">
        <v>0</v>
      </c>
      <c r="H129" s="137"/>
      <c r="I129" s="138">
        <f t="shared" si="28"/>
        <v>81567.600000000006</v>
      </c>
      <c r="J129" s="139"/>
      <c r="K129" s="140">
        <f t="shared" si="30"/>
        <v>81567.600000000006</v>
      </c>
      <c r="L129" s="138">
        <f t="shared" si="23"/>
        <v>39312.9</v>
      </c>
      <c r="M129" s="139"/>
      <c r="N129" s="140">
        <f t="shared" si="24"/>
        <v>39312.9</v>
      </c>
      <c r="O129" s="141">
        <f t="shared" si="32"/>
        <v>48.196710458564432</v>
      </c>
    </row>
    <row r="130" spans="1:15" ht="168.75" customHeight="1" x14ac:dyDescent="0.25">
      <c r="A130" s="142" t="s">
        <v>259</v>
      </c>
      <c r="B130" s="133" t="s">
        <v>260</v>
      </c>
      <c r="C130" s="134">
        <v>25842.799999999999</v>
      </c>
      <c r="D130" s="134">
        <v>12995.6</v>
      </c>
      <c r="E130" s="135">
        <f>D130/C130*100</f>
        <v>50.287120590648072</v>
      </c>
      <c r="F130" s="136">
        <v>0</v>
      </c>
      <c r="G130" s="136">
        <v>0</v>
      </c>
      <c r="H130" s="137"/>
      <c r="I130" s="138">
        <f t="shared" si="28"/>
        <v>25842.799999999999</v>
      </c>
      <c r="J130" s="139"/>
      <c r="K130" s="140">
        <f>I130-J130</f>
        <v>25842.799999999999</v>
      </c>
      <c r="L130" s="138">
        <f t="shared" si="23"/>
        <v>12995.6</v>
      </c>
      <c r="M130" s="139"/>
      <c r="N130" s="140">
        <f t="shared" si="24"/>
        <v>12995.6</v>
      </c>
      <c r="O130" s="141">
        <f>N130/K130*100</f>
        <v>50.287120590648072</v>
      </c>
    </row>
    <row r="131" spans="1:15" ht="36.75" customHeight="1" x14ac:dyDescent="0.25">
      <c r="A131" s="142" t="s">
        <v>259</v>
      </c>
      <c r="B131" s="133" t="s">
        <v>261</v>
      </c>
      <c r="C131" s="134">
        <v>11366.2</v>
      </c>
      <c r="D131" s="134">
        <v>3417.8</v>
      </c>
      <c r="E131" s="135">
        <f>D131/C131*100</f>
        <v>30.069856240432159</v>
      </c>
      <c r="F131" s="136"/>
      <c r="G131" s="136"/>
      <c r="H131" s="137"/>
      <c r="I131" s="138">
        <f t="shared" si="28"/>
        <v>11366.2</v>
      </c>
      <c r="J131" s="139"/>
      <c r="K131" s="140">
        <f t="shared" si="30"/>
        <v>11366.2</v>
      </c>
      <c r="L131" s="138">
        <f t="shared" si="23"/>
        <v>3417.8</v>
      </c>
      <c r="M131" s="139"/>
      <c r="N131" s="140">
        <f t="shared" si="24"/>
        <v>3417.8</v>
      </c>
      <c r="O131" s="141">
        <f>N131/K131*100</f>
        <v>30.069856240432159</v>
      </c>
    </row>
    <row r="132" spans="1:15" ht="114" hidden="1" customHeight="1" x14ac:dyDescent="0.25">
      <c r="A132" s="142" t="s">
        <v>262</v>
      </c>
      <c r="B132" s="133" t="s">
        <v>263</v>
      </c>
      <c r="C132" s="134"/>
      <c r="D132" s="134"/>
      <c r="E132" s="135"/>
      <c r="F132" s="136"/>
      <c r="G132" s="136"/>
      <c r="H132" s="137" t="e">
        <f t="shared" ref="H132" si="37">G132/F132*100</f>
        <v>#DIV/0!</v>
      </c>
      <c r="I132" s="138">
        <f t="shared" si="28"/>
        <v>0</v>
      </c>
      <c r="J132" s="139"/>
      <c r="K132" s="140">
        <f t="shared" si="30"/>
        <v>0</v>
      </c>
      <c r="L132" s="138">
        <f t="shared" si="23"/>
        <v>0</v>
      </c>
      <c r="M132" s="139"/>
      <c r="N132" s="140">
        <f t="shared" si="24"/>
        <v>0</v>
      </c>
      <c r="O132" s="141" t="e">
        <f>N132/K132*100</f>
        <v>#DIV/0!</v>
      </c>
    </row>
    <row r="133" spans="1:15" ht="30" x14ac:dyDescent="0.25">
      <c r="A133" s="142">
        <v>1006</v>
      </c>
      <c r="B133" s="133" t="s">
        <v>264</v>
      </c>
      <c r="C133" s="134">
        <v>20692.8</v>
      </c>
      <c r="D133" s="134">
        <v>9533.1</v>
      </c>
      <c r="E133" s="135">
        <f t="shared" si="36"/>
        <v>46.069647413593138</v>
      </c>
      <c r="F133" s="136">
        <v>0</v>
      </c>
      <c r="G133" s="136">
        <v>0</v>
      </c>
      <c r="H133" s="137"/>
      <c r="I133" s="138">
        <f t="shared" si="28"/>
        <v>20692.8</v>
      </c>
      <c r="J133" s="139"/>
      <c r="K133" s="140">
        <f t="shared" si="30"/>
        <v>20692.8</v>
      </c>
      <c r="L133" s="138">
        <f t="shared" si="23"/>
        <v>9533.1</v>
      </c>
      <c r="M133" s="139"/>
      <c r="N133" s="140">
        <f t="shared" si="24"/>
        <v>9533.1</v>
      </c>
      <c r="O133" s="141">
        <f t="shared" si="32"/>
        <v>46.069647413593138</v>
      </c>
    </row>
    <row r="134" spans="1:15" ht="29.25" customHeight="1" x14ac:dyDescent="0.25">
      <c r="A134" s="163">
        <v>1100</v>
      </c>
      <c r="B134" s="128" t="s">
        <v>265</v>
      </c>
      <c r="C134" s="129">
        <f>SUM(C135:C137)</f>
        <v>115920.3</v>
      </c>
      <c r="D134" s="129">
        <f>SUM(D135:D137)</f>
        <v>83883.8</v>
      </c>
      <c r="E134" s="129">
        <f>D134/C134*100</f>
        <v>72.363339294325499</v>
      </c>
      <c r="F134" s="153">
        <f>F135+F136</f>
        <v>43887.1</v>
      </c>
      <c r="G134" s="153">
        <f>G135+G136</f>
        <v>19381.599999999999</v>
      </c>
      <c r="H134" s="130">
        <f>G134/F134*100</f>
        <v>44.162407632311087</v>
      </c>
      <c r="I134" s="153">
        <f t="shared" ref="I134:N134" si="38">I135+I136+I137</f>
        <v>159807.4</v>
      </c>
      <c r="J134" s="153">
        <f t="shared" si="38"/>
        <v>9352</v>
      </c>
      <c r="K134" s="153">
        <f t="shared" si="38"/>
        <v>150455.4</v>
      </c>
      <c r="L134" s="153">
        <f t="shared" si="38"/>
        <v>103265.40000000001</v>
      </c>
      <c r="M134" s="153">
        <f t="shared" si="38"/>
        <v>816.8</v>
      </c>
      <c r="N134" s="153">
        <f t="shared" si="38"/>
        <v>102448.6</v>
      </c>
      <c r="O134" s="131">
        <f t="shared" si="32"/>
        <v>68.092338327504365</v>
      </c>
    </row>
    <row r="135" spans="1:15" ht="30" customHeight="1" x14ac:dyDescent="0.25">
      <c r="A135" s="142">
        <v>1101</v>
      </c>
      <c r="B135" s="133" t="s">
        <v>266</v>
      </c>
      <c r="C135" s="134">
        <v>115387.5</v>
      </c>
      <c r="D135" s="134">
        <v>83461</v>
      </c>
      <c r="E135" s="135">
        <f t="shared" si="36"/>
        <v>72.33105839020692</v>
      </c>
      <c r="F135" s="136">
        <v>43887.1</v>
      </c>
      <c r="G135" s="136">
        <v>19381.599999999999</v>
      </c>
      <c r="H135" s="137">
        <f>G135/F135*100</f>
        <v>44.162407632311087</v>
      </c>
      <c r="I135" s="138">
        <f t="shared" si="28"/>
        <v>159274.6</v>
      </c>
      <c r="J135" s="139">
        <v>9352</v>
      </c>
      <c r="K135" s="140">
        <f t="shared" si="30"/>
        <v>149922.6</v>
      </c>
      <c r="L135" s="138">
        <f t="shared" si="23"/>
        <v>102842.6</v>
      </c>
      <c r="M135" s="139">
        <v>816.8</v>
      </c>
      <c r="N135" s="140">
        <f t="shared" si="24"/>
        <v>102025.8</v>
      </c>
      <c r="O135" s="141">
        <f t="shared" si="32"/>
        <v>68.052314994537184</v>
      </c>
    </row>
    <row r="136" spans="1:15" ht="19.5" customHeight="1" x14ac:dyDescent="0.25">
      <c r="A136" s="142">
        <v>1102</v>
      </c>
      <c r="B136" s="133" t="s">
        <v>267</v>
      </c>
      <c r="C136" s="134">
        <v>165</v>
      </c>
      <c r="D136" s="134">
        <v>55</v>
      </c>
      <c r="E136" s="135">
        <f t="shared" si="36"/>
        <v>33.333333333333329</v>
      </c>
      <c r="F136" s="136"/>
      <c r="G136" s="136">
        <v>0</v>
      </c>
      <c r="H136" s="137"/>
      <c r="I136" s="138">
        <f t="shared" si="28"/>
        <v>165</v>
      </c>
      <c r="J136" s="139"/>
      <c r="K136" s="140">
        <f t="shared" si="30"/>
        <v>165</v>
      </c>
      <c r="L136" s="138">
        <f t="shared" si="23"/>
        <v>55</v>
      </c>
      <c r="M136" s="139"/>
      <c r="N136" s="140">
        <f t="shared" si="24"/>
        <v>55</v>
      </c>
      <c r="O136" s="141">
        <f t="shared" si="32"/>
        <v>33.333333333333329</v>
      </c>
    </row>
    <row r="137" spans="1:15" ht="30" customHeight="1" x14ac:dyDescent="0.25">
      <c r="A137" s="142" t="s">
        <v>268</v>
      </c>
      <c r="B137" s="133" t="s">
        <v>269</v>
      </c>
      <c r="C137" s="134">
        <v>367.8</v>
      </c>
      <c r="D137" s="134">
        <v>367.8</v>
      </c>
      <c r="E137" s="135">
        <f t="shared" si="36"/>
        <v>100</v>
      </c>
      <c r="F137" s="136"/>
      <c r="G137" s="136"/>
      <c r="H137" s="137"/>
      <c r="I137" s="138">
        <f t="shared" si="28"/>
        <v>367.8</v>
      </c>
      <c r="J137" s="139"/>
      <c r="K137" s="140">
        <f t="shared" si="30"/>
        <v>367.8</v>
      </c>
      <c r="L137" s="138">
        <f t="shared" si="23"/>
        <v>367.8</v>
      </c>
      <c r="M137" s="139"/>
      <c r="N137" s="140">
        <f t="shared" si="24"/>
        <v>367.8</v>
      </c>
      <c r="O137" s="141">
        <f t="shared" si="32"/>
        <v>100</v>
      </c>
    </row>
    <row r="138" spans="1:15" ht="33" customHeight="1" x14ac:dyDescent="0.25">
      <c r="A138" s="163">
        <v>1200</v>
      </c>
      <c r="B138" s="128" t="s">
        <v>270</v>
      </c>
      <c r="C138" s="129">
        <f>SUM(C139:C139)</f>
        <v>12428.4</v>
      </c>
      <c r="D138" s="129">
        <f>SUM(D139:D139)</f>
        <v>8328.9</v>
      </c>
      <c r="E138" s="144">
        <f>D138/C138*100</f>
        <v>67.015062276721054</v>
      </c>
      <c r="F138" s="129"/>
      <c r="G138" s="129"/>
      <c r="H138" s="130"/>
      <c r="I138" s="129">
        <f t="shared" ref="I138:N138" si="39">I139</f>
        <v>12428.4</v>
      </c>
      <c r="J138" s="129">
        <f t="shared" si="39"/>
        <v>0</v>
      </c>
      <c r="K138" s="129">
        <f>K139</f>
        <v>12428.4</v>
      </c>
      <c r="L138" s="129">
        <f t="shared" si="39"/>
        <v>8328.9</v>
      </c>
      <c r="M138" s="129">
        <f t="shared" si="39"/>
        <v>0</v>
      </c>
      <c r="N138" s="129">
        <f t="shared" si="39"/>
        <v>8328.9</v>
      </c>
      <c r="O138" s="145">
        <f t="shared" si="32"/>
        <v>67.015062276721054</v>
      </c>
    </row>
    <row r="139" spans="1:15" ht="32.25" customHeight="1" x14ac:dyDescent="0.25">
      <c r="A139" s="142" t="s">
        <v>271</v>
      </c>
      <c r="B139" s="133" t="s">
        <v>272</v>
      </c>
      <c r="C139" s="134">
        <v>12428.4</v>
      </c>
      <c r="D139" s="134">
        <v>8328.9</v>
      </c>
      <c r="E139" s="135">
        <f>D139/C139*100</f>
        <v>67.015062276721054</v>
      </c>
      <c r="F139" s="136"/>
      <c r="G139" s="136"/>
      <c r="H139" s="137"/>
      <c r="I139" s="138">
        <f t="shared" si="28"/>
        <v>12428.4</v>
      </c>
      <c r="J139" s="139">
        <v>0</v>
      </c>
      <c r="K139" s="140">
        <f t="shared" si="30"/>
        <v>12428.4</v>
      </c>
      <c r="L139" s="138">
        <f t="shared" si="23"/>
        <v>8328.9</v>
      </c>
      <c r="M139" s="139"/>
      <c r="N139" s="140">
        <f t="shared" si="24"/>
        <v>8328.9</v>
      </c>
      <c r="O139" s="141">
        <f>N139/K139*100</f>
        <v>67.015062276721054</v>
      </c>
    </row>
    <row r="140" spans="1:15" ht="37.5" customHeight="1" x14ac:dyDescent="0.25">
      <c r="A140" s="163">
        <v>1300</v>
      </c>
      <c r="B140" s="128" t="s">
        <v>273</v>
      </c>
      <c r="C140" s="129">
        <f t="shared" ref="C140:N140" si="40">C141</f>
        <v>30</v>
      </c>
      <c r="D140" s="129">
        <f t="shared" si="40"/>
        <v>4.4000000000000004</v>
      </c>
      <c r="E140" s="129">
        <f t="shared" si="40"/>
        <v>14.666666666666666</v>
      </c>
      <c r="F140" s="129">
        <f t="shared" si="40"/>
        <v>0</v>
      </c>
      <c r="G140" s="129">
        <f t="shared" si="40"/>
        <v>0</v>
      </c>
      <c r="H140" s="144">
        <f t="shared" si="40"/>
        <v>0</v>
      </c>
      <c r="I140" s="129">
        <f t="shared" si="40"/>
        <v>30</v>
      </c>
      <c r="J140" s="129">
        <f t="shared" si="40"/>
        <v>0</v>
      </c>
      <c r="K140" s="129">
        <f t="shared" si="40"/>
        <v>30</v>
      </c>
      <c r="L140" s="129">
        <f t="shared" si="40"/>
        <v>4.4000000000000004</v>
      </c>
      <c r="M140" s="129">
        <f t="shared" si="40"/>
        <v>0</v>
      </c>
      <c r="N140" s="129">
        <f t="shared" si="40"/>
        <v>4.4000000000000004</v>
      </c>
      <c r="O140" s="145">
        <f t="shared" si="32"/>
        <v>14.666666666666666</v>
      </c>
    </row>
    <row r="141" spans="1:15" ht="48" customHeight="1" x14ac:dyDescent="0.25">
      <c r="A141" s="142">
        <v>1301</v>
      </c>
      <c r="B141" s="133" t="s">
        <v>274</v>
      </c>
      <c r="C141" s="134">
        <v>30</v>
      </c>
      <c r="D141" s="134">
        <v>4.4000000000000004</v>
      </c>
      <c r="E141" s="135">
        <f t="shared" si="36"/>
        <v>14.666666666666666</v>
      </c>
      <c r="F141" s="136"/>
      <c r="G141" s="136">
        <v>0</v>
      </c>
      <c r="H141" s="137">
        <v>0</v>
      </c>
      <c r="I141" s="138">
        <f t="shared" si="28"/>
        <v>30</v>
      </c>
      <c r="J141" s="139"/>
      <c r="K141" s="140">
        <f t="shared" si="30"/>
        <v>30</v>
      </c>
      <c r="L141" s="138">
        <f t="shared" si="23"/>
        <v>4.4000000000000004</v>
      </c>
      <c r="M141" s="169"/>
      <c r="N141" s="140">
        <f t="shared" si="24"/>
        <v>4.4000000000000004</v>
      </c>
      <c r="O141" s="141">
        <f t="shared" si="32"/>
        <v>14.666666666666666</v>
      </c>
    </row>
    <row r="142" spans="1:15" ht="32.25" customHeight="1" x14ac:dyDescent="0.25">
      <c r="A142" s="163">
        <v>1400</v>
      </c>
      <c r="B142" s="128" t="s">
        <v>275</v>
      </c>
      <c r="C142" s="129">
        <f>SUM(C143:C145)</f>
        <v>316755.59999999998</v>
      </c>
      <c r="D142" s="129">
        <f>SUM(D143:D145)</f>
        <v>231664.40000000002</v>
      </c>
      <c r="E142" s="129">
        <f>D142/C142*100</f>
        <v>73.136639099671811</v>
      </c>
      <c r="F142" s="153">
        <f>F143+F144+F145</f>
        <v>0</v>
      </c>
      <c r="G142" s="153">
        <f>SUM(G143:G145)</f>
        <v>0</v>
      </c>
      <c r="H142" s="153"/>
      <c r="I142" s="153">
        <f t="shared" ref="I142:N142" si="41">I143+I144+I145</f>
        <v>316755.59999999998</v>
      </c>
      <c r="J142" s="153">
        <f t="shared" si="41"/>
        <v>316755.59999999998</v>
      </c>
      <c r="K142" s="153">
        <f t="shared" si="41"/>
        <v>0</v>
      </c>
      <c r="L142" s="153">
        <f t="shared" si="41"/>
        <v>231664.40000000002</v>
      </c>
      <c r="M142" s="153">
        <f t="shared" si="41"/>
        <v>231664.40000000002</v>
      </c>
      <c r="N142" s="153">
        <f t="shared" si="41"/>
        <v>0</v>
      </c>
      <c r="O142" s="131">
        <v>0</v>
      </c>
    </row>
    <row r="143" spans="1:15" ht="58.5" customHeight="1" x14ac:dyDescent="0.25">
      <c r="A143" s="142">
        <v>1401</v>
      </c>
      <c r="B143" s="133" t="s">
        <v>276</v>
      </c>
      <c r="C143" s="134">
        <v>141776.5</v>
      </c>
      <c r="D143" s="134">
        <v>99243.8</v>
      </c>
      <c r="E143" s="135">
        <f t="shared" si="36"/>
        <v>70.000176333877619</v>
      </c>
      <c r="F143" s="136">
        <v>0</v>
      </c>
      <c r="G143" s="136">
        <v>0</v>
      </c>
      <c r="H143" s="137">
        <v>0</v>
      </c>
      <c r="I143" s="138">
        <f t="shared" si="28"/>
        <v>141776.5</v>
      </c>
      <c r="J143" s="139">
        <v>141776.5</v>
      </c>
      <c r="K143" s="140">
        <f t="shared" si="30"/>
        <v>0</v>
      </c>
      <c r="L143" s="138">
        <f t="shared" si="23"/>
        <v>99243.8</v>
      </c>
      <c r="M143" s="169">
        <v>99243.8</v>
      </c>
      <c r="N143" s="140">
        <f t="shared" si="24"/>
        <v>0</v>
      </c>
      <c r="O143" s="141">
        <v>0</v>
      </c>
    </row>
    <row r="144" spans="1:15" ht="21.75" customHeight="1" x14ac:dyDescent="0.25">
      <c r="A144" s="142">
        <v>1402</v>
      </c>
      <c r="B144" s="133" t="s">
        <v>277</v>
      </c>
      <c r="C144" s="134">
        <v>172479.1</v>
      </c>
      <c r="D144" s="134">
        <v>129920.6</v>
      </c>
      <c r="E144" s="135">
        <f t="shared" si="36"/>
        <v>75.32541623883705</v>
      </c>
      <c r="F144" s="136">
        <v>0</v>
      </c>
      <c r="G144" s="136">
        <v>0</v>
      </c>
      <c r="H144" s="137">
        <v>0</v>
      </c>
      <c r="I144" s="138">
        <f t="shared" si="28"/>
        <v>172479.1</v>
      </c>
      <c r="J144" s="139">
        <v>172479.1</v>
      </c>
      <c r="K144" s="140">
        <f t="shared" si="30"/>
        <v>0</v>
      </c>
      <c r="L144" s="138">
        <f t="shared" si="23"/>
        <v>129920.6</v>
      </c>
      <c r="M144" s="169">
        <v>129920.6</v>
      </c>
      <c r="N144" s="140">
        <f t="shared" si="24"/>
        <v>0</v>
      </c>
      <c r="O144" s="141">
        <v>0</v>
      </c>
    </row>
    <row r="145" spans="1:15" ht="39" customHeight="1" x14ac:dyDescent="0.25">
      <c r="A145" s="142">
        <v>1403</v>
      </c>
      <c r="B145" s="133" t="s">
        <v>278</v>
      </c>
      <c r="C145" s="134">
        <v>2500</v>
      </c>
      <c r="D145" s="134">
        <v>2500</v>
      </c>
      <c r="E145" s="135">
        <f t="shared" si="36"/>
        <v>100</v>
      </c>
      <c r="F145" s="136">
        <v>0</v>
      </c>
      <c r="G145" s="136">
        <v>0</v>
      </c>
      <c r="H145" s="137">
        <v>0</v>
      </c>
      <c r="I145" s="138">
        <f t="shared" si="28"/>
        <v>2500</v>
      </c>
      <c r="J145" s="139">
        <v>2500</v>
      </c>
      <c r="K145" s="140">
        <f t="shared" si="30"/>
        <v>0</v>
      </c>
      <c r="L145" s="138">
        <f t="shared" si="23"/>
        <v>2500</v>
      </c>
      <c r="M145" s="139">
        <v>2500</v>
      </c>
      <c r="N145" s="140">
        <f t="shared" si="24"/>
        <v>0</v>
      </c>
      <c r="O145" s="141">
        <v>0</v>
      </c>
    </row>
    <row r="146" spans="1:15" ht="15.75" thickBot="1" x14ac:dyDescent="0.3">
      <c r="A146" s="170" t="s">
        <v>279</v>
      </c>
      <c r="B146" s="171"/>
      <c r="C146" s="172">
        <f>C10+C19+C21+C26+C58+C101+C103+C114+C119+C123+C134+C138+C140+C142</f>
        <v>4027925.9999999995</v>
      </c>
      <c r="D146" s="172">
        <f>D142+D140+D138+D134+D123+D119+D114+D103+D101+D58+D26+D21+D19+D10</f>
        <v>2334968.7999999998</v>
      </c>
      <c r="E146" s="172">
        <f>D146/C146*100</f>
        <v>57.969505894596871</v>
      </c>
      <c r="F146" s="172">
        <f>F10+F19+F21+F26+F58+F101+F103+F114+F119+F123+F134+F138+F140+F142</f>
        <v>769740.79999999993</v>
      </c>
      <c r="G146" s="172">
        <f>G10+G19+G21+G26+G58+G101+G103+G114+G119+G123+G134+G138+G140+G142</f>
        <v>427552.9</v>
      </c>
      <c r="H146" s="173">
        <f>G146/F146*100</f>
        <v>55.545048411101519</v>
      </c>
      <c r="I146" s="172"/>
      <c r="J146" s="172">
        <f>J10+J19+J21+J26+J58+J101+J103+J114+J119+J123+J134+J138+J140+J142</f>
        <v>525237.89999999991</v>
      </c>
      <c r="K146" s="172">
        <f>K142+K140+K138+K134+K123+K119+K114+K103+K101+K58+K26+K21+K19+K10</f>
        <v>4272428.8999999994</v>
      </c>
      <c r="L146" s="174"/>
      <c r="M146" s="172">
        <f>M10+M19+M21+M26+M58+M101+M103+M114+M119+M123+M134+M138+M140+M142</f>
        <v>316060.30000000005</v>
      </c>
      <c r="N146" s="172">
        <f>N142+N140+N138+N134+N123+N119+N114+N103+N101+N58+N26+N21+N19+N10</f>
        <v>2446461.4000000004</v>
      </c>
      <c r="O146" s="175">
        <f t="shared" si="32"/>
        <v>57.261605921633965</v>
      </c>
    </row>
    <row r="147" spans="1:15" x14ac:dyDescent="0.25">
      <c r="A147" s="176"/>
      <c r="B147" s="177"/>
      <c r="C147" s="178"/>
      <c r="D147" s="93"/>
      <c r="E147" s="179"/>
      <c r="F147" s="95"/>
      <c r="G147" s="95"/>
      <c r="H147" s="96"/>
      <c r="I147" s="96"/>
      <c r="J147" s="96"/>
      <c r="K147" s="99"/>
      <c r="L147" s="95"/>
      <c r="M147" s="99"/>
      <c r="N147" s="99"/>
      <c r="O147" s="100"/>
    </row>
    <row r="148" spans="1:15" x14ac:dyDescent="0.25">
      <c r="A148" s="180" t="s">
        <v>280</v>
      </c>
      <c r="B148" s="180"/>
      <c r="C148" s="180"/>
      <c r="D148" s="181"/>
      <c r="E148" s="182"/>
      <c r="F148" s="181"/>
      <c r="G148" s="95"/>
      <c r="H148" s="96"/>
      <c r="I148" s="96"/>
      <c r="J148" s="96"/>
      <c r="K148" s="100"/>
      <c r="L148" s="96"/>
      <c r="M148" s="100"/>
      <c r="N148" s="99"/>
      <c r="O148" s="100"/>
    </row>
    <row r="149" spans="1:15" x14ac:dyDescent="0.25">
      <c r="A149" s="180" t="s">
        <v>281</v>
      </c>
      <c r="B149" s="180"/>
      <c r="C149" s="180"/>
      <c r="D149" s="183"/>
      <c r="E149" s="184" t="s">
        <v>282</v>
      </c>
      <c r="F149" s="184"/>
      <c r="G149" s="95"/>
      <c r="H149" s="96"/>
      <c r="I149" s="96"/>
      <c r="J149" s="96"/>
      <c r="K149" s="97"/>
      <c r="L149" s="98"/>
      <c r="M149" s="97"/>
      <c r="N149" s="99"/>
      <c r="O149" s="100"/>
    </row>
    <row r="150" spans="1:15" x14ac:dyDescent="0.25">
      <c r="A150" s="185"/>
      <c r="B150" s="186"/>
      <c r="C150" s="187"/>
      <c r="D150" s="188"/>
      <c r="E150" s="189"/>
      <c r="F150" s="190"/>
      <c r="G150" s="95"/>
      <c r="H150" s="96"/>
      <c r="I150" s="96"/>
      <c r="J150" s="96"/>
      <c r="K150" s="97"/>
      <c r="L150" s="98"/>
      <c r="M150" s="97"/>
      <c r="N150" s="99"/>
      <c r="O150" s="100"/>
    </row>
    <row r="151" spans="1:15" x14ac:dyDescent="0.25">
      <c r="A151" s="180" t="s">
        <v>283</v>
      </c>
      <c r="B151" s="180"/>
      <c r="C151" s="180"/>
      <c r="D151" s="191"/>
      <c r="E151" s="184" t="s">
        <v>284</v>
      </c>
      <c r="F151" s="184"/>
      <c r="G151" s="95"/>
      <c r="H151" s="96"/>
      <c r="I151" s="96"/>
      <c r="J151" s="96"/>
      <c r="K151" s="97"/>
      <c r="L151" s="98"/>
      <c r="M151" s="97"/>
      <c r="N151" s="99"/>
      <c r="O151" s="100"/>
    </row>
    <row r="152" spans="1:15" x14ac:dyDescent="0.25">
      <c r="A152" s="185"/>
      <c r="B152" s="192"/>
      <c r="C152" s="193"/>
      <c r="D152" s="194"/>
      <c r="E152" s="189"/>
      <c r="F152" s="190"/>
      <c r="G152" s="95"/>
      <c r="H152" s="96"/>
      <c r="I152" s="96"/>
      <c r="J152" s="96"/>
      <c r="K152" s="97"/>
      <c r="L152" s="98"/>
      <c r="M152" s="97"/>
      <c r="N152" s="99"/>
      <c r="O152" s="100"/>
    </row>
    <row r="153" spans="1:15" x14ac:dyDescent="0.25">
      <c r="A153" s="180" t="s">
        <v>285</v>
      </c>
      <c r="B153" s="180"/>
      <c r="C153" s="180"/>
      <c r="D153" s="191"/>
      <c r="E153" s="184" t="s">
        <v>286</v>
      </c>
      <c r="F153" s="184"/>
      <c r="G153" s="95"/>
      <c r="H153" s="96"/>
      <c r="I153" s="96"/>
      <c r="J153" s="96"/>
      <c r="K153" s="97"/>
      <c r="L153" s="98"/>
      <c r="M153" s="97"/>
      <c r="N153" s="99"/>
      <c r="O153" s="100"/>
    </row>
    <row r="154" spans="1:15" x14ac:dyDescent="0.25">
      <c r="A154" s="195"/>
      <c r="B154" s="196"/>
      <c r="C154" s="197"/>
      <c r="D154" s="181"/>
      <c r="E154" s="198"/>
      <c r="F154" s="181"/>
      <c r="G154" s="95"/>
      <c r="H154" s="96"/>
      <c r="I154" s="96"/>
      <c r="J154" s="96"/>
      <c r="K154" s="100"/>
      <c r="L154" s="96"/>
      <c r="M154" s="100"/>
      <c r="N154" s="99" t="s">
        <v>2</v>
      </c>
      <c r="O154" s="100"/>
    </row>
    <row r="155" spans="1:15" x14ac:dyDescent="0.25">
      <c r="A155" s="199"/>
      <c r="B155" s="199"/>
      <c r="C155" s="200" t="s">
        <v>287</v>
      </c>
      <c r="D155" s="201"/>
      <c r="E155" s="202" t="s">
        <v>288</v>
      </c>
      <c r="F155" s="203"/>
      <c r="G155" s="204"/>
      <c r="K155" t="s">
        <v>289</v>
      </c>
      <c r="L155" s="205"/>
      <c r="N155" s="204"/>
    </row>
    <row r="156" spans="1:15" x14ac:dyDescent="0.25">
      <c r="C156" s="204"/>
      <c r="F156" s="204"/>
      <c r="L156" s="205"/>
    </row>
  </sheetData>
  <mergeCells count="28">
    <mergeCell ref="A149:C149"/>
    <mergeCell ref="E149:F149"/>
    <mergeCell ref="A151:C151"/>
    <mergeCell ref="E151:F151"/>
    <mergeCell ref="A153:C153"/>
    <mergeCell ref="E153:F153"/>
    <mergeCell ref="M4:M5"/>
    <mergeCell ref="N4:N5"/>
    <mergeCell ref="O4:O5"/>
    <mergeCell ref="B6:O8"/>
    <mergeCell ref="A146:B146"/>
    <mergeCell ref="A148:C148"/>
    <mergeCell ref="G4:G5"/>
    <mergeCell ref="H4:H5"/>
    <mergeCell ref="I4:I5"/>
    <mergeCell ref="J4:J5"/>
    <mergeCell ref="K4:K5"/>
    <mergeCell ref="L4:L5"/>
    <mergeCell ref="A1:O1"/>
    <mergeCell ref="A3:A8"/>
    <mergeCell ref="B3:B5"/>
    <mergeCell ref="C3:E3"/>
    <mergeCell ref="F3:H3"/>
    <mergeCell ref="I3:O3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2021-10-04T05:14:10Z</dcterms:modified>
</cp:coreProperties>
</file>