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<sst xmlns="http://schemas.openxmlformats.org/spreadsheetml/2006/main" count="849" uniqueCount="324">
  <si>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</si>
  <si>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</si>
  <si>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</si>
  <si>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</si>
  <si>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</si>
  <si>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</si>
  <si>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</si>
  <si>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</si>
  <si>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</si>
  <si>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</si>
  <si>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</si>
  <si>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</si>
  <si>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</si>
  <si>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</si>
  <si>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</si>
  <si>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</si>
  <si>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</si>
  <si>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</si>
  <si>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</si>
  <si>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</si>
  <si>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</si>
  <si>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</si>
  <si>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</si>
  <si>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</si>
  <si>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</si>
  <si>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</si>
  <si>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</si>
  <si>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</si>
  <si>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</si>
  <si>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</si>
  <si>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</si>
  <si>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</si>
  <si>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</si>
  <si>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</si>
  <si>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</si>
  <si>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</si>
  <si>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</si>
  <si>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</si>
  <si>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</si>
  <si>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</si>
  <si>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</si>
  <si>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</si>
  <si>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</si>
  <si>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</si>
  <si>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</si>
  <si>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</si>
  <si>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</si>
  <si>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</si>
  <si>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</si>
  <si>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</si>
  <si>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</si>
  <si>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</si>
  <si>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</si>
  <si>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</si>
  <si>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</si>
  <si>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</si>
  <si>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</si>
  <si>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</si>
  <si>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</si>
  <si>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</si>
  <si>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</si>
  <si>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</si>
  <si>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</si>
  <si>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</si>
  <si>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</si>
  <si>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</si>
  <si>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</si>
  <si>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</si>
  <si>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</si>
  <si>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</si>
  <si>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</si>
  <si>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</si>
  <si>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</si>
  <si>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</si>
  <si>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</si>
  <si>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</si>
  <si>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</si>
  <si>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</si>
  <si>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</si>
  <si>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</si>
  <si>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</si>
  <si>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</si>
  <si>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</si>
  <si>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</si>
  <si>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</si>
  <si>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</si>
  <si>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</si>
  <si>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</si>
  <si>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</si>
  <si>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</si>
  <si>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</si>
  <si>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</si>
  <si>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</si>
  <si>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</si>
  <si>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</si>
  <si>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</si>
  <si>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</si>
  <si>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</si>
  <si>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</si>
  <si>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</si>
  <si>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</si>
  <si>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</si>
  <si>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</si>
  <si>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</si>
  <si>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</si>
  <si>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</si>
  <si>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</si>
  <si>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</si>
  <si>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</si>
  <si>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</si>
  <si>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</si>
  <si>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</si>
  <si>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</si>
  <si>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</si>
  <si>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</si>
  <si>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</si>
  <si>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</si>
  <si>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</si>
  <si>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</si>
  <si>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</si>
  <si>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</si>
  <si>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</si>
  <si>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</si>
  <si>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</si>
  <si>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</si>
  <si>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</si>
  <si>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</si>
  <si>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</si>
  <si>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</si>
  <si>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</si>
  <si>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</si>
  <si>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</si>
  <si>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</si>
  <si>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</si>
  <si>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</si>
  <si>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</si>
  <si>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</si>
  <si>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</si>
  <si>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</si>
  <si>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</si>
  <si>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</si>
  <si>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</si>
  <si>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</si>
  <si>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</si>
  <si>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</si>
  <si>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</si>
  <si>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</si>
  <si>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</si>
  <si>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</si>
  <si>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</si>
  <si>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</si>
  <si>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</si>
  <si>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</si>
  <si>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</si>
  <si>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</si>
  <si>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</si>
  <si>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</si>
  <si>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</si>
  <si>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</si>
  <si>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</si>
  <si>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</si>
  <si>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</si>
  <si>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</si>
  <si>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</si>
  <si>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</si>
  <si>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</si>
  <si>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</si>
  <si>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</si>
  <si>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</si>
  <si>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</si>
  <si>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</si>
  <si>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</si>
  <si>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</si>
  <si>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</si>
  <si>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</si>
  <si>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</si>
  <si>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</si>
  <si>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</si>
  <si>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</si>
  <si>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</si>
  <si>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</si>
  <si>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</si>
  <si>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</si>
  <si>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Подпрограмма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(09.5.5410)</t>
  </si>
  <si>
    <t>Капитальный ремонт жилого фонда (40.6.2120)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</si>
  <si>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и доля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</si>
  <si>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 (14.0.2123, 14.0.2124)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</si>
  <si>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</si>
  <si>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</si>
  <si>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</si>
  <si>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</si>
  <si>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</si>
  <si>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</si>
  <si>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Центральный аппарат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</si>
  <si>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</si>
  <si>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</si>
  <si>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</si>
  <si>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</si>
  <si>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</si>
  <si>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</si>
  <si>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</si>
  <si>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(10.3.5411) 01.02.00 централизов. электроснабжение  доля местного бюджета</t>
  </si>
  <si>
    <t xml:space="preserve"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(10.3.5521) </t>
  </si>
  <si>
    <t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годы"(газоснабжение) (10.3.5521)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</si>
  <si>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</si>
  <si>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</si>
  <si>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(40.7.2113)</t>
  </si>
  <si>
    <t>Подпрограмма "Ликвидация приспособленных для проживания строений, расположенных в местах их сосредоточения в муниципальном образовании Октябрьский район" (09.3.5410) окружной бюджет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</si>
  <si>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</si>
  <si>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</si>
  <si>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</si>
  <si>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</si>
  <si>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</si>
  <si>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</si>
  <si>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 xml:space="preserve"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(прочие потребности) (10.3.5411) 01.40.28 централизов. электроснабжение округ 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</si>
  <si>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(03.1.5408) строительство объектов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</si>
  <si>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 (молодая семья за счет средств местного бюджета)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</si>
  <si>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</si>
  <si>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</si>
  <si>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Субсидии на предоставление государственных услуг в многофункциональных центрах предоставления государственных и муниципальных услуг (17.1.5427) тс.01.40.07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</si>
  <si>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01.00.00 местный бюджет</t>
  </si>
  <si>
    <t xml:space="preserve"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01.40.36, 01.60.00 (инженерные сети). </t>
  </si>
  <si>
    <t xml:space="preserve"> Заведующий отделом учета исполнения бюджета</t>
  </si>
  <si>
    <t>Агеева Н.В.</t>
  </si>
  <si>
    <t>Субвенции на реализацию муниципальной  программы "Развитие агропромышленного комплекса  муниципального  образования  Октябрьский  район  на 2014-2020 годы " (05.0.5523)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</si>
  <si>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</si>
  <si>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(10.1.5411; 10.6.5411) модернизация ЖКХ 01.40.01, 01.40.50 окружной бюджет тс. 01.60.00</t>
  </si>
  <si>
    <t>Подпрограмма "Создание условий для обеспечения качественными коммунальными услугами" программы "Развитие жилищно-коммунального комплекса и повышение энергетической эффективности в Октябрьском районе на 2014-2016 годы" (разработка программы "Комплексная система развития ЖКХ", газификация жилого в пгт.Приобье) (10.1.2120)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</si>
  <si>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(подготовка к зиме) (10.1.5643), ОЗП, 01.40.50, 01.02.00</t>
  </si>
  <si>
    <t>Бюджетные инвестии в объекты капитального строительства собственности муниципального образования (10.1.0102)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</si>
  <si>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</si>
  <si>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(16.4.5645)</t>
  </si>
  <si>
    <t>Подпрограмма "Библиотечное дело" 03.1.5644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</si>
  <si>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(09.3.5410)(ликвидация  приспособленных для проживания строений за счет средств местного бюджета) 01.02.01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</si>
  <si>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</si>
  <si>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</si>
  <si>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"Содействие в улучшении жилищных условий молодых семей на территории Октябрьского района в рамках федеральной целевой программы"Жилище" муниципальной программы "Обеспечение доступным и комфортным жильем жителей Октябрьского района на  2014-2016 годы" за счет средств федерального бюджета (09.1.5020)</t>
  </si>
  <si>
    <t>Отчет  об  исполнении  консолидированного  бюджета  района  по  расходам на 1 декабря 2014 года</t>
  </si>
  <si>
    <t>исполнение на 01.12.2014</t>
  </si>
  <si>
    <t>исполнения на 01.12.2014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</si>
  <si>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</si>
  <si>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Создание условий для обеспечения качественными коммунальными услугами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годы"(ремонт внутрипос. сетей электроснаб. п.Карымкары) (10.1.0102)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</si>
  <si>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</si>
  <si>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Отчет об исполнении консолидированного бюджета Октябрьского района по состоянию на 01.12.2014</t>
  </si>
  <si>
    <t>(тыс.руб.)</t>
  </si>
  <si>
    <t xml:space="preserve"> </t>
  </si>
  <si>
    <t xml:space="preserve">План на 2014 год </t>
  </si>
  <si>
    <t>План                 на 1 полугодие 2014 года</t>
  </si>
  <si>
    <t>1 квартал</t>
  </si>
  <si>
    <t>2 квартал</t>
  </si>
  <si>
    <t>3 квартал</t>
  </si>
  <si>
    <t>План на 2</t>
  </si>
  <si>
    <t>4 квартал</t>
  </si>
  <si>
    <t>Исполнение на 01.12.2014</t>
  </si>
  <si>
    <t xml:space="preserve">% исп-ия к плану на 9 месяцев 2014 года </t>
  </si>
  <si>
    <t xml:space="preserve">% исп-ия к плану на 2014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</si>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</sst>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164" fontId="16" fillId="35" borderId="10" xfId="0" applyNumberFormat="1" applyFont="1" applyFill="1" applyBorder="1" applyAlignment="1">
      <alignment horizontal="center" vertical="center" wrapText="1"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24" fillId="35" borderId="16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5" borderId="19" xfId="0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/>
    </xf>
    <xf numFmtId="165" fontId="23" fillId="35" borderId="20" xfId="0" applyNumberFormat="1" applyFont="1" applyFill="1" applyBorder="1" applyAlignment="1">
      <alignment horizontal="right" vertical="top"/>
    </xf>
    <xf numFmtId="165" fontId="23" fillId="35" borderId="1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65" fontId="26" fillId="35" borderId="10" xfId="0" applyNumberFormat="1" applyFont="1" applyFill="1" applyBorder="1" applyAlignment="1">
      <alignment vertical="top" wrapText="1"/>
    </xf>
    <xf numFmtId="165" fontId="22" fillId="35" borderId="10" xfId="0" applyNumberFormat="1" applyFont="1" applyFill="1" applyBorder="1" applyAlignment="1">
      <alignment horizontal="right" vertical="top"/>
    </xf>
    <xf numFmtId="165" fontId="22" fillId="35" borderId="10" xfId="0" applyNumberFormat="1" applyFont="1" applyFill="1" applyBorder="1" applyAlignment="1">
      <alignment vertical="top"/>
    </xf>
    <xf numFmtId="165" fontId="22" fillId="35" borderId="20" xfId="0" applyNumberFormat="1" applyFont="1" applyFill="1" applyBorder="1" applyAlignment="1">
      <alignment horizontal="right" vertical="top"/>
    </xf>
    <xf numFmtId="49" fontId="26" fillId="0" borderId="20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20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165" fontId="25" fillId="35" borderId="10" xfId="0" applyNumberFormat="1" applyFont="1" applyFill="1" applyBorder="1" applyAlignment="1">
      <alignment horizontal="right" vertical="top" wrapText="1"/>
    </xf>
    <xf numFmtId="165" fontId="23" fillId="35" borderId="10" xfId="0" applyNumberFormat="1" applyFont="1" applyFill="1" applyBorder="1" applyAlignment="1">
      <alignment horizontal="right" vertical="top"/>
    </xf>
    <xf numFmtId="49" fontId="26" fillId="0" borderId="2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165" fontId="26" fillId="35" borderId="10" xfId="0" applyNumberFormat="1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165" fontId="26" fillId="35" borderId="10" xfId="0" applyNumberFormat="1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20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20" xfId="0" applyFont="1" applyFill="1" applyBorder="1" applyAlignment="1">
      <alignment vertical="top" wrapText="1"/>
    </xf>
    <xf numFmtId="165" fontId="26" fillId="35" borderId="20" xfId="0" applyNumberFormat="1" applyFont="1" applyFill="1" applyBorder="1" applyAlignment="1">
      <alignment vertical="top" wrapText="1"/>
    </xf>
    <xf numFmtId="165" fontId="22" fillId="35" borderId="20" xfId="0" applyNumberFormat="1" applyFont="1" applyFill="1" applyBorder="1" applyAlignment="1">
      <alignment vertical="top"/>
    </xf>
    <xf numFmtId="0" fontId="26" fillId="35" borderId="14" xfId="0" applyFont="1" applyFill="1" applyBorder="1" applyAlignment="1">
      <alignment vertical="top" wrapText="1"/>
    </xf>
    <xf numFmtId="165" fontId="26" fillId="35" borderId="14" xfId="0" applyNumberFormat="1" applyFont="1" applyFill="1" applyBorder="1" applyAlignment="1">
      <alignment vertical="top" wrapText="1"/>
    </xf>
    <xf numFmtId="165" fontId="26" fillId="35" borderId="10" xfId="0" applyNumberFormat="1" applyFont="1" applyFill="1" applyBorder="1" applyAlignment="1">
      <alignment horizontal="right"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5" fontId="22" fillId="35" borderId="17" xfId="0" applyNumberFormat="1" applyFont="1" applyFill="1" applyBorder="1" applyAlignment="1">
      <alignment horizontal="right" vertical="top"/>
    </xf>
    <xf numFmtId="165" fontId="26" fillId="35" borderId="10" xfId="0" applyNumberFormat="1" applyFont="1" applyFill="1" applyBorder="1" applyAlignment="1">
      <alignment horizontal="right" vertical="top" wrapText="1" shrinkToFi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65" fontId="23" fillId="35" borderId="17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/>
    </xf>
    <xf numFmtId="165" fontId="26" fillId="35" borderId="20" xfId="0" applyNumberFormat="1" applyFont="1" applyFill="1" applyBorder="1" applyAlignment="1">
      <alignment horizontal="right" vertical="top" wrapText="1"/>
    </xf>
    <xf numFmtId="165" fontId="25" fillId="35" borderId="21" xfId="0" applyNumberFormat="1" applyFont="1" applyFill="1" applyBorder="1" applyAlignment="1">
      <alignment horizontal="right" vertical="top" wrapText="1"/>
    </xf>
    <xf numFmtId="165" fontId="26" fillId="35" borderId="10" xfId="0" applyNumberFormat="1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center" vertical="top"/>
    </xf>
    <xf numFmtId="165" fontId="26" fillId="35" borderId="14" xfId="0" applyNumberFormat="1" applyFont="1" applyFill="1" applyBorder="1" applyAlignment="1">
      <alignment horizontal="right" vertical="top" wrapText="1"/>
    </xf>
    <xf numFmtId="165" fontId="25" fillId="35" borderId="10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20" xfId="0" applyNumberFormat="1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166" fontId="22" fillId="35" borderId="10" xfId="0" applyNumberFormat="1" applyFont="1" applyFill="1" applyBorder="1" applyAlignment="1">
      <alignment vertical="top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165" fontId="26" fillId="35" borderId="10" xfId="0" applyNumberFormat="1" applyFont="1" applyFill="1" applyBorder="1" applyAlignment="1">
      <alignment horizontal="right" vertical="top" wrapText="1"/>
    </xf>
    <xf numFmtId="49" fontId="26" fillId="0" borderId="14" xfId="0" applyNumberFormat="1" applyFont="1" applyFill="1" applyBorder="1" applyAlignment="1">
      <alignment horizontal="left" vertical="top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5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35" borderId="17" xfId="0" applyFont="1" applyFill="1" applyBorder="1" applyAlignment="1">
      <alignment horizontal="center" vertical="top" wrapText="1"/>
    </xf>
    <xf numFmtId="0" fontId="23" fillId="35" borderId="19" xfId="0" applyFont="1" applyFill="1" applyBorder="1" applyAlignment="1">
      <alignment horizontal="center" vertical="top" wrapText="1"/>
    </xf>
    <xf numFmtId="0" fontId="23" fillId="35" borderId="20" xfId="0" applyFont="1" applyFill="1" applyBorder="1" applyAlignment="1">
      <alignment horizontal="center" vertical="top" wrapText="1"/>
    </xf>
    <xf numFmtId="0" fontId="23" fillId="35" borderId="17" xfId="0" applyFont="1" applyFill="1" applyBorder="1" applyAlignment="1">
      <alignment horizontal="center" vertical="top"/>
    </xf>
    <xf numFmtId="0" fontId="23" fillId="35" borderId="19" xfId="0" applyFont="1" applyFill="1" applyBorder="1" applyAlignment="1">
      <alignment horizontal="center" vertical="top"/>
    </xf>
    <xf numFmtId="0" fontId="23" fillId="35" borderId="20" xfId="0" applyFont="1" applyFill="1" applyBorder="1" applyAlignment="1">
      <alignment horizontal="center" vertical="top"/>
    </xf>
    <xf numFmtId="0" fontId="23" fillId="35" borderId="17" xfId="0" applyFont="1" applyFill="1" applyBorder="1" applyAlignment="1">
      <alignment horizontal="center" vertical="justify"/>
    </xf>
    <xf numFmtId="0" fontId="23" fillId="35" borderId="19" xfId="0" applyFont="1" applyFill="1" applyBorder="1" applyAlignment="1">
      <alignment horizontal="center" vertical="justify"/>
    </xf>
    <xf numFmtId="0" fontId="23" fillId="35" borderId="20" xfId="0" applyFont="1" applyFill="1" applyBorder="1" applyAlignment="1">
      <alignment horizontal="center" vertical="justify"/>
    </xf>
    <xf numFmtId="0" fontId="24" fillId="0" borderId="10" xfId="0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165" fontId="23" fillId="0" borderId="26" xfId="0" applyNumberFormat="1" applyFont="1" applyFill="1" applyBorder="1" applyAlignment="1">
      <alignment horizontal="center" vertical="top"/>
    </xf>
    <xf numFmtId="44" fontId="26" fillId="0" borderId="16" xfId="42" applyFont="1" applyFill="1" applyBorder="1" applyAlignment="1">
      <alignment horizontal="center" vertical="top" wrapText="1"/>
    </xf>
    <xf numFmtId="44" fontId="26" fillId="0" borderId="26" xfId="42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0" fillId="36" borderId="25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3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3" xfId="53" applyNumberFormat="1" applyFont="1" applyFill="1" applyBorder="1" applyAlignment="1">
      <alignment horizontal="center" vertical="center" wrapText="1"/>
      <protection/>
    </xf>
    <xf numFmtId="164" fontId="16" fillId="0" borderId="23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3" t="s">
        <v>170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4" t="s">
        <v>98</v>
      </c>
      <c r="B3" s="196" t="s">
        <v>97</v>
      </c>
      <c r="C3" s="198" t="s">
        <v>113</v>
      </c>
      <c r="D3" s="198"/>
      <c r="E3" s="198"/>
      <c r="F3" s="199" t="s">
        <v>112</v>
      </c>
      <c r="G3" s="199"/>
      <c r="H3" s="199"/>
      <c r="I3" s="200" t="s">
        <v>111</v>
      </c>
      <c r="J3" s="200"/>
      <c r="K3" s="201"/>
    </row>
    <row r="4" spans="1:11" ht="12.75">
      <c r="A4" s="195"/>
      <c r="B4" s="197"/>
      <c r="C4" s="185" t="s">
        <v>78</v>
      </c>
      <c r="D4" s="185" t="s">
        <v>171</v>
      </c>
      <c r="E4" s="185" t="s">
        <v>77</v>
      </c>
      <c r="F4" s="185" t="s">
        <v>78</v>
      </c>
      <c r="G4" s="202" t="s">
        <v>171</v>
      </c>
      <c r="H4" s="202" t="s">
        <v>77</v>
      </c>
      <c r="I4" s="203" t="s">
        <v>78</v>
      </c>
      <c r="J4" s="205" t="s">
        <v>173</v>
      </c>
      <c r="K4" s="188" t="s">
        <v>77</v>
      </c>
    </row>
    <row r="5" spans="1:11" ht="19.5" customHeight="1">
      <c r="A5" s="195"/>
      <c r="B5" s="197"/>
      <c r="C5" s="186"/>
      <c r="D5" s="185"/>
      <c r="E5" s="192"/>
      <c r="F5" s="186"/>
      <c r="G5" s="202"/>
      <c r="H5" s="186"/>
      <c r="I5" s="204"/>
      <c r="J5" s="205"/>
      <c r="K5" s="189"/>
    </row>
    <row r="6" spans="1:11" ht="12.75">
      <c r="A6" s="195"/>
      <c r="B6" s="190" t="s">
        <v>0</v>
      </c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5"/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 ht="12.75">
      <c r="A8" s="195"/>
      <c r="B8" s="190"/>
      <c r="C8" s="190"/>
      <c r="D8" s="190"/>
      <c r="E8" s="190"/>
      <c r="F8" s="190"/>
      <c r="G8" s="190"/>
      <c r="H8" s="190"/>
      <c r="I8" s="190"/>
      <c r="J8" s="190"/>
      <c r="K8" s="191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208" t="s">
        <v>20</v>
      </c>
      <c r="B20" s="209" t="s">
        <v>102</v>
      </c>
      <c r="C20" s="187">
        <f>C23+C24+C22</f>
        <v>25046.9</v>
      </c>
      <c r="D20" s="187">
        <f>D23+D24+D22</f>
        <v>0</v>
      </c>
      <c r="E20" s="187">
        <f>D20/C20*100</f>
        <v>0</v>
      </c>
      <c r="F20" s="187">
        <f>F23+F24+F22</f>
        <v>9535.5</v>
      </c>
      <c r="G20" s="187">
        <f>G23+G24+G22</f>
        <v>0</v>
      </c>
      <c r="H20" s="187">
        <f>G20/F20*100</f>
        <v>0</v>
      </c>
      <c r="I20" s="187">
        <f>I23+I24+I22</f>
        <v>32921.4</v>
      </c>
      <c r="J20" s="187">
        <f>SUM(J22:J24)</f>
        <v>0</v>
      </c>
      <c r="K20" s="187">
        <f>J20/I20*100</f>
        <v>0</v>
      </c>
    </row>
    <row r="21" spans="1:11" ht="12.75">
      <c r="A21" s="208"/>
      <c r="B21" s="209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206" t="s">
        <v>65</v>
      </c>
      <c r="B118" s="207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210" t="s">
        <v>124</v>
      </c>
      <c r="B124" s="210"/>
      <c r="C124" s="210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210" t="s">
        <v>125</v>
      </c>
      <c r="B125" s="210"/>
      <c r="C125" s="210"/>
      <c r="D125" s="42"/>
      <c r="E125" s="211" t="s">
        <v>66</v>
      </c>
      <c r="F125" s="211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210" t="s">
        <v>151</v>
      </c>
      <c r="B127" s="210"/>
      <c r="C127" s="210"/>
      <c r="D127" s="34"/>
      <c r="E127" s="211" t="s">
        <v>123</v>
      </c>
      <c r="F127" s="211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210" t="s">
        <v>154</v>
      </c>
      <c r="B129" s="210"/>
      <c r="C129" s="210"/>
      <c r="D129" s="34"/>
      <c r="E129" s="212" t="s">
        <v>155</v>
      </c>
      <c r="F129" s="212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5.875" style="0" customWidth="1"/>
    <col min="5" max="5" width="13.125" style="0" hidden="1" customWidth="1"/>
    <col min="6" max="6" width="10.00390625" style="0" hidden="1" customWidth="1"/>
    <col min="7" max="7" width="8.375" style="0" hidden="1" customWidth="1"/>
    <col min="8" max="8" width="8.75390625" style="0" hidden="1" customWidth="1"/>
    <col min="9" max="9" width="10.00390625" style="0" hidden="1" customWidth="1"/>
    <col min="10" max="10" width="11.00390625" style="0" hidden="1" customWidth="1"/>
    <col min="11" max="11" width="11.875" style="0" customWidth="1"/>
    <col min="12" max="12" width="9.125" style="0" hidden="1" customWidth="1"/>
  </cols>
  <sheetData>
    <row r="1" spans="1:13" ht="12.75">
      <c r="A1" s="213" t="s">
        <v>243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12"/>
      <c r="M2" s="112"/>
    </row>
    <row r="3" spans="1:13" ht="12.75">
      <c r="A3" s="113"/>
      <c r="B3" s="113"/>
      <c r="C3" s="114"/>
      <c r="D3" s="114"/>
      <c r="E3" s="114"/>
      <c r="F3" s="114"/>
      <c r="G3" s="114"/>
      <c r="H3" s="115"/>
      <c r="I3" s="115"/>
      <c r="J3" s="115"/>
      <c r="K3" s="116" t="s">
        <v>244</v>
      </c>
      <c r="L3" s="112"/>
      <c r="M3" s="112"/>
    </row>
    <row r="4" spans="1:13" ht="12.75" customHeight="1">
      <c r="A4" s="117" t="s">
        <v>245</v>
      </c>
      <c r="B4" s="117"/>
      <c r="C4" s="118"/>
      <c r="D4" s="215" t="s">
        <v>246</v>
      </c>
      <c r="E4" s="215" t="s">
        <v>247</v>
      </c>
      <c r="F4" s="218" t="s">
        <v>248</v>
      </c>
      <c r="G4" s="218" t="s">
        <v>249</v>
      </c>
      <c r="H4" s="218" t="s">
        <v>250</v>
      </c>
      <c r="I4" s="221" t="s">
        <v>251</v>
      </c>
      <c r="J4" s="218" t="s">
        <v>252</v>
      </c>
      <c r="K4" s="215" t="s">
        <v>253</v>
      </c>
      <c r="L4" s="215" t="s">
        <v>254</v>
      </c>
      <c r="M4" s="215" t="s">
        <v>255</v>
      </c>
    </row>
    <row r="5" spans="1:13" ht="12.75">
      <c r="A5" s="119" t="s">
        <v>256</v>
      </c>
      <c r="B5" s="119"/>
      <c r="C5" s="120" t="s">
        <v>257</v>
      </c>
      <c r="D5" s="216"/>
      <c r="E5" s="216"/>
      <c r="F5" s="219"/>
      <c r="G5" s="219"/>
      <c r="H5" s="219"/>
      <c r="I5" s="222"/>
      <c r="J5" s="219"/>
      <c r="K5" s="216"/>
      <c r="L5" s="216"/>
      <c r="M5" s="216"/>
    </row>
    <row r="6" spans="1:13" ht="12.75">
      <c r="A6" s="119"/>
      <c r="B6" s="119"/>
      <c r="C6" s="120"/>
      <c r="D6" s="217"/>
      <c r="E6" s="217"/>
      <c r="F6" s="220"/>
      <c r="G6" s="220"/>
      <c r="H6" s="220"/>
      <c r="I6" s="223"/>
      <c r="J6" s="220"/>
      <c r="K6" s="217"/>
      <c r="L6" s="217"/>
      <c r="M6" s="217"/>
    </row>
    <row r="7" spans="1:13" ht="12.75">
      <c r="A7" s="224" t="s">
        <v>258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112"/>
      <c r="M7" s="112"/>
    </row>
    <row r="8" spans="1:13" ht="12.75">
      <c r="A8" s="121" t="s">
        <v>259</v>
      </c>
      <c r="B8" s="121"/>
      <c r="C8" s="122" t="s">
        <v>260</v>
      </c>
      <c r="D8" s="123">
        <f aca="true" t="shared" si="0" ref="D8:K8">D9+D11+D12+D13+D15+D16+D18+D20+D14+D21+D17+D19+D10</f>
        <v>907206.4999999999</v>
      </c>
      <c r="E8" s="123">
        <f t="shared" si="0"/>
        <v>439527.1</v>
      </c>
      <c r="F8" s="123">
        <f t="shared" si="0"/>
        <v>210585.09999999998</v>
      </c>
      <c r="G8" s="123">
        <f t="shared" si="0"/>
        <v>228942</v>
      </c>
      <c r="H8" s="123">
        <f t="shared" si="0"/>
        <v>220192.69999999998</v>
      </c>
      <c r="I8" s="123">
        <f t="shared" si="0"/>
        <v>659719.7999999999</v>
      </c>
      <c r="J8" s="123">
        <f t="shared" si="0"/>
        <v>244528.09999999998</v>
      </c>
      <c r="K8" s="123">
        <f t="shared" si="0"/>
        <v>812777.1000000001</v>
      </c>
      <c r="L8" s="123">
        <f>K8*100/I8</f>
        <v>123.20034960296785</v>
      </c>
      <c r="M8" s="124">
        <f>K8*100/D8</f>
        <v>89.59119009839549</v>
      </c>
    </row>
    <row r="9" spans="1:13" ht="12.75">
      <c r="A9" s="125" t="s">
        <v>261</v>
      </c>
      <c r="B9" s="125"/>
      <c r="C9" s="126" t="s">
        <v>262</v>
      </c>
      <c r="D9" s="127">
        <v>695431</v>
      </c>
      <c r="E9" s="127">
        <f>F9+G9</f>
        <v>336267</v>
      </c>
      <c r="F9" s="127">
        <v>158666.3</v>
      </c>
      <c r="G9" s="127">
        <v>177600.7</v>
      </c>
      <c r="H9" s="128">
        <v>161953.5</v>
      </c>
      <c r="I9" s="128">
        <f>E9+H9</f>
        <v>498220.5</v>
      </c>
      <c r="J9" s="129">
        <f>188578.3+9248.9</f>
        <v>197827.19999999998</v>
      </c>
      <c r="K9" s="129">
        <v>604358</v>
      </c>
      <c r="L9" s="130">
        <f>K9*100/I9</f>
        <v>121.30331851057915</v>
      </c>
      <c r="M9" s="129">
        <f aca="true" t="shared" si="1" ref="M9:M73">K9*100/D9</f>
        <v>86.90409256993145</v>
      </c>
    </row>
    <row r="10" spans="1:13" ht="12.75">
      <c r="A10" s="131" t="s">
        <v>263</v>
      </c>
      <c r="B10" s="131"/>
      <c r="C10" s="126" t="s">
        <v>264</v>
      </c>
      <c r="D10" s="127">
        <v>33402</v>
      </c>
      <c r="E10" s="127">
        <f aca="true" t="shared" si="2" ref="E10:E26">F10+G10</f>
        <v>18807.4</v>
      </c>
      <c r="F10" s="127">
        <v>8828.2</v>
      </c>
      <c r="G10" s="127">
        <v>9979.2</v>
      </c>
      <c r="H10" s="128">
        <f>9979.2-2000</f>
        <v>7979.200000000001</v>
      </c>
      <c r="I10" s="128">
        <f>E10+H10</f>
        <v>26786.600000000002</v>
      </c>
      <c r="J10" s="129">
        <f>11367.6-2663.8</f>
        <v>8703.8</v>
      </c>
      <c r="K10" s="129">
        <v>29716.5</v>
      </c>
      <c r="L10" s="130">
        <f aca="true" t="shared" si="3" ref="L10:L20">K10*100/I10</f>
        <v>110.93793165239335</v>
      </c>
      <c r="M10" s="129">
        <f t="shared" si="1"/>
        <v>88.96622956709179</v>
      </c>
    </row>
    <row r="11" spans="1:13" ht="12.75">
      <c r="A11" s="131" t="s">
        <v>265</v>
      </c>
      <c r="B11" s="131"/>
      <c r="C11" s="126" t="s">
        <v>266</v>
      </c>
      <c r="D11" s="127">
        <v>32325.6</v>
      </c>
      <c r="E11" s="127">
        <f t="shared" si="2"/>
        <v>17029.6</v>
      </c>
      <c r="F11" s="127">
        <v>8529.8</v>
      </c>
      <c r="G11" s="127">
        <v>8499.8</v>
      </c>
      <c r="H11" s="128">
        <v>8529.3</v>
      </c>
      <c r="I11" s="128">
        <f aca="true" t="shared" si="4" ref="I11:I21">E11+H11</f>
        <v>25558.899999999998</v>
      </c>
      <c r="J11" s="129">
        <f>8623.9+19.3</f>
        <v>8643.199999999999</v>
      </c>
      <c r="K11" s="129">
        <v>31322.8</v>
      </c>
      <c r="L11" s="130">
        <f t="shared" si="3"/>
        <v>122.55144000719906</v>
      </c>
      <c r="M11" s="129">
        <f t="shared" si="1"/>
        <v>96.89781473507065</v>
      </c>
    </row>
    <row r="12" spans="1:13" ht="12.75">
      <c r="A12" s="131" t="s">
        <v>267</v>
      </c>
      <c r="B12" s="131"/>
      <c r="C12" s="126" t="s">
        <v>268</v>
      </c>
      <c r="D12" s="127">
        <v>3500</v>
      </c>
      <c r="E12" s="127">
        <f t="shared" si="2"/>
        <v>1415.6</v>
      </c>
      <c r="F12" s="127">
        <v>707.8</v>
      </c>
      <c r="G12" s="127">
        <v>707.8</v>
      </c>
      <c r="H12" s="128">
        <v>707.8</v>
      </c>
      <c r="I12" s="128">
        <f t="shared" si="4"/>
        <v>2123.3999999999996</v>
      </c>
      <c r="J12" s="129">
        <v>976.6</v>
      </c>
      <c r="K12" s="129">
        <v>3649.7</v>
      </c>
      <c r="L12" s="130">
        <f t="shared" si="3"/>
        <v>171.88000376754266</v>
      </c>
      <c r="M12" s="129">
        <f t="shared" si="1"/>
        <v>104.27714285714286</v>
      </c>
    </row>
    <row r="13" spans="1:13" ht="12.75">
      <c r="A13" s="131" t="s">
        <v>269</v>
      </c>
      <c r="B13" s="131"/>
      <c r="C13" s="126" t="s">
        <v>270</v>
      </c>
      <c r="D13" s="127">
        <v>3574</v>
      </c>
      <c r="E13" s="127">
        <f t="shared" si="2"/>
        <v>1677</v>
      </c>
      <c r="F13" s="127">
        <v>739.5</v>
      </c>
      <c r="G13" s="127">
        <v>937.5</v>
      </c>
      <c r="H13" s="128">
        <v>937.5</v>
      </c>
      <c r="I13" s="128">
        <f t="shared" si="4"/>
        <v>2614.5</v>
      </c>
      <c r="J13" s="129">
        <f>615.5-99</f>
        <v>516.5</v>
      </c>
      <c r="K13" s="129">
        <v>3857.3</v>
      </c>
      <c r="L13" s="130">
        <f t="shared" si="3"/>
        <v>147.53490151080513</v>
      </c>
      <c r="M13" s="129">
        <f t="shared" si="1"/>
        <v>107.92669278119753</v>
      </c>
    </row>
    <row r="14" spans="1:13" ht="24">
      <c r="A14" s="131" t="s">
        <v>271</v>
      </c>
      <c r="B14" s="131"/>
      <c r="C14" s="126" t="s">
        <v>272</v>
      </c>
      <c r="D14" s="127">
        <f>F14+G14+H14+J14</f>
        <v>0</v>
      </c>
      <c r="E14" s="127">
        <f t="shared" si="2"/>
        <v>0</v>
      </c>
      <c r="F14" s="127"/>
      <c r="G14" s="127"/>
      <c r="H14" s="128"/>
      <c r="I14" s="128">
        <f t="shared" si="4"/>
        <v>0</v>
      </c>
      <c r="J14" s="129"/>
      <c r="K14" s="129"/>
      <c r="L14" s="130" t="e">
        <f t="shared" si="3"/>
        <v>#DIV/0!</v>
      </c>
      <c r="M14" s="129"/>
    </row>
    <row r="15" spans="1:13" ht="24">
      <c r="A15" s="132" t="s">
        <v>273</v>
      </c>
      <c r="B15" s="132"/>
      <c r="C15" s="126" t="s">
        <v>274</v>
      </c>
      <c r="D15" s="127">
        <v>82224.7</v>
      </c>
      <c r="E15" s="127">
        <f t="shared" si="2"/>
        <v>33941.3</v>
      </c>
      <c r="F15" s="127">
        <v>16362.9</v>
      </c>
      <c r="G15" s="127">
        <v>17578.4</v>
      </c>
      <c r="H15" s="128">
        <f>16978.9+7000-390</f>
        <v>23588.9</v>
      </c>
      <c r="I15" s="128">
        <f t="shared" si="4"/>
        <v>57530.200000000004</v>
      </c>
      <c r="J15" s="129">
        <f>16632.5+2222+390</f>
        <v>19244.5</v>
      </c>
      <c r="K15" s="129">
        <v>82375.8</v>
      </c>
      <c r="L15" s="130">
        <f t="shared" si="3"/>
        <v>143.18705653726215</v>
      </c>
      <c r="M15" s="129">
        <f t="shared" si="1"/>
        <v>100.18376473249522</v>
      </c>
    </row>
    <row r="16" spans="1:13" ht="12.75">
      <c r="A16" s="133" t="s">
        <v>275</v>
      </c>
      <c r="B16" s="133"/>
      <c r="C16" s="126" t="s">
        <v>276</v>
      </c>
      <c r="D16" s="127">
        <v>15797.6</v>
      </c>
      <c r="E16" s="127">
        <f t="shared" si="2"/>
        <v>12316.6</v>
      </c>
      <c r="F16" s="127">
        <v>10236.2</v>
      </c>
      <c r="G16" s="127">
        <v>2080.4</v>
      </c>
      <c r="H16" s="128">
        <v>2080.4</v>
      </c>
      <c r="I16" s="128">
        <f t="shared" si="4"/>
        <v>14397</v>
      </c>
      <c r="J16" s="129">
        <f>2083.7-1.7</f>
        <v>2082</v>
      </c>
      <c r="K16" s="129">
        <v>15706.1</v>
      </c>
      <c r="L16" s="130">
        <f t="shared" si="3"/>
        <v>109.09286656942419</v>
      </c>
      <c r="M16" s="129">
        <f t="shared" si="1"/>
        <v>99.4207980959133</v>
      </c>
    </row>
    <row r="17" spans="1:13" ht="24">
      <c r="A17" s="134" t="s">
        <v>277</v>
      </c>
      <c r="B17" s="134"/>
      <c r="C17" s="126" t="s">
        <v>278</v>
      </c>
      <c r="D17" s="127">
        <v>11576</v>
      </c>
      <c r="E17" s="127">
        <f t="shared" si="2"/>
        <v>4925.5</v>
      </c>
      <c r="F17" s="127">
        <f>802.4+1705</f>
        <v>2507.4</v>
      </c>
      <c r="G17" s="127">
        <v>2418.1</v>
      </c>
      <c r="H17" s="128">
        <f>923.1+3206</f>
        <v>4129.1</v>
      </c>
      <c r="I17" s="128">
        <f t="shared" si="4"/>
        <v>9054.6</v>
      </c>
      <c r="J17" s="129">
        <v>1121.4</v>
      </c>
      <c r="K17" s="129">
        <v>10713</v>
      </c>
      <c r="L17" s="130">
        <f t="shared" si="3"/>
        <v>118.3155523159499</v>
      </c>
      <c r="M17" s="129">
        <f t="shared" si="1"/>
        <v>92.5449205252246</v>
      </c>
    </row>
    <row r="18" spans="1:13" ht="24">
      <c r="A18" s="134" t="s">
        <v>279</v>
      </c>
      <c r="B18" s="134"/>
      <c r="C18" s="126" t="s">
        <v>280</v>
      </c>
      <c r="D18" s="127">
        <v>19500</v>
      </c>
      <c r="E18" s="127">
        <f t="shared" si="2"/>
        <v>7161.7</v>
      </c>
      <c r="F18" s="127">
        <v>2581.7</v>
      </c>
      <c r="G18" s="127">
        <v>4580</v>
      </c>
      <c r="H18" s="128">
        <f>2290+5800</f>
        <v>8090</v>
      </c>
      <c r="I18" s="128">
        <f t="shared" si="4"/>
        <v>15251.7</v>
      </c>
      <c r="J18" s="129">
        <f>1848.3+2400</f>
        <v>4248.3</v>
      </c>
      <c r="K18" s="129">
        <v>18274</v>
      </c>
      <c r="L18" s="130">
        <f t="shared" si="3"/>
        <v>119.81615164211202</v>
      </c>
      <c r="M18" s="129">
        <f t="shared" si="1"/>
        <v>93.71282051282051</v>
      </c>
    </row>
    <row r="19" spans="1:13" ht="12.75">
      <c r="A19" s="134" t="s">
        <v>281</v>
      </c>
      <c r="B19" s="134"/>
      <c r="C19" s="126" t="s">
        <v>282</v>
      </c>
      <c r="D19" s="127">
        <v>6</v>
      </c>
      <c r="E19" s="127">
        <f t="shared" si="2"/>
        <v>6</v>
      </c>
      <c r="F19" s="127">
        <v>2</v>
      </c>
      <c r="G19" s="127">
        <v>4</v>
      </c>
      <c r="H19" s="128"/>
      <c r="I19" s="128">
        <f t="shared" si="4"/>
        <v>6</v>
      </c>
      <c r="J19" s="129">
        <v>0</v>
      </c>
      <c r="K19" s="129">
        <v>6.3</v>
      </c>
      <c r="L19" s="130">
        <f t="shared" si="3"/>
        <v>105</v>
      </c>
      <c r="M19" s="129">
        <f t="shared" si="1"/>
        <v>105</v>
      </c>
    </row>
    <row r="20" spans="1:13" ht="12.75">
      <c r="A20" s="125" t="s">
        <v>283</v>
      </c>
      <c r="B20" s="125"/>
      <c r="C20" s="126" t="s">
        <v>284</v>
      </c>
      <c r="D20" s="127">
        <v>9869.6</v>
      </c>
      <c r="E20" s="127">
        <f t="shared" si="2"/>
        <v>5979.400000000001</v>
      </c>
      <c r="F20" s="127">
        <v>1423.3</v>
      </c>
      <c r="G20" s="127">
        <v>4556.1</v>
      </c>
      <c r="H20" s="128">
        <f>594.7+1602.3</f>
        <v>2197</v>
      </c>
      <c r="I20" s="128">
        <f t="shared" si="4"/>
        <v>8176.400000000001</v>
      </c>
      <c r="J20" s="129">
        <v>1164.6</v>
      </c>
      <c r="K20" s="129">
        <v>12419.9</v>
      </c>
      <c r="L20" s="130">
        <f t="shared" si="3"/>
        <v>151.8993689154151</v>
      </c>
      <c r="M20" s="129">
        <f t="shared" si="1"/>
        <v>125.83995298694983</v>
      </c>
    </row>
    <row r="21" spans="1:13" ht="12.75">
      <c r="A21" s="135" t="s">
        <v>285</v>
      </c>
      <c r="B21" s="136"/>
      <c r="C21" s="137" t="s">
        <v>286</v>
      </c>
      <c r="D21" s="127">
        <f>F21+G21+H21+J21</f>
        <v>0</v>
      </c>
      <c r="E21" s="127">
        <f t="shared" si="2"/>
        <v>0</v>
      </c>
      <c r="F21" s="127"/>
      <c r="G21" s="127"/>
      <c r="H21" s="128"/>
      <c r="I21" s="128">
        <f t="shared" si="4"/>
        <v>0</v>
      </c>
      <c r="J21" s="129"/>
      <c r="K21" s="129">
        <v>377.7</v>
      </c>
      <c r="L21" s="130"/>
      <c r="M21" s="129"/>
    </row>
    <row r="22" spans="1:13" ht="12.75">
      <c r="A22" s="121" t="s">
        <v>287</v>
      </c>
      <c r="B22" s="121"/>
      <c r="C22" s="138" t="s">
        <v>288</v>
      </c>
      <c r="D22" s="139">
        <f aca="true" t="shared" si="5" ref="D22:K22">D23+D24+D26+D25</f>
        <v>3104428.1999999997</v>
      </c>
      <c r="E22" s="139">
        <f t="shared" si="5"/>
        <v>992449.8999999999</v>
      </c>
      <c r="F22" s="139">
        <f t="shared" si="5"/>
        <v>239250.40000000002</v>
      </c>
      <c r="G22" s="139">
        <f t="shared" si="5"/>
        <v>753199.5</v>
      </c>
      <c r="H22" s="139">
        <f t="shared" si="5"/>
        <v>865824.2</v>
      </c>
      <c r="I22" s="139">
        <f t="shared" si="5"/>
        <v>1858274.0999999996</v>
      </c>
      <c r="J22" s="139">
        <f t="shared" si="5"/>
        <v>1195872.3</v>
      </c>
      <c r="K22" s="139">
        <f t="shared" si="5"/>
        <v>2582948.4</v>
      </c>
      <c r="L22" s="123">
        <f aca="true" t="shared" si="6" ref="L22:L27">K22*100/I22</f>
        <v>138.9971694703166</v>
      </c>
      <c r="M22" s="124">
        <f t="shared" si="1"/>
        <v>83.20206600365246</v>
      </c>
    </row>
    <row r="23" spans="1:13" ht="24">
      <c r="A23" s="141" t="s">
        <v>289</v>
      </c>
      <c r="B23" s="131"/>
      <c r="C23" s="142" t="s">
        <v>290</v>
      </c>
      <c r="D23" s="127">
        <v>3178907.5</v>
      </c>
      <c r="E23" s="127">
        <f t="shared" si="2"/>
        <v>1077481.9</v>
      </c>
      <c r="F23" s="127">
        <v>330882.4</v>
      </c>
      <c r="G23" s="127">
        <v>746599.5</v>
      </c>
      <c r="H23" s="129">
        <f>710028.1-3009.8+167259</f>
        <v>874277.2999999999</v>
      </c>
      <c r="I23" s="128">
        <f>E23+H23</f>
        <v>1951759.1999999997</v>
      </c>
      <c r="J23" s="129">
        <f>1192419.1-9552.6</f>
        <v>1182866.5</v>
      </c>
      <c r="K23" s="129">
        <v>2694810.5</v>
      </c>
      <c r="L23" s="130">
        <f t="shared" si="6"/>
        <v>138.070849108845</v>
      </c>
      <c r="M23" s="129">
        <f t="shared" si="1"/>
        <v>84.77159212716947</v>
      </c>
    </row>
    <row r="24" spans="1:13" ht="12.75">
      <c r="A24" s="141" t="s">
        <v>291</v>
      </c>
      <c r="B24" s="141"/>
      <c r="C24" s="143" t="s">
        <v>292</v>
      </c>
      <c r="D24" s="127">
        <v>39005.8</v>
      </c>
      <c r="E24" s="127">
        <f t="shared" si="2"/>
        <v>7400</v>
      </c>
      <c r="F24" s="144">
        <v>800</v>
      </c>
      <c r="G24" s="144">
        <v>6600</v>
      </c>
      <c r="H24" s="129">
        <f>6600+6000</f>
        <v>12600</v>
      </c>
      <c r="I24" s="128">
        <f>E24+H24</f>
        <v>20000</v>
      </c>
      <c r="J24" s="129">
        <f>6000+7005.8</f>
        <v>13005.8</v>
      </c>
      <c r="K24" s="129">
        <v>22383.4</v>
      </c>
      <c r="L24" s="130">
        <f t="shared" si="6"/>
        <v>111.917</v>
      </c>
      <c r="M24" s="129">
        <f t="shared" si="1"/>
        <v>57.38479918371114</v>
      </c>
    </row>
    <row r="25" spans="1:13" ht="60.75" customHeight="1">
      <c r="A25" s="141" t="s">
        <v>293</v>
      </c>
      <c r="B25" s="145" t="s">
        <v>294</v>
      </c>
      <c r="C25" s="137" t="s">
        <v>294</v>
      </c>
      <c r="D25" s="127">
        <f>F25+G25+H25+J25</f>
        <v>0</v>
      </c>
      <c r="E25" s="127">
        <f t="shared" si="2"/>
        <v>0</v>
      </c>
      <c r="F25" s="127"/>
      <c r="G25" s="127"/>
      <c r="H25" s="129"/>
      <c r="I25" s="128">
        <f>E25+H25</f>
        <v>0</v>
      </c>
      <c r="J25" s="129"/>
      <c r="K25" s="129"/>
      <c r="L25" s="130" t="e">
        <f t="shared" si="6"/>
        <v>#DIV/0!</v>
      </c>
      <c r="M25" s="129"/>
    </row>
    <row r="26" spans="1:13" ht="36">
      <c r="A26" s="141" t="s">
        <v>295</v>
      </c>
      <c r="B26" s="146"/>
      <c r="C26" s="147" t="s">
        <v>296</v>
      </c>
      <c r="D26" s="127">
        <v>-113485.1</v>
      </c>
      <c r="E26" s="127">
        <f t="shared" si="2"/>
        <v>-92432</v>
      </c>
      <c r="F26" s="148">
        <v>-92432</v>
      </c>
      <c r="G26" s="148"/>
      <c r="H26" s="129">
        <v>-21053.1</v>
      </c>
      <c r="I26" s="128">
        <f>E26+H26</f>
        <v>-113485.1</v>
      </c>
      <c r="J26" s="129"/>
      <c r="K26" s="129">
        <v>-134245.5</v>
      </c>
      <c r="L26" s="130">
        <f t="shared" si="6"/>
        <v>118.29350284751037</v>
      </c>
      <c r="M26" s="129">
        <f t="shared" si="1"/>
        <v>118.29350284751037</v>
      </c>
    </row>
    <row r="27" spans="1:13" ht="12.75">
      <c r="A27" s="125"/>
      <c r="B27" s="149"/>
      <c r="C27" s="150" t="s">
        <v>297</v>
      </c>
      <c r="D27" s="124">
        <f aca="true" t="shared" si="7" ref="D27:K27">D22+D8</f>
        <v>4011634.6999999997</v>
      </c>
      <c r="E27" s="124">
        <f t="shared" si="7"/>
        <v>1431977</v>
      </c>
      <c r="F27" s="124">
        <f t="shared" si="7"/>
        <v>449835.5</v>
      </c>
      <c r="G27" s="124">
        <f t="shared" si="7"/>
        <v>982141.5</v>
      </c>
      <c r="H27" s="124">
        <f t="shared" si="7"/>
        <v>1086016.9</v>
      </c>
      <c r="I27" s="124">
        <f t="shared" si="7"/>
        <v>2517993.8999999994</v>
      </c>
      <c r="J27" s="124">
        <f t="shared" si="7"/>
        <v>1440400.4</v>
      </c>
      <c r="K27" s="124">
        <f t="shared" si="7"/>
        <v>3395725.5</v>
      </c>
      <c r="L27" s="123">
        <f t="shared" si="6"/>
        <v>134.85836879906662</v>
      </c>
      <c r="M27" s="124">
        <f t="shared" si="1"/>
        <v>84.6469270993194</v>
      </c>
    </row>
    <row r="28" spans="1:13" ht="12.75">
      <c r="A28" s="225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151"/>
      <c r="M28" s="152"/>
    </row>
    <row r="29" spans="1:13" ht="12.75">
      <c r="A29" s="227" t="s">
        <v>298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151"/>
      <c r="M29" s="152"/>
    </row>
    <row r="30" spans="1:13" ht="12.75">
      <c r="A30" s="121" t="s">
        <v>259</v>
      </c>
      <c r="B30" s="121"/>
      <c r="C30" s="122" t="s">
        <v>260</v>
      </c>
      <c r="D30" s="123">
        <f aca="true" t="shared" si="8" ref="D30:J30">D31+D32+D34+D36+D33+D35+D37</f>
        <v>15651</v>
      </c>
      <c r="E30" s="123">
        <f t="shared" si="8"/>
        <v>7827.2</v>
      </c>
      <c r="F30" s="123">
        <f t="shared" si="8"/>
        <v>3915.1999999999994</v>
      </c>
      <c r="G30" s="123">
        <f t="shared" si="8"/>
        <v>3912.0000000000005</v>
      </c>
      <c r="H30" s="123">
        <f t="shared" si="8"/>
        <v>3911.6999999999994</v>
      </c>
      <c r="I30" s="123">
        <f t="shared" si="8"/>
        <v>11738.900000000001</v>
      </c>
      <c r="J30" s="123">
        <f t="shared" si="8"/>
        <v>3912.1000000000004</v>
      </c>
      <c r="K30" s="123">
        <f>K31+K32+K34+K36+K33+K35+K37</f>
        <v>12566.900000000001</v>
      </c>
      <c r="L30" s="123">
        <f aca="true" t="shared" si="9" ref="L30:L38">K30*100/I30</f>
        <v>107.05347179037219</v>
      </c>
      <c r="M30" s="124">
        <f t="shared" si="1"/>
        <v>80.29454986901797</v>
      </c>
    </row>
    <row r="31" spans="1:13" ht="12.75">
      <c r="A31" s="131" t="s">
        <v>261</v>
      </c>
      <c r="B31" s="131"/>
      <c r="C31" s="153" t="s">
        <v>262</v>
      </c>
      <c r="D31" s="127">
        <v>13669</v>
      </c>
      <c r="E31" s="127">
        <f aca="true" t="shared" si="10" ref="E31:E36">F31+G31</f>
        <v>7087.5</v>
      </c>
      <c r="F31" s="154">
        <v>3543.7</v>
      </c>
      <c r="G31" s="154">
        <v>3543.8</v>
      </c>
      <c r="H31" s="128">
        <v>3543.7</v>
      </c>
      <c r="I31" s="128">
        <f>E31+H31</f>
        <v>10631.2</v>
      </c>
      <c r="J31" s="129">
        <v>3543.8</v>
      </c>
      <c r="K31" s="155">
        <v>10268</v>
      </c>
      <c r="L31" s="130">
        <f t="shared" si="9"/>
        <v>96.58364060501165</v>
      </c>
      <c r="M31" s="129">
        <f t="shared" si="1"/>
        <v>75.1188821420733</v>
      </c>
    </row>
    <row r="32" spans="1:13" ht="12.75">
      <c r="A32" s="131" t="s">
        <v>267</v>
      </c>
      <c r="B32" s="131"/>
      <c r="C32" s="126" t="s">
        <v>268</v>
      </c>
      <c r="D32" s="127">
        <v>403</v>
      </c>
      <c r="E32" s="127">
        <f t="shared" si="10"/>
        <v>216</v>
      </c>
      <c r="F32" s="127">
        <v>108</v>
      </c>
      <c r="G32" s="127">
        <v>108</v>
      </c>
      <c r="H32" s="128">
        <v>108</v>
      </c>
      <c r="I32" s="128">
        <f aca="true" t="shared" si="11" ref="I32:I40">E32+H32</f>
        <v>324</v>
      </c>
      <c r="J32" s="129">
        <v>108</v>
      </c>
      <c r="K32" s="129">
        <v>297.1</v>
      </c>
      <c r="L32" s="130">
        <f t="shared" si="9"/>
        <v>91.69753086419755</v>
      </c>
      <c r="M32" s="129">
        <f t="shared" si="1"/>
        <v>73.72208436724567</v>
      </c>
    </row>
    <row r="33" spans="1:13" ht="12.75">
      <c r="A33" s="131" t="s">
        <v>269</v>
      </c>
      <c r="B33" s="131"/>
      <c r="C33" s="126" t="s">
        <v>270</v>
      </c>
      <c r="D33" s="127">
        <v>23</v>
      </c>
      <c r="E33" s="127">
        <f t="shared" si="10"/>
        <v>11.5</v>
      </c>
      <c r="F33" s="127">
        <v>5.7</v>
      </c>
      <c r="G33" s="127">
        <v>5.8</v>
      </c>
      <c r="H33" s="128">
        <v>5.7</v>
      </c>
      <c r="I33" s="128">
        <f t="shared" si="11"/>
        <v>17.2</v>
      </c>
      <c r="J33" s="129">
        <v>5.8</v>
      </c>
      <c r="K33" s="129">
        <v>22.7</v>
      </c>
      <c r="L33" s="130">
        <f t="shared" si="9"/>
        <v>131.97674418604652</v>
      </c>
      <c r="M33" s="129">
        <f t="shared" si="1"/>
        <v>98.69565217391305</v>
      </c>
    </row>
    <row r="34" spans="1:13" ht="24">
      <c r="A34" s="132" t="s">
        <v>273</v>
      </c>
      <c r="B34" s="132"/>
      <c r="C34" s="126" t="s">
        <v>274</v>
      </c>
      <c r="D34" s="127">
        <v>1475</v>
      </c>
      <c r="E34" s="127">
        <f t="shared" si="10"/>
        <v>462.5</v>
      </c>
      <c r="F34" s="127">
        <v>231.2</v>
      </c>
      <c r="G34" s="127">
        <v>231.3</v>
      </c>
      <c r="H34" s="128">
        <v>231.2</v>
      </c>
      <c r="I34" s="128">
        <f t="shared" si="11"/>
        <v>693.7</v>
      </c>
      <c r="J34" s="129">
        <v>231.3</v>
      </c>
      <c r="K34" s="129">
        <v>1783.1</v>
      </c>
      <c r="L34" s="130">
        <f t="shared" si="9"/>
        <v>257.04194896929505</v>
      </c>
      <c r="M34" s="129">
        <f t="shared" si="1"/>
        <v>120.88813559322034</v>
      </c>
    </row>
    <row r="35" spans="1:13" ht="24">
      <c r="A35" s="134" t="s">
        <v>277</v>
      </c>
      <c r="B35" s="134"/>
      <c r="C35" s="126" t="s">
        <v>278</v>
      </c>
      <c r="D35" s="127">
        <f>F35+G35+H35+J35</f>
        <v>3.5</v>
      </c>
      <c r="E35" s="127">
        <f t="shared" si="10"/>
        <v>3.5</v>
      </c>
      <c r="F35" s="127">
        <f>3.5</f>
        <v>3.5</v>
      </c>
      <c r="G35" s="127"/>
      <c r="H35" s="128"/>
      <c r="I35" s="128">
        <f t="shared" si="11"/>
        <v>3.5</v>
      </c>
      <c r="J35" s="129"/>
      <c r="K35" s="129">
        <v>3.5</v>
      </c>
      <c r="L35" s="130">
        <f t="shared" si="9"/>
        <v>100</v>
      </c>
      <c r="M35" s="129">
        <f t="shared" si="1"/>
        <v>100</v>
      </c>
    </row>
    <row r="36" spans="1:13" ht="24">
      <c r="A36" s="133" t="s">
        <v>279</v>
      </c>
      <c r="B36" s="133"/>
      <c r="C36" s="126" t="s">
        <v>280</v>
      </c>
      <c r="D36" s="127">
        <v>77.5</v>
      </c>
      <c r="E36" s="127">
        <f t="shared" si="10"/>
        <v>46.2</v>
      </c>
      <c r="F36" s="127">
        <v>23.1</v>
      </c>
      <c r="G36" s="127">
        <v>23.1</v>
      </c>
      <c r="H36" s="128">
        <v>23.1</v>
      </c>
      <c r="I36" s="128">
        <f t="shared" si="11"/>
        <v>69.30000000000001</v>
      </c>
      <c r="J36" s="129">
        <v>23.2</v>
      </c>
      <c r="K36" s="129">
        <v>152.3</v>
      </c>
      <c r="L36" s="130">
        <f t="shared" si="9"/>
        <v>219.76911976911975</v>
      </c>
      <c r="M36" s="129">
        <f t="shared" si="1"/>
        <v>196.51612903225808</v>
      </c>
    </row>
    <row r="37" spans="1:13" ht="12.75">
      <c r="A37" s="135" t="s">
        <v>285</v>
      </c>
      <c r="B37" s="136"/>
      <c r="C37" s="137" t="s">
        <v>286</v>
      </c>
      <c r="D37" s="156"/>
      <c r="E37" s="157"/>
      <c r="F37" s="157"/>
      <c r="G37" s="157"/>
      <c r="H37" s="128"/>
      <c r="I37" s="128">
        <f t="shared" si="11"/>
        <v>0</v>
      </c>
      <c r="J37" s="129"/>
      <c r="K37" s="129">
        <v>40.2</v>
      </c>
      <c r="L37" s="130"/>
      <c r="M37" s="124"/>
    </row>
    <row r="38" spans="1:13" ht="12.75">
      <c r="A38" s="121" t="s">
        <v>287</v>
      </c>
      <c r="B38" s="121"/>
      <c r="C38" s="138" t="s">
        <v>288</v>
      </c>
      <c r="D38" s="139">
        <f>D39+D40</f>
        <v>10463.2</v>
      </c>
      <c r="E38" s="139">
        <f aca="true" t="shared" si="12" ref="E38:K38">E39+E40</f>
        <v>3532.2</v>
      </c>
      <c r="F38" s="139">
        <f t="shared" si="12"/>
        <v>1738.6999999999998</v>
      </c>
      <c r="G38" s="139">
        <f t="shared" si="12"/>
        <v>1793.5</v>
      </c>
      <c r="H38" s="139">
        <f t="shared" si="12"/>
        <v>2889.6999999999994</v>
      </c>
      <c r="I38" s="139">
        <f t="shared" si="12"/>
        <v>6421.899999999999</v>
      </c>
      <c r="J38" s="139">
        <f t="shared" si="12"/>
        <v>2335.5</v>
      </c>
      <c r="K38" s="139">
        <f t="shared" si="12"/>
        <v>8053.599999999999</v>
      </c>
      <c r="L38" s="123">
        <f t="shared" si="9"/>
        <v>125.40836823992902</v>
      </c>
      <c r="M38" s="124">
        <f t="shared" si="1"/>
        <v>76.9707164156281</v>
      </c>
    </row>
    <row r="39" spans="1:13" ht="24">
      <c r="A39" s="141" t="s">
        <v>289</v>
      </c>
      <c r="B39" s="131"/>
      <c r="C39" s="142" t="s">
        <v>290</v>
      </c>
      <c r="D39" s="127">
        <v>10380</v>
      </c>
      <c r="E39" s="127">
        <f>F39+G39</f>
        <v>3507.2</v>
      </c>
      <c r="F39" s="158">
        <f>1735.6+3.1</f>
        <v>1738.6999999999998</v>
      </c>
      <c r="G39" s="158">
        <f>1735.5+7.6+25.4</f>
        <v>1768.5</v>
      </c>
      <c r="H39" s="128">
        <f>1735.6+845.8+215.9+34.2</f>
        <v>2831.4999999999995</v>
      </c>
      <c r="I39" s="128">
        <f t="shared" si="11"/>
        <v>6338.699999999999</v>
      </c>
      <c r="J39" s="158">
        <f>1735.5+600</f>
        <v>2335.5</v>
      </c>
      <c r="K39" s="129">
        <v>7970.4</v>
      </c>
      <c r="L39" s="130">
        <f>K39*100/I39</f>
        <v>125.74187136163569</v>
      </c>
      <c r="M39" s="129">
        <f t="shared" si="1"/>
        <v>76.78612716763006</v>
      </c>
    </row>
    <row r="40" spans="1:13" ht="12.75">
      <c r="A40" s="141" t="s">
        <v>291</v>
      </c>
      <c r="B40" s="141"/>
      <c r="C40" s="143" t="s">
        <v>292</v>
      </c>
      <c r="D40" s="127">
        <f>F40+G40+H40+J40</f>
        <v>83.19999999999999</v>
      </c>
      <c r="E40" s="127">
        <f>F40+G40</f>
        <v>25</v>
      </c>
      <c r="F40" s="158"/>
      <c r="G40" s="158">
        <v>25</v>
      </c>
      <c r="H40" s="128">
        <f>48.3+9.9</f>
        <v>58.199999999999996</v>
      </c>
      <c r="I40" s="128">
        <f t="shared" si="11"/>
        <v>83.19999999999999</v>
      </c>
      <c r="J40" s="158"/>
      <c r="K40" s="129">
        <v>83.2</v>
      </c>
      <c r="L40" s="130">
        <f>K40*100/I40</f>
        <v>100.00000000000001</v>
      </c>
      <c r="M40" s="129">
        <f t="shared" si="1"/>
        <v>100.00000000000001</v>
      </c>
    </row>
    <row r="41" spans="1:13" ht="12.75">
      <c r="A41" s="125"/>
      <c r="B41" s="149"/>
      <c r="C41" s="150" t="s">
        <v>297</v>
      </c>
      <c r="D41" s="124">
        <f aca="true" t="shared" si="13" ref="D41:J41">D38+D30</f>
        <v>26114.2</v>
      </c>
      <c r="E41" s="124">
        <f t="shared" si="13"/>
        <v>11359.4</v>
      </c>
      <c r="F41" s="124">
        <f t="shared" si="13"/>
        <v>5653.9</v>
      </c>
      <c r="G41" s="124">
        <f t="shared" si="13"/>
        <v>5705.5</v>
      </c>
      <c r="H41" s="124">
        <f t="shared" si="13"/>
        <v>6801.399999999999</v>
      </c>
      <c r="I41" s="124">
        <f t="shared" si="13"/>
        <v>18160.8</v>
      </c>
      <c r="J41" s="124">
        <f t="shared" si="13"/>
        <v>6247.6</v>
      </c>
      <c r="K41" s="124">
        <f>K38+K30</f>
        <v>20620.5</v>
      </c>
      <c r="L41" s="123">
        <f>K41*100/I41</f>
        <v>113.54400687194398</v>
      </c>
      <c r="M41" s="124">
        <f t="shared" si="1"/>
        <v>78.96278652993391</v>
      </c>
    </row>
    <row r="42" spans="1:13" ht="12.75">
      <c r="A42" s="159"/>
      <c r="B42" s="160"/>
      <c r="C42" s="228"/>
      <c r="D42" s="228"/>
      <c r="E42" s="228"/>
      <c r="F42" s="228"/>
      <c r="G42" s="228"/>
      <c r="H42" s="228"/>
      <c r="I42" s="228"/>
      <c r="J42" s="228"/>
      <c r="K42" s="228"/>
      <c r="L42" s="151"/>
      <c r="M42" s="152"/>
    </row>
    <row r="43" spans="1:13" ht="12.75">
      <c r="A43" s="227" t="s">
        <v>299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151"/>
      <c r="M43" s="152"/>
    </row>
    <row r="44" spans="1:13" ht="12.75">
      <c r="A44" s="121" t="s">
        <v>259</v>
      </c>
      <c r="B44" s="121"/>
      <c r="C44" s="122" t="s">
        <v>260</v>
      </c>
      <c r="D44" s="123">
        <f aca="true" t="shared" si="14" ref="D44:K44">D45+D47+D49+D50+D51+D52+D48+D46</f>
        <v>16491.1</v>
      </c>
      <c r="E44" s="123">
        <f t="shared" si="14"/>
        <v>6757.400000000001</v>
      </c>
      <c r="F44" s="123">
        <f t="shared" si="14"/>
        <v>2836.3</v>
      </c>
      <c r="G44" s="123">
        <f t="shared" si="14"/>
        <v>3921.1000000000004</v>
      </c>
      <c r="H44" s="123">
        <f t="shared" si="14"/>
        <v>3484.2000000000003</v>
      </c>
      <c r="I44" s="123">
        <f t="shared" si="14"/>
        <v>10241.6</v>
      </c>
      <c r="J44" s="123">
        <f t="shared" si="14"/>
        <v>4276.299999999999</v>
      </c>
      <c r="K44" s="123">
        <f t="shared" si="14"/>
        <v>15380.7</v>
      </c>
      <c r="L44" s="123">
        <f>K44*100/I44</f>
        <v>150.17868301827838</v>
      </c>
      <c r="M44" s="124">
        <f t="shared" si="1"/>
        <v>93.26667111350972</v>
      </c>
    </row>
    <row r="45" spans="1:13" ht="12.75">
      <c r="A45" s="125" t="s">
        <v>261</v>
      </c>
      <c r="B45" s="131"/>
      <c r="C45" s="153" t="s">
        <v>262</v>
      </c>
      <c r="D45" s="127">
        <v>12388</v>
      </c>
      <c r="E45" s="127">
        <f aca="true" t="shared" si="15" ref="E45:E56">F45+G45</f>
        <v>5102.200000000001</v>
      </c>
      <c r="F45" s="127">
        <v>2342.8</v>
      </c>
      <c r="G45" s="127">
        <v>2759.4</v>
      </c>
      <c r="H45" s="128">
        <v>2759.4</v>
      </c>
      <c r="I45" s="128">
        <f>E45+H45</f>
        <v>7861.6</v>
      </c>
      <c r="J45" s="129">
        <v>3688.4</v>
      </c>
      <c r="K45" s="155">
        <v>11860.2</v>
      </c>
      <c r="L45" s="130">
        <f>K45*100/I45</f>
        <v>150.86241986364098</v>
      </c>
      <c r="M45" s="129">
        <f t="shared" si="1"/>
        <v>95.73942525024216</v>
      </c>
    </row>
    <row r="46" spans="1:13" ht="12.75">
      <c r="A46" s="131" t="s">
        <v>265</v>
      </c>
      <c r="B46" s="131"/>
      <c r="C46" s="126" t="s">
        <v>266</v>
      </c>
      <c r="D46" s="127">
        <v>22.8</v>
      </c>
      <c r="E46" s="127">
        <f t="shared" si="15"/>
        <v>4.8</v>
      </c>
      <c r="F46" s="127">
        <v>1.5</v>
      </c>
      <c r="G46" s="127">
        <v>3.3</v>
      </c>
      <c r="H46" s="128">
        <v>2.3</v>
      </c>
      <c r="I46" s="128">
        <f aca="true" t="shared" si="16" ref="I46:I52">E46+H46</f>
        <v>7.1</v>
      </c>
      <c r="J46" s="129">
        <v>2.4</v>
      </c>
      <c r="K46" s="155">
        <v>22.8</v>
      </c>
      <c r="L46" s="130">
        <f aca="true" t="shared" si="17" ref="L46:L55">K46*100/I46</f>
        <v>321.1267605633803</v>
      </c>
      <c r="M46" s="129">
        <f t="shared" si="1"/>
        <v>100</v>
      </c>
    </row>
    <row r="47" spans="1:13" ht="12.75">
      <c r="A47" s="131" t="s">
        <v>267</v>
      </c>
      <c r="B47" s="131"/>
      <c r="C47" s="126" t="s">
        <v>268</v>
      </c>
      <c r="D47" s="127">
        <v>2062.3</v>
      </c>
      <c r="E47" s="127">
        <f t="shared" si="15"/>
        <v>855</v>
      </c>
      <c r="F47" s="127">
        <v>411</v>
      </c>
      <c r="G47" s="127">
        <v>444</v>
      </c>
      <c r="H47" s="128">
        <v>444</v>
      </c>
      <c r="I47" s="128">
        <f t="shared" si="16"/>
        <v>1299</v>
      </c>
      <c r="J47" s="129">
        <v>481</v>
      </c>
      <c r="K47" s="129">
        <v>1200.6</v>
      </c>
      <c r="L47" s="130">
        <f t="shared" si="17"/>
        <v>92.42494226327943</v>
      </c>
      <c r="M47" s="129">
        <f t="shared" si="1"/>
        <v>58.21655433254133</v>
      </c>
    </row>
    <row r="48" spans="1:13" ht="12.75">
      <c r="A48" s="131" t="s">
        <v>269</v>
      </c>
      <c r="B48" s="131"/>
      <c r="C48" s="126" t="s">
        <v>270</v>
      </c>
      <c r="D48" s="127">
        <f aca="true" t="shared" si="18" ref="D48:D56">F48+G48+H48+J48</f>
        <v>0</v>
      </c>
      <c r="E48" s="127">
        <f t="shared" si="15"/>
        <v>0</v>
      </c>
      <c r="F48" s="127"/>
      <c r="G48" s="127"/>
      <c r="H48" s="128"/>
      <c r="I48" s="128">
        <f t="shared" si="16"/>
        <v>0</v>
      </c>
      <c r="J48" s="129"/>
      <c r="K48" s="129"/>
      <c r="L48" s="130" t="e">
        <f t="shared" si="17"/>
        <v>#DIV/0!</v>
      </c>
      <c r="M48" s="129" t="e">
        <f t="shared" si="1"/>
        <v>#DIV/0!</v>
      </c>
    </row>
    <row r="49" spans="1:13" ht="24">
      <c r="A49" s="132" t="s">
        <v>273</v>
      </c>
      <c r="B49" s="132"/>
      <c r="C49" s="126" t="s">
        <v>274</v>
      </c>
      <c r="D49" s="127">
        <v>1641.5</v>
      </c>
      <c r="E49" s="127">
        <f t="shared" si="15"/>
        <v>722.9</v>
      </c>
      <c r="F49" s="127">
        <v>46</v>
      </c>
      <c r="G49" s="127">
        <v>676.9</v>
      </c>
      <c r="H49" s="128">
        <v>61.5</v>
      </c>
      <c r="I49" s="128">
        <f t="shared" si="16"/>
        <v>784.4</v>
      </c>
      <c r="J49" s="129">
        <v>64.5</v>
      </c>
      <c r="K49" s="129">
        <v>1910.7</v>
      </c>
      <c r="L49" s="130">
        <f t="shared" si="17"/>
        <v>243.58745537990822</v>
      </c>
      <c r="M49" s="129">
        <f t="shared" si="1"/>
        <v>116.39963448065794</v>
      </c>
    </row>
    <row r="50" spans="1:13" ht="24">
      <c r="A50" s="134" t="s">
        <v>279</v>
      </c>
      <c r="B50" s="134"/>
      <c r="C50" s="126" t="s">
        <v>280</v>
      </c>
      <c r="D50" s="127">
        <v>347</v>
      </c>
      <c r="E50" s="127">
        <f t="shared" si="15"/>
        <v>72.5</v>
      </c>
      <c r="F50" s="127">
        <v>35</v>
      </c>
      <c r="G50" s="127">
        <v>37.5</v>
      </c>
      <c r="H50" s="128">
        <f>37.5+150</f>
        <v>187.5</v>
      </c>
      <c r="I50" s="128">
        <f t="shared" si="16"/>
        <v>260</v>
      </c>
      <c r="J50" s="129">
        <v>40</v>
      </c>
      <c r="K50" s="129">
        <v>334.4</v>
      </c>
      <c r="L50" s="130">
        <f t="shared" si="17"/>
        <v>128.6153846153846</v>
      </c>
      <c r="M50" s="129">
        <f t="shared" si="1"/>
        <v>96.36887608069165</v>
      </c>
    </row>
    <row r="51" spans="1:13" ht="12.75">
      <c r="A51" s="125" t="s">
        <v>283</v>
      </c>
      <c r="B51" s="125"/>
      <c r="C51" s="126" t="s">
        <v>284</v>
      </c>
      <c r="D51" s="127">
        <f t="shared" si="18"/>
        <v>29.5</v>
      </c>
      <c r="E51" s="127">
        <f t="shared" si="15"/>
        <v>0</v>
      </c>
      <c r="F51" s="127"/>
      <c r="G51" s="127"/>
      <c r="H51" s="128">
        <v>29.5</v>
      </c>
      <c r="I51" s="128">
        <f t="shared" si="16"/>
        <v>29.5</v>
      </c>
      <c r="J51" s="129"/>
      <c r="K51" s="129">
        <v>29.5</v>
      </c>
      <c r="L51" s="130">
        <f t="shared" si="17"/>
        <v>100</v>
      </c>
      <c r="M51" s="129">
        <f t="shared" si="1"/>
        <v>100</v>
      </c>
    </row>
    <row r="52" spans="1:13" ht="12.75">
      <c r="A52" s="161" t="s">
        <v>285</v>
      </c>
      <c r="B52" s="136"/>
      <c r="C52" s="137" t="s">
        <v>286</v>
      </c>
      <c r="D52" s="127">
        <f t="shared" si="18"/>
        <v>0</v>
      </c>
      <c r="E52" s="127">
        <f t="shared" si="15"/>
        <v>0</v>
      </c>
      <c r="F52" s="127"/>
      <c r="G52" s="127"/>
      <c r="H52" s="128"/>
      <c r="I52" s="128">
        <f t="shared" si="16"/>
        <v>0</v>
      </c>
      <c r="J52" s="129"/>
      <c r="K52" s="129">
        <v>22.5</v>
      </c>
      <c r="L52" s="130"/>
      <c r="M52" s="129"/>
    </row>
    <row r="53" spans="1:13" ht="12.75">
      <c r="A53" s="162" t="s">
        <v>287</v>
      </c>
      <c r="B53" s="162"/>
      <c r="C53" s="138" t="s">
        <v>288</v>
      </c>
      <c r="D53" s="139">
        <f>D54+D56+D55</f>
        <v>34113.2</v>
      </c>
      <c r="E53" s="139">
        <f aca="true" t="shared" si="19" ref="E53:K53">E54+E56+E55</f>
        <v>22401.5</v>
      </c>
      <c r="F53" s="139">
        <f t="shared" si="19"/>
        <v>14340.4</v>
      </c>
      <c r="G53" s="139">
        <f t="shared" si="19"/>
        <v>8061.1</v>
      </c>
      <c r="H53" s="139">
        <f t="shared" si="19"/>
        <v>3164</v>
      </c>
      <c r="I53" s="139">
        <f t="shared" si="19"/>
        <v>25565.5</v>
      </c>
      <c r="J53" s="139">
        <f t="shared" si="19"/>
        <v>6106.9</v>
      </c>
      <c r="K53" s="139">
        <f t="shared" si="19"/>
        <v>25655.3</v>
      </c>
      <c r="L53" s="123">
        <f>K53*100/I53</f>
        <v>100.35125462048464</v>
      </c>
      <c r="M53" s="124">
        <f t="shared" si="1"/>
        <v>75.2063717270734</v>
      </c>
    </row>
    <row r="54" spans="1:13" ht="24">
      <c r="A54" s="141" t="s">
        <v>289</v>
      </c>
      <c r="B54" s="131"/>
      <c r="C54" s="142" t="s">
        <v>290</v>
      </c>
      <c r="D54" s="127">
        <v>34113.2</v>
      </c>
      <c r="E54" s="127">
        <f t="shared" si="15"/>
        <v>15831.3</v>
      </c>
      <c r="F54" s="158">
        <f>7251.1+503.2+15.9</f>
        <v>7770.2</v>
      </c>
      <c r="G54" s="158">
        <v>8061.1</v>
      </c>
      <c r="H54" s="128">
        <f>7251.1+228.5+166.2</f>
        <v>7645.8</v>
      </c>
      <c r="I54" s="128">
        <f>E54+H54</f>
        <v>23477.1</v>
      </c>
      <c r="J54" s="128">
        <f>7251.2-1144.3</f>
        <v>6106.9</v>
      </c>
      <c r="K54" s="129">
        <v>25655.3</v>
      </c>
      <c r="L54" s="130">
        <f t="shared" si="17"/>
        <v>109.27797726294986</v>
      </c>
      <c r="M54" s="129">
        <f t="shared" si="1"/>
        <v>75.2063717270734</v>
      </c>
    </row>
    <row r="55" spans="1:13" ht="12.75">
      <c r="A55" s="141" t="s">
        <v>291</v>
      </c>
      <c r="B55" s="141"/>
      <c r="C55" s="143" t="s">
        <v>292</v>
      </c>
      <c r="D55" s="127"/>
      <c r="E55" s="127">
        <f t="shared" si="15"/>
        <v>6570.2</v>
      </c>
      <c r="F55" s="158">
        <v>6570.2</v>
      </c>
      <c r="G55" s="158"/>
      <c r="H55" s="128">
        <f>-4481.8</f>
        <v>-4481.8</v>
      </c>
      <c r="I55" s="128">
        <f>E55+H55</f>
        <v>2088.3999999999996</v>
      </c>
      <c r="J55" s="163"/>
      <c r="K55" s="129"/>
      <c r="L55" s="130">
        <f t="shared" si="17"/>
        <v>0</v>
      </c>
      <c r="M55" s="129" t="e">
        <f t="shared" si="1"/>
        <v>#DIV/0!</v>
      </c>
    </row>
    <row r="56" spans="1:13" ht="36">
      <c r="A56" s="141" t="s">
        <v>295</v>
      </c>
      <c r="B56" s="146"/>
      <c r="C56" s="147" t="s">
        <v>296</v>
      </c>
      <c r="D56" s="127">
        <f t="shared" si="18"/>
        <v>0</v>
      </c>
      <c r="E56" s="127">
        <f t="shared" si="15"/>
        <v>0</v>
      </c>
      <c r="F56" s="164"/>
      <c r="G56" s="164"/>
      <c r="H56" s="128"/>
      <c r="I56" s="128">
        <f>E56+H56</f>
        <v>0</v>
      </c>
      <c r="J56" s="163"/>
      <c r="K56" s="129"/>
      <c r="L56" s="130"/>
      <c r="M56" s="129"/>
    </row>
    <row r="57" spans="1:13" ht="12.75">
      <c r="A57" s="132"/>
      <c r="B57" s="165"/>
      <c r="C57" s="166" t="s">
        <v>297</v>
      </c>
      <c r="D57" s="167">
        <f aca="true" t="shared" si="20" ref="D57:K57">D53+D44</f>
        <v>50604.299999999996</v>
      </c>
      <c r="E57" s="167">
        <f t="shared" si="20"/>
        <v>29158.9</v>
      </c>
      <c r="F57" s="167">
        <f t="shared" si="20"/>
        <v>17176.7</v>
      </c>
      <c r="G57" s="167">
        <f t="shared" si="20"/>
        <v>11982.2</v>
      </c>
      <c r="H57" s="167">
        <f t="shared" si="20"/>
        <v>6648.200000000001</v>
      </c>
      <c r="I57" s="167">
        <f t="shared" si="20"/>
        <v>35807.1</v>
      </c>
      <c r="J57" s="167">
        <f t="shared" si="20"/>
        <v>10383.199999999999</v>
      </c>
      <c r="K57" s="167">
        <f t="shared" si="20"/>
        <v>41036</v>
      </c>
      <c r="L57" s="123">
        <f>K57*100/I57</f>
        <v>114.60296980207836</v>
      </c>
      <c r="M57" s="124">
        <f t="shared" si="1"/>
        <v>81.09192301839963</v>
      </c>
    </row>
    <row r="58" spans="1:13" ht="12.75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151"/>
      <c r="M58" s="152"/>
    </row>
    <row r="59" spans="1:13" ht="12.75">
      <c r="A59" s="227" t="s">
        <v>300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151"/>
      <c r="M59" s="152"/>
    </row>
    <row r="60" spans="1:13" ht="12.75">
      <c r="A60" s="162" t="s">
        <v>259</v>
      </c>
      <c r="B60" s="162"/>
      <c r="C60" s="168" t="s">
        <v>260</v>
      </c>
      <c r="D60" s="140">
        <f aca="true" t="shared" si="21" ref="D60:K60">D61+D63+D65+D67+D64+D69+D68+D62+D66</f>
        <v>32741</v>
      </c>
      <c r="E60" s="140">
        <f t="shared" si="21"/>
        <v>16322.4</v>
      </c>
      <c r="F60" s="140">
        <f t="shared" si="21"/>
        <v>7963.099999999999</v>
      </c>
      <c r="G60" s="140">
        <f t="shared" si="21"/>
        <v>8359.3</v>
      </c>
      <c r="H60" s="140">
        <f t="shared" si="21"/>
        <v>8291.1</v>
      </c>
      <c r="I60" s="140">
        <f t="shared" si="21"/>
        <v>24613.5</v>
      </c>
      <c r="J60" s="140">
        <f t="shared" si="21"/>
        <v>8127.500000000001</v>
      </c>
      <c r="K60" s="140">
        <f t="shared" si="21"/>
        <v>33532.700000000004</v>
      </c>
      <c r="L60" s="123">
        <f>K60*100/I60</f>
        <v>136.23702439718042</v>
      </c>
      <c r="M60" s="124">
        <f t="shared" si="1"/>
        <v>102.41806908768824</v>
      </c>
    </row>
    <row r="61" spans="1:13" ht="12.75">
      <c r="A61" s="131" t="s">
        <v>261</v>
      </c>
      <c r="B61" s="131"/>
      <c r="C61" s="153" t="s">
        <v>262</v>
      </c>
      <c r="D61" s="127">
        <f>F61+G61+H61+J61</f>
        <v>18270</v>
      </c>
      <c r="E61" s="127">
        <f aca="true" t="shared" si="22" ref="E61:E72">F61+G61</f>
        <v>9134.9</v>
      </c>
      <c r="F61" s="169">
        <v>4567.5</v>
      </c>
      <c r="G61" s="169">
        <v>4567.4</v>
      </c>
      <c r="H61" s="130">
        <v>4567.5</v>
      </c>
      <c r="I61" s="128">
        <f>E61+H61</f>
        <v>13702.4</v>
      </c>
      <c r="J61" s="130">
        <v>4567.6</v>
      </c>
      <c r="K61" s="130">
        <v>12861.1</v>
      </c>
      <c r="L61" s="130">
        <f>K61*100/I61</f>
        <v>93.86019967304998</v>
      </c>
      <c r="M61" s="129">
        <f t="shared" si="1"/>
        <v>70.39463601532567</v>
      </c>
    </row>
    <row r="62" spans="1:13" ht="12.75">
      <c r="A62" s="131" t="s">
        <v>265</v>
      </c>
      <c r="B62" s="131"/>
      <c r="C62" s="126" t="s">
        <v>266</v>
      </c>
      <c r="D62" s="127">
        <f aca="true" t="shared" si="23" ref="D62:D69">F62+G62+H62+J62</f>
        <v>35</v>
      </c>
      <c r="E62" s="127">
        <f t="shared" si="22"/>
        <v>17.5</v>
      </c>
      <c r="F62" s="158">
        <v>8.7</v>
      </c>
      <c r="G62" s="158">
        <v>8.8</v>
      </c>
      <c r="H62" s="128">
        <v>8.7</v>
      </c>
      <c r="I62" s="128">
        <f aca="true" t="shared" si="24" ref="I62:I72">E62+H62</f>
        <v>26.2</v>
      </c>
      <c r="J62" s="128">
        <v>8.8</v>
      </c>
      <c r="K62" s="128">
        <v>31.6</v>
      </c>
      <c r="L62" s="130">
        <f aca="true" t="shared" si="25" ref="L62:L67">K62*100/I62</f>
        <v>120.61068702290076</v>
      </c>
      <c r="M62" s="129">
        <f t="shared" si="1"/>
        <v>90.28571428571429</v>
      </c>
    </row>
    <row r="63" spans="1:13" ht="12.75">
      <c r="A63" s="131" t="s">
        <v>267</v>
      </c>
      <c r="B63" s="131"/>
      <c r="C63" s="126" t="s">
        <v>268</v>
      </c>
      <c r="D63" s="127">
        <f t="shared" si="23"/>
        <v>8443</v>
      </c>
      <c r="E63" s="127">
        <f t="shared" si="22"/>
        <v>4099.5</v>
      </c>
      <c r="F63" s="158">
        <v>2051.7</v>
      </c>
      <c r="G63" s="158">
        <v>2047.8</v>
      </c>
      <c r="H63" s="128">
        <v>2127.7</v>
      </c>
      <c r="I63" s="128">
        <f t="shared" si="24"/>
        <v>6227.2</v>
      </c>
      <c r="J63" s="128">
        <v>2215.8</v>
      </c>
      <c r="K63" s="128">
        <v>6172.3</v>
      </c>
      <c r="L63" s="130">
        <f t="shared" si="25"/>
        <v>99.1183838643371</v>
      </c>
      <c r="M63" s="129">
        <f t="shared" si="1"/>
        <v>73.1055312092858</v>
      </c>
    </row>
    <row r="64" spans="1:13" ht="12.75">
      <c r="A64" s="131" t="s">
        <v>269</v>
      </c>
      <c r="B64" s="131"/>
      <c r="C64" s="126" t="s">
        <v>270</v>
      </c>
      <c r="D64" s="127">
        <f t="shared" si="23"/>
        <v>0</v>
      </c>
      <c r="E64" s="127">
        <f t="shared" si="22"/>
        <v>0</v>
      </c>
      <c r="F64" s="158"/>
      <c r="G64" s="158"/>
      <c r="H64" s="128"/>
      <c r="I64" s="128">
        <f t="shared" si="24"/>
        <v>0</v>
      </c>
      <c r="J64" s="128"/>
      <c r="K64" s="128">
        <v>10</v>
      </c>
      <c r="L64" s="130"/>
      <c r="M64" s="129"/>
    </row>
    <row r="65" spans="1:13" ht="24">
      <c r="A65" s="132" t="s">
        <v>273</v>
      </c>
      <c r="B65" s="132"/>
      <c r="C65" s="126" t="s">
        <v>274</v>
      </c>
      <c r="D65" s="127">
        <f t="shared" si="23"/>
        <v>5185</v>
      </c>
      <c r="E65" s="127">
        <f t="shared" si="22"/>
        <v>2517.5</v>
      </c>
      <c r="F65" s="158">
        <v>1258.7</v>
      </c>
      <c r="G65" s="158">
        <v>1258.8</v>
      </c>
      <c r="H65" s="128">
        <v>1408.7</v>
      </c>
      <c r="I65" s="128">
        <f t="shared" si="24"/>
        <v>3926.2</v>
      </c>
      <c r="J65" s="128">
        <v>1258.8</v>
      </c>
      <c r="K65" s="128">
        <v>13319.8</v>
      </c>
      <c r="L65" s="130">
        <f t="shared" si="25"/>
        <v>339.2542407416841</v>
      </c>
      <c r="M65" s="129">
        <f t="shared" si="1"/>
        <v>256.8910318225651</v>
      </c>
    </row>
    <row r="66" spans="1:13" ht="24">
      <c r="A66" s="134" t="s">
        <v>277</v>
      </c>
      <c r="B66" s="134"/>
      <c r="C66" s="126" t="s">
        <v>278</v>
      </c>
      <c r="D66" s="127">
        <f t="shared" si="23"/>
        <v>0</v>
      </c>
      <c r="E66" s="127">
        <f t="shared" si="22"/>
        <v>0</v>
      </c>
      <c r="F66" s="158"/>
      <c r="G66" s="158"/>
      <c r="H66" s="128"/>
      <c r="I66" s="128">
        <f t="shared" si="24"/>
        <v>0</v>
      </c>
      <c r="J66" s="128"/>
      <c r="K66" s="128"/>
      <c r="L66" s="130"/>
      <c r="M66" s="129"/>
    </row>
    <row r="67" spans="1:13" ht="24">
      <c r="A67" s="133" t="s">
        <v>279</v>
      </c>
      <c r="B67" s="133"/>
      <c r="C67" s="126" t="s">
        <v>280</v>
      </c>
      <c r="D67" s="127">
        <f t="shared" si="23"/>
        <v>806</v>
      </c>
      <c r="E67" s="127">
        <f t="shared" si="22"/>
        <v>553</v>
      </c>
      <c r="F67" s="158">
        <v>76.5</v>
      </c>
      <c r="G67" s="158">
        <v>476.5</v>
      </c>
      <c r="H67" s="128">
        <v>176.5</v>
      </c>
      <c r="I67" s="128">
        <f t="shared" si="24"/>
        <v>729.5</v>
      </c>
      <c r="J67" s="128">
        <v>76.5</v>
      </c>
      <c r="K67" s="128">
        <v>1111.1</v>
      </c>
      <c r="L67" s="130">
        <f t="shared" si="25"/>
        <v>152.3098012337217</v>
      </c>
      <c r="M67" s="129">
        <f t="shared" si="1"/>
        <v>137.85359801488832</v>
      </c>
    </row>
    <row r="68" spans="1:13" ht="12.75">
      <c r="A68" s="125" t="s">
        <v>283</v>
      </c>
      <c r="B68" s="125"/>
      <c r="C68" s="126" t="s">
        <v>284</v>
      </c>
      <c r="D68" s="127">
        <f t="shared" si="23"/>
        <v>2</v>
      </c>
      <c r="E68" s="127">
        <f t="shared" si="22"/>
        <v>0</v>
      </c>
      <c r="F68" s="158"/>
      <c r="G68" s="158"/>
      <c r="H68" s="128">
        <v>2</v>
      </c>
      <c r="I68" s="128">
        <f t="shared" si="24"/>
        <v>2</v>
      </c>
      <c r="J68" s="128"/>
      <c r="K68" s="128">
        <v>26.8</v>
      </c>
      <c r="L68" s="130">
        <f>K68*100/I68</f>
        <v>1340</v>
      </c>
      <c r="M68" s="129">
        <f>K68*100/D68</f>
        <v>1340</v>
      </c>
    </row>
    <row r="69" spans="1:13" ht="12.75">
      <c r="A69" s="135" t="s">
        <v>285</v>
      </c>
      <c r="B69" s="136"/>
      <c r="C69" s="137" t="s">
        <v>286</v>
      </c>
      <c r="D69" s="127">
        <f t="shared" si="23"/>
        <v>0</v>
      </c>
      <c r="E69" s="127">
        <f t="shared" si="22"/>
        <v>0</v>
      </c>
      <c r="F69" s="158"/>
      <c r="G69" s="158"/>
      <c r="H69" s="128"/>
      <c r="I69" s="128">
        <f t="shared" si="24"/>
        <v>0</v>
      </c>
      <c r="J69" s="128"/>
      <c r="K69" s="128">
        <v>0</v>
      </c>
      <c r="L69" s="130"/>
      <c r="M69" s="129"/>
    </row>
    <row r="70" spans="1:13" ht="12.75">
      <c r="A70" s="121" t="s">
        <v>287</v>
      </c>
      <c r="B70" s="121"/>
      <c r="C70" s="138" t="s">
        <v>288</v>
      </c>
      <c r="D70" s="139">
        <f aca="true" t="shared" si="26" ref="D70:K70">D71+D72</f>
        <v>42100</v>
      </c>
      <c r="E70" s="139">
        <f t="shared" si="26"/>
        <v>23711.1</v>
      </c>
      <c r="F70" s="139">
        <f t="shared" si="26"/>
        <v>11774.5</v>
      </c>
      <c r="G70" s="139">
        <f t="shared" si="26"/>
        <v>11936.6</v>
      </c>
      <c r="H70" s="139">
        <f t="shared" si="26"/>
        <v>8513.6</v>
      </c>
      <c r="I70" s="139">
        <f t="shared" si="26"/>
        <v>32224.699999999997</v>
      </c>
      <c r="J70" s="139">
        <f t="shared" si="26"/>
        <v>6420.1</v>
      </c>
      <c r="K70" s="139">
        <f t="shared" si="26"/>
        <v>38237.8</v>
      </c>
      <c r="L70" s="123">
        <f>K70*100/I70</f>
        <v>118.65990994485598</v>
      </c>
      <c r="M70" s="124">
        <f t="shared" si="1"/>
        <v>90.82612826603327</v>
      </c>
    </row>
    <row r="71" spans="1:13" ht="24">
      <c r="A71" s="141" t="s">
        <v>289</v>
      </c>
      <c r="B71" s="131"/>
      <c r="C71" s="142" t="s">
        <v>290</v>
      </c>
      <c r="D71" s="127">
        <v>41487</v>
      </c>
      <c r="E71" s="127">
        <f t="shared" si="22"/>
        <v>23711.1</v>
      </c>
      <c r="F71" s="158">
        <f>8411.5+3363</f>
        <v>11774.5</v>
      </c>
      <c r="G71" s="158">
        <v>11936.6</v>
      </c>
      <c r="H71" s="128">
        <f>8411.6-87.9+101.9</f>
        <v>8425.6</v>
      </c>
      <c r="I71" s="128">
        <f t="shared" si="24"/>
        <v>32136.699999999997</v>
      </c>
      <c r="J71" s="129">
        <f>8411.6-1991.5</f>
        <v>6420.1</v>
      </c>
      <c r="K71" s="129">
        <v>37624.8</v>
      </c>
      <c r="L71" s="130">
        <f>K71*100/I71</f>
        <v>117.07736015210027</v>
      </c>
      <c r="M71" s="129">
        <f t="shared" si="1"/>
        <v>90.69057777135008</v>
      </c>
    </row>
    <row r="72" spans="1:13" ht="12.75">
      <c r="A72" s="141" t="s">
        <v>291</v>
      </c>
      <c r="B72" s="141"/>
      <c r="C72" s="143" t="s">
        <v>292</v>
      </c>
      <c r="D72" s="127">
        <v>613</v>
      </c>
      <c r="E72" s="127">
        <f t="shared" si="22"/>
        <v>0</v>
      </c>
      <c r="F72" s="164"/>
      <c r="G72" s="164"/>
      <c r="H72" s="128">
        <v>88</v>
      </c>
      <c r="I72" s="128">
        <f t="shared" si="24"/>
        <v>88</v>
      </c>
      <c r="J72" s="129"/>
      <c r="K72" s="129">
        <v>613</v>
      </c>
      <c r="L72" s="130">
        <f>K72*100/I72</f>
        <v>696.5909090909091</v>
      </c>
      <c r="M72" s="129">
        <f t="shared" si="1"/>
        <v>100</v>
      </c>
    </row>
    <row r="73" spans="1:13" ht="12.75">
      <c r="A73" s="125"/>
      <c r="B73" s="149"/>
      <c r="C73" s="150" t="s">
        <v>297</v>
      </c>
      <c r="D73" s="124">
        <f aca="true" t="shared" si="27" ref="D73:K73">D70+D60</f>
        <v>74841</v>
      </c>
      <c r="E73" s="124">
        <f t="shared" si="27"/>
        <v>40033.5</v>
      </c>
      <c r="F73" s="124">
        <f t="shared" si="27"/>
        <v>19737.6</v>
      </c>
      <c r="G73" s="124">
        <f t="shared" si="27"/>
        <v>20295.9</v>
      </c>
      <c r="H73" s="124">
        <f t="shared" si="27"/>
        <v>16804.7</v>
      </c>
      <c r="I73" s="124">
        <f t="shared" si="27"/>
        <v>56838.2</v>
      </c>
      <c r="J73" s="124">
        <f t="shared" si="27"/>
        <v>14547.600000000002</v>
      </c>
      <c r="K73" s="124">
        <f t="shared" si="27"/>
        <v>71770.5</v>
      </c>
      <c r="L73" s="123">
        <f>K73*100/I73</f>
        <v>126.27159199270913</v>
      </c>
      <c r="M73" s="124">
        <f t="shared" si="1"/>
        <v>95.89730228083538</v>
      </c>
    </row>
    <row r="74" spans="1:13" ht="12.75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151"/>
      <c r="M74" s="152"/>
    </row>
    <row r="75" spans="1:13" ht="12.75">
      <c r="A75" s="227" t="s">
        <v>301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151"/>
      <c r="M75" s="152"/>
    </row>
    <row r="76" spans="1:13" ht="12.75">
      <c r="A76" s="121" t="s">
        <v>259</v>
      </c>
      <c r="B76" s="121"/>
      <c r="C76" s="122" t="s">
        <v>260</v>
      </c>
      <c r="D76" s="123">
        <f aca="true" t="shared" si="28" ref="D76:I76">D77+D78+D79+D80+D81+D82+D83+D84+D85</f>
        <v>27390.5</v>
      </c>
      <c r="E76" s="123">
        <f t="shared" si="28"/>
        <v>11873.2</v>
      </c>
      <c r="F76" s="123">
        <f t="shared" si="28"/>
        <v>6031.5</v>
      </c>
      <c r="G76" s="123">
        <f t="shared" si="28"/>
        <v>5841.7</v>
      </c>
      <c r="H76" s="123">
        <f t="shared" si="28"/>
        <v>8831.099999999999</v>
      </c>
      <c r="I76" s="123">
        <f t="shared" si="28"/>
        <v>20704.3</v>
      </c>
      <c r="J76" s="123">
        <f>J77+J78+J79+J80+J81+J82+J83+J84+J85+J86</f>
        <v>6686.2</v>
      </c>
      <c r="K76" s="123">
        <f>K77+K78+K79+K80+K81+K82+K83+K84+K85+K86</f>
        <v>25030.699999999997</v>
      </c>
      <c r="L76" s="123">
        <f>K76*100/I76</f>
        <v>120.89614234724186</v>
      </c>
      <c r="M76" s="124">
        <f aca="true" t="shared" si="29" ref="M76:M139">K76*100/D76</f>
        <v>91.38460415107426</v>
      </c>
    </row>
    <row r="77" spans="1:13" ht="12.75">
      <c r="A77" s="125" t="s">
        <v>261</v>
      </c>
      <c r="B77" s="125"/>
      <c r="C77" s="126" t="s">
        <v>262</v>
      </c>
      <c r="D77" s="127">
        <v>16170</v>
      </c>
      <c r="E77" s="127">
        <f aca="true" t="shared" si="30" ref="E77:E85">F77+G77</f>
        <v>8400</v>
      </c>
      <c r="F77" s="158">
        <v>4300</v>
      </c>
      <c r="G77" s="158">
        <v>4100</v>
      </c>
      <c r="H77" s="128">
        <v>3450</v>
      </c>
      <c r="I77" s="128">
        <f>E77+H77</f>
        <v>11850</v>
      </c>
      <c r="J77" s="128">
        <v>4320</v>
      </c>
      <c r="K77" s="129">
        <v>13123</v>
      </c>
      <c r="L77" s="130">
        <f>K77*100/I77</f>
        <v>110.74261603375527</v>
      </c>
      <c r="M77" s="129">
        <f t="shared" si="29"/>
        <v>81.15646258503402</v>
      </c>
    </row>
    <row r="78" spans="1:13" ht="12.75">
      <c r="A78" s="131" t="s">
        <v>265</v>
      </c>
      <c r="B78" s="131"/>
      <c r="C78" s="126" t="s">
        <v>266</v>
      </c>
      <c r="D78" s="127">
        <f>F78+G78+H78+J78</f>
        <v>0</v>
      </c>
      <c r="E78" s="127">
        <f t="shared" si="30"/>
        <v>0</v>
      </c>
      <c r="F78" s="158"/>
      <c r="G78" s="158"/>
      <c r="H78" s="128"/>
      <c r="I78" s="128">
        <f aca="true" t="shared" si="31" ref="I78:I89">E78+H78</f>
        <v>0</v>
      </c>
      <c r="J78" s="128"/>
      <c r="K78" s="129"/>
      <c r="L78" s="130" t="e">
        <f aca="true" t="shared" si="32" ref="L78:L84">K78*100/I78</f>
        <v>#DIV/0!</v>
      </c>
      <c r="M78" s="129" t="e">
        <f t="shared" si="29"/>
        <v>#DIV/0!</v>
      </c>
    </row>
    <row r="79" spans="1:13" ht="12.75">
      <c r="A79" s="131" t="s">
        <v>267</v>
      </c>
      <c r="B79" s="131"/>
      <c r="C79" s="126" t="s">
        <v>268</v>
      </c>
      <c r="D79" s="127">
        <v>1372</v>
      </c>
      <c r="E79" s="127">
        <f t="shared" si="30"/>
        <v>405.6</v>
      </c>
      <c r="F79" s="158">
        <v>223.3</v>
      </c>
      <c r="G79" s="158">
        <v>182.3</v>
      </c>
      <c r="H79" s="128">
        <v>283.9</v>
      </c>
      <c r="I79" s="128">
        <f t="shared" si="31"/>
        <v>689.5</v>
      </c>
      <c r="J79" s="128">
        <v>682.5</v>
      </c>
      <c r="K79" s="129">
        <v>1253.2</v>
      </c>
      <c r="L79" s="130">
        <f t="shared" si="32"/>
        <v>181.75489485134156</v>
      </c>
      <c r="M79" s="129">
        <f t="shared" si="29"/>
        <v>91.34110787172011</v>
      </c>
    </row>
    <row r="80" spans="1:13" ht="12.75">
      <c r="A80" s="131" t="s">
        <v>269</v>
      </c>
      <c r="B80" s="131"/>
      <c r="C80" s="126" t="s">
        <v>270</v>
      </c>
      <c r="D80" s="127">
        <f>F80+G80+H80+J80</f>
        <v>0</v>
      </c>
      <c r="E80" s="127">
        <f t="shared" si="30"/>
        <v>0</v>
      </c>
      <c r="F80" s="158"/>
      <c r="G80" s="158"/>
      <c r="H80" s="128"/>
      <c r="I80" s="128">
        <f t="shared" si="31"/>
        <v>0</v>
      </c>
      <c r="J80" s="128"/>
      <c r="K80" s="129"/>
      <c r="L80" s="130" t="e">
        <f t="shared" si="32"/>
        <v>#DIV/0!</v>
      </c>
      <c r="M80" s="129" t="e">
        <f t="shared" si="29"/>
        <v>#DIV/0!</v>
      </c>
    </row>
    <row r="81" spans="1:13" ht="24">
      <c r="A81" s="132" t="s">
        <v>273</v>
      </c>
      <c r="B81" s="132"/>
      <c r="C81" s="126" t="s">
        <v>274</v>
      </c>
      <c r="D81" s="127">
        <v>5633</v>
      </c>
      <c r="E81" s="127">
        <f t="shared" si="30"/>
        <v>2750</v>
      </c>
      <c r="F81" s="158">
        <v>1340</v>
      </c>
      <c r="G81" s="158">
        <v>1410</v>
      </c>
      <c r="H81" s="128">
        <v>1410</v>
      </c>
      <c r="I81" s="128">
        <f t="shared" si="31"/>
        <v>4160</v>
      </c>
      <c r="J81" s="128">
        <v>1473</v>
      </c>
      <c r="K81" s="129">
        <v>5963.4</v>
      </c>
      <c r="L81" s="130">
        <f t="shared" si="32"/>
        <v>143.35096153846155</v>
      </c>
      <c r="M81" s="129">
        <f t="shared" si="29"/>
        <v>105.865435824605</v>
      </c>
    </row>
    <row r="82" spans="1:13" ht="24">
      <c r="A82" s="134" t="s">
        <v>277</v>
      </c>
      <c r="B82" s="134"/>
      <c r="C82" s="126" t="s">
        <v>278</v>
      </c>
      <c r="D82" s="127">
        <v>466</v>
      </c>
      <c r="E82" s="127">
        <f t="shared" si="30"/>
        <v>243.39999999999998</v>
      </c>
      <c r="F82" s="158">
        <v>138.2</v>
      </c>
      <c r="G82" s="158">
        <v>105.2</v>
      </c>
      <c r="H82" s="128">
        <v>36.4</v>
      </c>
      <c r="I82" s="128">
        <f t="shared" si="31"/>
        <v>279.79999999999995</v>
      </c>
      <c r="J82" s="128">
        <v>186.2</v>
      </c>
      <c r="K82" s="129">
        <v>422.7</v>
      </c>
      <c r="L82" s="130">
        <f t="shared" si="32"/>
        <v>151.07219442458901</v>
      </c>
      <c r="M82" s="129">
        <f t="shared" si="29"/>
        <v>90.70815450643777</v>
      </c>
    </row>
    <row r="83" spans="1:13" ht="24">
      <c r="A83" s="133" t="s">
        <v>279</v>
      </c>
      <c r="B83" s="133"/>
      <c r="C83" s="126" t="s">
        <v>280</v>
      </c>
      <c r="D83" s="127">
        <v>102.5</v>
      </c>
      <c r="E83" s="127">
        <f t="shared" si="30"/>
        <v>54</v>
      </c>
      <c r="F83" s="158">
        <v>30</v>
      </c>
      <c r="G83" s="158">
        <v>24</v>
      </c>
      <c r="H83" s="128">
        <v>24</v>
      </c>
      <c r="I83" s="128">
        <f t="shared" si="31"/>
        <v>78</v>
      </c>
      <c r="J83" s="128">
        <v>24.5</v>
      </c>
      <c r="K83" s="129">
        <v>445.8</v>
      </c>
      <c r="L83" s="130">
        <f t="shared" si="32"/>
        <v>571.5384615384615</v>
      </c>
      <c r="M83" s="129">
        <f t="shared" si="29"/>
        <v>434.9268292682927</v>
      </c>
    </row>
    <row r="84" spans="1:13" ht="12.75">
      <c r="A84" s="125" t="s">
        <v>283</v>
      </c>
      <c r="B84" s="125"/>
      <c r="C84" s="126" t="s">
        <v>284</v>
      </c>
      <c r="D84" s="127">
        <v>3647</v>
      </c>
      <c r="E84" s="127">
        <f t="shared" si="30"/>
        <v>20.2</v>
      </c>
      <c r="F84" s="158"/>
      <c r="G84" s="158">
        <v>20.2</v>
      </c>
      <c r="H84" s="128">
        <v>3626.8</v>
      </c>
      <c r="I84" s="128">
        <f t="shared" si="31"/>
        <v>3647</v>
      </c>
      <c r="J84" s="128"/>
      <c r="K84" s="129">
        <v>3647</v>
      </c>
      <c r="L84" s="130">
        <f t="shared" si="32"/>
        <v>100</v>
      </c>
      <c r="M84" s="129">
        <f t="shared" si="29"/>
        <v>100</v>
      </c>
    </row>
    <row r="85" spans="1:13" ht="12.75">
      <c r="A85" s="135" t="s">
        <v>285</v>
      </c>
      <c r="B85" s="136"/>
      <c r="C85" s="137" t="s">
        <v>286</v>
      </c>
      <c r="D85" s="127">
        <f>F85+G85+H85+J85</f>
        <v>0</v>
      </c>
      <c r="E85" s="127">
        <f t="shared" si="30"/>
        <v>0</v>
      </c>
      <c r="F85" s="158"/>
      <c r="G85" s="158"/>
      <c r="H85" s="128"/>
      <c r="I85" s="128">
        <f t="shared" si="31"/>
        <v>0</v>
      </c>
      <c r="J85" s="128"/>
      <c r="K85" s="129">
        <v>175.6</v>
      </c>
      <c r="L85" s="130"/>
      <c r="M85" s="129"/>
    </row>
    <row r="86" spans="1:13" ht="12.75">
      <c r="A86" s="135" t="s">
        <v>302</v>
      </c>
      <c r="B86" s="136"/>
      <c r="C86" s="137" t="s">
        <v>303</v>
      </c>
      <c r="D86" s="156"/>
      <c r="E86" s="156"/>
      <c r="F86" s="158"/>
      <c r="G86" s="158"/>
      <c r="H86" s="128" t="e">
        <f>J86+#REF!+#REF!+#REF!</f>
        <v>#REF!</v>
      </c>
      <c r="I86" s="128" t="e">
        <f t="shared" si="31"/>
        <v>#REF!</v>
      </c>
      <c r="J86" s="128"/>
      <c r="K86" s="129"/>
      <c r="L86" s="123" t="e">
        <f>K86*100/E86</f>
        <v>#DIV/0!</v>
      </c>
      <c r="M86" s="124" t="e">
        <f t="shared" si="29"/>
        <v>#DIV/0!</v>
      </c>
    </row>
    <row r="87" spans="1:13" ht="12.75">
      <c r="A87" s="121" t="s">
        <v>287</v>
      </c>
      <c r="B87" s="121"/>
      <c r="C87" s="138" t="s">
        <v>288</v>
      </c>
      <c r="D87" s="139">
        <f aca="true" t="shared" si="33" ref="D87:K87">D88+D89</f>
        <v>69600.6</v>
      </c>
      <c r="E87" s="170">
        <f t="shared" si="33"/>
        <v>27692.899999999998</v>
      </c>
      <c r="F87" s="139">
        <f t="shared" si="33"/>
        <v>10689.8</v>
      </c>
      <c r="G87" s="139">
        <f t="shared" si="33"/>
        <v>17003.1</v>
      </c>
      <c r="H87" s="139">
        <f t="shared" si="33"/>
        <v>16788.500000000004</v>
      </c>
      <c r="I87" s="139">
        <f t="shared" si="33"/>
        <v>44481.4</v>
      </c>
      <c r="J87" s="139">
        <f t="shared" si="33"/>
        <v>15409.400000000001</v>
      </c>
      <c r="K87" s="139">
        <f t="shared" si="33"/>
        <v>56501.2</v>
      </c>
      <c r="L87" s="123">
        <f>K87*100/I87</f>
        <v>127.02208113953247</v>
      </c>
      <c r="M87" s="124">
        <f t="shared" si="29"/>
        <v>81.17918523690886</v>
      </c>
    </row>
    <row r="88" spans="1:13" ht="24">
      <c r="A88" s="141" t="s">
        <v>289</v>
      </c>
      <c r="B88" s="131"/>
      <c r="C88" s="142" t="s">
        <v>290</v>
      </c>
      <c r="D88" s="127">
        <v>69495.6</v>
      </c>
      <c r="E88" s="127">
        <f>F88+G88</f>
        <v>27587.899999999998</v>
      </c>
      <c r="F88" s="158">
        <v>10684.8</v>
      </c>
      <c r="G88" s="158">
        <v>16903.1</v>
      </c>
      <c r="H88" s="128">
        <f>16511.9+116.2+160.4</f>
        <v>16788.500000000004</v>
      </c>
      <c r="I88" s="128">
        <f t="shared" si="31"/>
        <v>44376.4</v>
      </c>
      <c r="J88" s="128">
        <f>11550.6+3858.8</f>
        <v>15409.400000000001</v>
      </c>
      <c r="K88" s="129">
        <v>56396.2</v>
      </c>
      <c r="L88" s="130">
        <f>K88*100/I88</f>
        <v>127.08601869462146</v>
      </c>
      <c r="M88" s="129">
        <f t="shared" si="29"/>
        <v>81.150749112174</v>
      </c>
    </row>
    <row r="89" spans="1:13" ht="12.75">
      <c r="A89" s="141" t="s">
        <v>291</v>
      </c>
      <c r="B89" s="141"/>
      <c r="C89" s="143" t="s">
        <v>292</v>
      </c>
      <c r="D89" s="127">
        <f>F89+G89+H89+J89</f>
        <v>105</v>
      </c>
      <c r="E89" s="127">
        <f>F89+G89</f>
        <v>105</v>
      </c>
      <c r="F89" s="171">
        <v>5</v>
      </c>
      <c r="G89" s="171">
        <v>100</v>
      </c>
      <c r="H89" s="128"/>
      <c r="I89" s="128">
        <f t="shared" si="31"/>
        <v>105</v>
      </c>
      <c r="J89" s="128"/>
      <c r="K89" s="129">
        <v>105</v>
      </c>
      <c r="L89" s="130">
        <f>K89*100/I89</f>
        <v>100</v>
      </c>
      <c r="M89" s="129">
        <f>K89*100/D89</f>
        <v>100</v>
      </c>
    </row>
    <row r="90" spans="1:13" ht="12.75">
      <c r="A90" s="125"/>
      <c r="B90" s="149"/>
      <c r="C90" s="150" t="s">
        <v>297</v>
      </c>
      <c r="D90" s="124">
        <f aca="true" t="shared" si="34" ref="D90:K90">D87+D76</f>
        <v>96991.1</v>
      </c>
      <c r="E90" s="124">
        <f t="shared" si="34"/>
        <v>39566.1</v>
      </c>
      <c r="F90" s="124">
        <f t="shared" si="34"/>
        <v>16721.3</v>
      </c>
      <c r="G90" s="124">
        <f t="shared" si="34"/>
        <v>22844.8</v>
      </c>
      <c r="H90" s="124">
        <f t="shared" si="34"/>
        <v>25619.600000000002</v>
      </c>
      <c r="I90" s="124">
        <f t="shared" si="34"/>
        <v>65185.7</v>
      </c>
      <c r="J90" s="124">
        <f t="shared" si="34"/>
        <v>22095.600000000002</v>
      </c>
      <c r="K90" s="124">
        <f t="shared" si="34"/>
        <v>81531.9</v>
      </c>
      <c r="L90" s="123">
        <f>K90*100/I90</f>
        <v>125.07635877193924</v>
      </c>
      <c r="M90" s="124">
        <f t="shared" si="29"/>
        <v>84.06121798804219</v>
      </c>
    </row>
    <row r="91" spans="1:13" ht="12.75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151"/>
      <c r="M91" s="152"/>
    </row>
    <row r="92" spans="1:13" ht="12.75">
      <c r="A92" s="227" t="s">
        <v>304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151"/>
      <c r="M92" s="152"/>
    </row>
    <row r="93" spans="1:13" ht="12.75">
      <c r="A93" s="121" t="s">
        <v>259</v>
      </c>
      <c r="B93" s="121"/>
      <c r="C93" s="122" t="s">
        <v>260</v>
      </c>
      <c r="D93" s="123">
        <f>D94+D96+D100+D97+D98+D101+D99+D95</f>
        <v>3291.1</v>
      </c>
      <c r="E93" s="123">
        <f aca="true" t="shared" si="35" ref="E93:K93">E94+E96+E100+E97+E98+E101+E99+E95</f>
        <v>1209.8</v>
      </c>
      <c r="F93" s="123">
        <f t="shared" si="35"/>
        <v>599.3</v>
      </c>
      <c r="G93" s="123">
        <f t="shared" si="35"/>
        <v>610.5000000000001</v>
      </c>
      <c r="H93" s="123">
        <f t="shared" si="35"/>
        <v>973.0000000000001</v>
      </c>
      <c r="I93" s="123">
        <f t="shared" si="35"/>
        <v>2182.8</v>
      </c>
      <c r="J93" s="123">
        <f t="shared" si="35"/>
        <v>618.2</v>
      </c>
      <c r="K93" s="123">
        <f t="shared" si="35"/>
        <v>3125.4</v>
      </c>
      <c r="L93" s="123">
        <f aca="true" t="shared" si="36" ref="L93:L100">K93*100/I93</f>
        <v>143.18306761957118</v>
      </c>
      <c r="M93" s="124">
        <f t="shared" si="29"/>
        <v>94.96520920057124</v>
      </c>
    </row>
    <row r="94" spans="1:13" ht="12.75">
      <c r="A94" s="125" t="s">
        <v>261</v>
      </c>
      <c r="B94" s="125"/>
      <c r="C94" s="126" t="s">
        <v>262</v>
      </c>
      <c r="D94" s="127">
        <v>3100</v>
      </c>
      <c r="E94" s="127">
        <f aca="true" t="shared" si="37" ref="E94:E104">F94+G94</f>
        <v>1139.2</v>
      </c>
      <c r="F94" s="158">
        <v>569.6</v>
      </c>
      <c r="G94" s="158">
        <v>569.6</v>
      </c>
      <c r="H94" s="128">
        <f>569.6+321.5</f>
        <v>891.1</v>
      </c>
      <c r="I94" s="128">
        <f>E94+H94</f>
        <v>2030.3000000000002</v>
      </c>
      <c r="J94" s="129">
        <v>569.7</v>
      </c>
      <c r="K94" s="129">
        <v>2884.8</v>
      </c>
      <c r="L94" s="130">
        <f t="shared" si="36"/>
        <v>142.0873762498153</v>
      </c>
      <c r="M94" s="129">
        <f t="shared" si="29"/>
        <v>93.05806451612904</v>
      </c>
    </row>
    <row r="95" spans="1:13" ht="12.75">
      <c r="A95" s="131" t="s">
        <v>265</v>
      </c>
      <c r="B95" s="131"/>
      <c r="C95" s="126" t="s">
        <v>266</v>
      </c>
      <c r="D95" s="127"/>
      <c r="E95" s="127"/>
      <c r="F95" s="158"/>
      <c r="G95" s="158"/>
      <c r="H95" s="128"/>
      <c r="I95" s="128"/>
      <c r="J95" s="129"/>
      <c r="K95" s="129">
        <v>0.5</v>
      </c>
      <c r="L95" s="130"/>
      <c r="M95" s="129"/>
    </row>
    <row r="96" spans="1:13" ht="12.75">
      <c r="A96" s="131" t="s">
        <v>267</v>
      </c>
      <c r="B96" s="131"/>
      <c r="C96" s="126" t="s">
        <v>268</v>
      </c>
      <c r="D96" s="127">
        <v>35.5</v>
      </c>
      <c r="E96" s="127">
        <f t="shared" si="37"/>
        <v>25.5</v>
      </c>
      <c r="F96" s="158">
        <v>12.8</v>
      </c>
      <c r="G96" s="158">
        <v>12.7</v>
      </c>
      <c r="H96" s="128">
        <v>12.7</v>
      </c>
      <c r="I96" s="128">
        <f aca="true" t="shared" si="38" ref="I96:I103">E96+H96</f>
        <v>38.2</v>
      </c>
      <c r="J96" s="129">
        <f>11.8+2</f>
        <v>13.8</v>
      </c>
      <c r="K96" s="129">
        <v>42</v>
      </c>
      <c r="L96" s="130">
        <f t="shared" si="36"/>
        <v>109.94764397905759</v>
      </c>
      <c r="M96" s="129">
        <f t="shared" si="29"/>
        <v>118.30985915492958</v>
      </c>
    </row>
    <row r="97" spans="1:13" ht="12.75">
      <c r="A97" s="131" t="s">
        <v>269</v>
      </c>
      <c r="B97" s="131"/>
      <c r="C97" s="126" t="s">
        <v>270</v>
      </c>
      <c r="D97" s="127">
        <v>10</v>
      </c>
      <c r="E97" s="127">
        <f t="shared" si="37"/>
        <v>4</v>
      </c>
      <c r="F97" s="158">
        <v>1</v>
      </c>
      <c r="G97" s="158">
        <v>3</v>
      </c>
      <c r="H97" s="128">
        <v>3</v>
      </c>
      <c r="I97" s="128">
        <f t="shared" si="38"/>
        <v>7</v>
      </c>
      <c r="J97" s="129">
        <v>3</v>
      </c>
      <c r="K97" s="129">
        <v>7.3</v>
      </c>
      <c r="L97" s="130">
        <f t="shared" si="36"/>
        <v>104.28571428571429</v>
      </c>
      <c r="M97" s="129">
        <f t="shared" si="29"/>
        <v>73</v>
      </c>
    </row>
    <row r="98" spans="1:13" ht="24">
      <c r="A98" s="132" t="s">
        <v>273</v>
      </c>
      <c r="B98" s="132"/>
      <c r="C98" s="126" t="s">
        <v>274</v>
      </c>
      <c r="D98" s="127">
        <v>102.6</v>
      </c>
      <c r="E98" s="127">
        <f t="shared" si="37"/>
        <v>25</v>
      </c>
      <c r="F98" s="158">
        <v>10</v>
      </c>
      <c r="G98" s="158">
        <v>15</v>
      </c>
      <c r="H98" s="128">
        <f>15+22+10</f>
        <v>47</v>
      </c>
      <c r="I98" s="128">
        <f t="shared" si="38"/>
        <v>72</v>
      </c>
      <c r="J98" s="129">
        <f>15+9</f>
        <v>24</v>
      </c>
      <c r="K98" s="129">
        <v>103.6</v>
      </c>
      <c r="L98" s="130">
        <f t="shared" si="36"/>
        <v>143.88888888888889</v>
      </c>
      <c r="M98" s="129">
        <f t="shared" si="29"/>
        <v>100.97465886939571</v>
      </c>
    </row>
    <row r="99" spans="1:13" ht="24">
      <c r="A99" s="134" t="s">
        <v>277</v>
      </c>
      <c r="B99" s="134"/>
      <c r="C99" s="126" t="s">
        <v>278</v>
      </c>
      <c r="D99" s="127">
        <v>25</v>
      </c>
      <c r="E99" s="127">
        <f t="shared" si="37"/>
        <v>12.5</v>
      </c>
      <c r="F99" s="158">
        <v>5</v>
      </c>
      <c r="G99" s="158">
        <v>7.5</v>
      </c>
      <c r="H99" s="128">
        <v>7.5</v>
      </c>
      <c r="I99" s="128">
        <f t="shared" si="38"/>
        <v>20</v>
      </c>
      <c r="J99" s="129">
        <v>5</v>
      </c>
      <c r="K99" s="129">
        <v>32.2</v>
      </c>
      <c r="L99" s="130">
        <f t="shared" si="36"/>
        <v>161.00000000000003</v>
      </c>
      <c r="M99" s="129">
        <f t="shared" si="29"/>
        <v>128.8</v>
      </c>
    </row>
    <row r="100" spans="1:13" ht="24">
      <c r="A100" s="134" t="s">
        <v>279</v>
      </c>
      <c r="B100" s="134"/>
      <c r="C100" s="126" t="s">
        <v>280</v>
      </c>
      <c r="D100" s="127">
        <v>18</v>
      </c>
      <c r="E100" s="127">
        <f t="shared" si="37"/>
        <v>3.6</v>
      </c>
      <c r="F100" s="158">
        <v>0.9</v>
      </c>
      <c r="G100" s="158">
        <v>2.7</v>
      </c>
      <c r="H100" s="128">
        <f>2.7+9</f>
        <v>11.7</v>
      </c>
      <c r="I100" s="128">
        <f t="shared" si="38"/>
        <v>15.299999999999999</v>
      </c>
      <c r="J100" s="129">
        <v>2.7</v>
      </c>
      <c r="K100" s="129">
        <v>16.6</v>
      </c>
      <c r="L100" s="130">
        <f t="shared" si="36"/>
        <v>108.49673202614382</v>
      </c>
      <c r="M100" s="129">
        <f t="shared" si="29"/>
        <v>92.22222222222223</v>
      </c>
    </row>
    <row r="101" spans="1:13" ht="12.75">
      <c r="A101" s="134" t="s">
        <v>285</v>
      </c>
      <c r="B101" s="172"/>
      <c r="C101" s="137" t="s">
        <v>286</v>
      </c>
      <c r="D101" s="127">
        <f>F101+G101+H101+J101</f>
        <v>0</v>
      </c>
      <c r="E101" s="127">
        <f t="shared" si="37"/>
        <v>0</v>
      </c>
      <c r="F101" s="173"/>
      <c r="G101" s="173"/>
      <c r="H101" s="128"/>
      <c r="I101" s="128"/>
      <c r="J101" s="129"/>
      <c r="K101" s="129">
        <v>38.4</v>
      </c>
      <c r="L101" s="123"/>
      <c r="M101" s="124"/>
    </row>
    <row r="102" spans="1:13" ht="12.75">
      <c r="A102" s="162" t="s">
        <v>287</v>
      </c>
      <c r="B102" s="162"/>
      <c r="C102" s="138" t="s">
        <v>288</v>
      </c>
      <c r="D102" s="139">
        <f aca="true" t="shared" si="39" ref="D102:K102">D103+D104</f>
        <v>34408.5</v>
      </c>
      <c r="E102" s="139">
        <f t="shared" si="39"/>
        <v>12398.8</v>
      </c>
      <c r="F102" s="139">
        <f t="shared" si="39"/>
        <v>6080.5</v>
      </c>
      <c r="G102" s="139">
        <f t="shared" si="39"/>
        <v>6318.3</v>
      </c>
      <c r="H102" s="139">
        <f t="shared" si="39"/>
        <v>5725.7</v>
      </c>
      <c r="I102" s="139">
        <f t="shared" si="39"/>
        <v>18124.5</v>
      </c>
      <c r="J102" s="139">
        <f t="shared" si="39"/>
        <v>9023.9</v>
      </c>
      <c r="K102" s="139">
        <f t="shared" si="39"/>
        <v>25608.3</v>
      </c>
      <c r="L102" s="123">
        <f>K102*100/I102</f>
        <v>141.29107009848548</v>
      </c>
      <c r="M102" s="124">
        <f t="shared" si="29"/>
        <v>74.42434282226775</v>
      </c>
    </row>
    <row r="103" spans="1:13" ht="24">
      <c r="A103" s="141" t="s">
        <v>289</v>
      </c>
      <c r="B103" s="131"/>
      <c r="C103" s="142" t="s">
        <v>290</v>
      </c>
      <c r="D103" s="127">
        <v>34408.5</v>
      </c>
      <c r="E103" s="127">
        <f t="shared" si="37"/>
        <v>12398.8</v>
      </c>
      <c r="F103" s="158">
        <f>5480.9+599.6</f>
        <v>6080.5</v>
      </c>
      <c r="G103" s="158">
        <f>5676.8+129.3+13.8+498.4</f>
        <v>6318.3</v>
      </c>
      <c r="H103" s="128">
        <f>5676.8+48.9</f>
        <v>5725.7</v>
      </c>
      <c r="I103" s="128">
        <f t="shared" si="38"/>
        <v>18124.5</v>
      </c>
      <c r="J103" s="129">
        <f>5480.9+116.8+1926.2</f>
        <v>7523.9</v>
      </c>
      <c r="K103" s="129">
        <v>25608.3</v>
      </c>
      <c r="L103" s="130">
        <f>K103*100/I103</f>
        <v>141.29107009848548</v>
      </c>
      <c r="M103" s="129">
        <f t="shared" si="29"/>
        <v>74.42434282226775</v>
      </c>
    </row>
    <row r="104" spans="1:13" ht="12.75">
      <c r="A104" s="141" t="s">
        <v>291</v>
      </c>
      <c r="B104" s="141"/>
      <c r="C104" s="143" t="s">
        <v>292</v>
      </c>
      <c r="D104" s="127"/>
      <c r="E104" s="127">
        <f t="shared" si="37"/>
        <v>0</v>
      </c>
      <c r="F104" s="171"/>
      <c r="G104" s="171"/>
      <c r="H104" s="128"/>
      <c r="I104" s="128"/>
      <c r="J104" s="129">
        <v>1500</v>
      </c>
      <c r="K104" s="129"/>
      <c r="L104" s="123"/>
      <c r="M104" s="124"/>
    </row>
    <row r="105" spans="1:13" ht="12.75">
      <c r="A105" s="125"/>
      <c r="B105" s="149"/>
      <c r="C105" s="150" t="s">
        <v>297</v>
      </c>
      <c r="D105" s="124">
        <f aca="true" t="shared" si="40" ref="D105:K105">D102+D93</f>
        <v>37699.6</v>
      </c>
      <c r="E105" s="140">
        <f t="shared" si="40"/>
        <v>13608.599999999999</v>
      </c>
      <c r="F105" s="140">
        <f t="shared" si="40"/>
        <v>6679.8</v>
      </c>
      <c r="G105" s="140">
        <f>G102+G93</f>
        <v>6928.8</v>
      </c>
      <c r="H105" s="124">
        <f t="shared" si="40"/>
        <v>6698.7</v>
      </c>
      <c r="I105" s="124">
        <f t="shared" si="40"/>
        <v>20307.3</v>
      </c>
      <c r="J105" s="124">
        <f t="shared" si="40"/>
        <v>9642.1</v>
      </c>
      <c r="K105" s="124">
        <f t="shared" si="40"/>
        <v>28733.7</v>
      </c>
      <c r="L105" s="123">
        <f>K105*100/I105</f>
        <v>141.49443796073334</v>
      </c>
      <c r="M105" s="124">
        <f t="shared" si="29"/>
        <v>76.21751954927905</v>
      </c>
    </row>
    <row r="106" spans="1:13" ht="12.75">
      <c r="A106" s="225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151"/>
      <c r="M106" s="152"/>
    </row>
    <row r="107" spans="1:13" ht="12.75">
      <c r="A107" s="227" t="s">
        <v>305</v>
      </c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151"/>
      <c r="M107" s="152"/>
    </row>
    <row r="108" spans="1:13" ht="12.75">
      <c r="A108" s="121" t="s">
        <v>259</v>
      </c>
      <c r="B108" s="121"/>
      <c r="C108" s="122" t="s">
        <v>260</v>
      </c>
      <c r="D108" s="123">
        <f>D109+D111+D115+D112+D113+D116+D114+D117+D110</f>
        <v>2532.9</v>
      </c>
      <c r="E108" s="123">
        <f aca="true" t="shared" si="41" ref="E108:K108">E109+E111+E115+E112+E113+E116+E114+E117+E110</f>
        <v>594.2</v>
      </c>
      <c r="F108" s="123">
        <f t="shared" si="41"/>
        <v>196.2</v>
      </c>
      <c r="G108" s="123">
        <f t="shared" si="41"/>
        <v>398</v>
      </c>
      <c r="H108" s="123">
        <f t="shared" si="41"/>
        <v>399.20000000000005</v>
      </c>
      <c r="I108" s="123">
        <f t="shared" si="41"/>
        <v>993.4000000000001</v>
      </c>
      <c r="J108" s="123">
        <f t="shared" si="41"/>
        <v>425.5</v>
      </c>
      <c r="K108" s="123">
        <f t="shared" si="41"/>
        <v>2194.2</v>
      </c>
      <c r="L108" s="123">
        <f>K108*100/I108</f>
        <v>220.87779343668205</v>
      </c>
      <c r="M108" s="124">
        <f t="shared" si="29"/>
        <v>86.62797583797227</v>
      </c>
    </row>
    <row r="109" spans="1:13" ht="12.75">
      <c r="A109" s="125" t="s">
        <v>261</v>
      </c>
      <c r="B109" s="125"/>
      <c r="C109" s="126" t="s">
        <v>262</v>
      </c>
      <c r="D109" s="127">
        <v>1101</v>
      </c>
      <c r="E109" s="127">
        <f aca="true" t="shared" si="42" ref="E109:E119">F109+G109</f>
        <v>350.2</v>
      </c>
      <c r="F109" s="127">
        <v>127.6</v>
      </c>
      <c r="G109" s="127">
        <v>222.6</v>
      </c>
      <c r="H109" s="129">
        <v>198.2</v>
      </c>
      <c r="I109" s="129">
        <f>H109+E109</f>
        <v>548.4</v>
      </c>
      <c r="J109" s="129">
        <v>291.6</v>
      </c>
      <c r="K109" s="129">
        <v>894.4</v>
      </c>
      <c r="L109" s="130">
        <f>K109*100/I109</f>
        <v>163.09263311451497</v>
      </c>
      <c r="M109" s="129">
        <f t="shared" si="29"/>
        <v>81.23524069028156</v>
      </c>
    </row>
    <row r="110" spans="1:13" ht="12.75">
      <c r="A110" s="131" t="s">
        <v>265</v>
      </c>
      <c r="B110" s="131"/>
      <c r="C110" s="126" t="s">
        <v>266</v>
      </c>
      <c r="D110" s="127">
        <f>F110+G110+H110+J110</f>
        <v>0</v>
      </c>
      <c r="E110" s="127">
        <f t="shared" si="42"/>
        <v>0</v>
      </c>
      <c r="F110" s="127"/>
      <c r="G110" s="127"/>
      <c r="H110" s="129"/>
      <c r="I110" s="129">
        <f aca="true" t="shared" si="43" ref="I110:I116">H110+E110</f>
        <v>0</v>
      </c>
      <c r="J110" s="129"/>
      <c r="K110" s="129"/>
      <c r="L110" s="130"/>
      <c r="M110" s="129"/>
    </row>
    <row r="111" spans="1:13" ht="12.75">
      <c r="A111" s="131" t="s">
        <v>267</v>
      </c>
      <c r="B111" s="131"/>
      <c r="C111" s="126" t="s">
        <v>268</v>
      </c>
      <c r="D111" s="127">
        <v>58</v>
      </c>
      <c r="E111" s="127">
        <f t="shared" si="42"/>
        <v>21.3</v>
      </c>
      <c r="F111" s="127">
        <v>7.8</v>
      </c>
      <c r="G111" s="127">
        <v>13.5</v>
      </c>
      <c r="H111" s="129">
        <v>19.8</v>
      </c>
      <c r="I111" s="129">
        <f t="shared" si="43"/>
        <v>41.1</v>
      </c>
      <c r="J111" s="129">
        <v>13.9</v>
      </c>
      <c r="K111" s="129">
        <v>48</v>
      </c>
      <c r="L111" s="130">
        <f aca="true" t="shared" si="44" ref="L111:L116">K111*100/I111</f>
        <v>116.78832116788321</v>
      </c>
      <c r="M111" s="129">
        <f t="shared" si="29"/>
        <v>82.75862068965517</v>
      </c>
    </row>
    <row r="112" spans="1:13" ht="12.75">
      <c r="A112" s="131" t="s">
        <v>269</v>
      </c>
      <c r="B112" s="131"/>
      <c r="C112" s="126" t="s">
        <v>270</v>
      </c>
      <c r="D112" s="127">
        <v>51.4</v>
      </c>
      <c r="E112" s="127">
        <f t="shared" si="42"/>
        <v>7.699999999999999</v>
      </c>
      <c r="F112" s="127">
        <v>5.6</v>
      </c>
      <c r="G112" s="127">
        <v>2.1</v>
      </c>
      <c r="H112" s="129">
        <v>12.4</v>
      </c>
      <c r="I112" s="129">
        <f t="shared" si="43"/>
        <v>20.1</v>
      </c>
      <c r="J112" s="129">
        <v>10.9</v>
      </c>
      <c r="K112" s="129">
        <v>53.7</v>
      </c>
      <c r="L112" s="130">
        <f t="shared" si="44"/>
        <v>267.16417910447757</v>
      </c>
      <c r="M112" s="129">
        <f t="shared" si="29"/>
        <v>104.47470817120623</v>
      </c>
    </row>
    <row r="113" spans="1:13" ht="24">
      <c r="A113" s="132" t="s">
        <v>273</v>
      </c>
      <c r="B113" s="132"/>
      <c r="C113" s="126" t="s">
        <v>274</v>
      </c>
      <c r="D113" s="127">
        <v>611.4</v>
      </c>
      <c r="E113" s="127">
        <f t="shared" si="42"/>
        <v>152.5</v>
      </c>
      <c r="F113" s="127">
        <v>32.7</v>
      </c>
      <c r="G113" s="127">
        <v>119.8</v>
      </c>
      <c r="H113" s="129">
        <v>136.3</v>
      </c>
      <c r="I113" s="129">
        <f t="shared" si="43"/>
        <v>288.8</v>
      </c>
      <c r="J113" s="129">
        <v>86.6</v>
      </c>
      <c r="K113" s="129">
        <v>501.9</v>
      </c>
      <c r="L113" s="130">
        <f t="shared" si="44"/>
        <v>173.78808864265926</v>
      </c>
      <c r="M113" s="129">
        <f t="shared" si="29"/>
        <v>82.09028459273799</v>
      </c>
    </row>
    <row r="114" spans="1:13" ht="24">
      <c r="A114" s="134" t="s">
        <v>277</v>
      </c>
      <c r="B114" s="134"/>
      <c r="C114" s="126" t="s">
        <v>278</v>
      </c>
      <c r="D114" s="127">
        <v>90</v>
      </c>
      <c r="E114" s="127">
        <f t="shared" si="42"/>
        <v>45</v>
      </c>
      <c r="F114" s="127">
        <v>22.5</v>
      </c>
      <c r="G114" s="127">
        <v>22.5</v>
      </c>
      <c r="H114" s="129">
        <v>22.5</v>
      </c>
      <c r="I114" s="129">
        <f t="shared" si="43"/>
        <v>67.5</v>
      </c>
      <c r="J114" s="129">
        <v>22.5</v>
      </c>
      <c r="K114" s="129">
        <v>75.6</v>
      </c>
      <c r="L114" s="130">
        <f t="shared" si="44"/>
        <v>111.99999999999999</v>
      </c>
      <c r="M114" s="129">
        <f t="shared" si="29"/>
        <v>83.99999999999999</v>
      </c>
    </row>
    <row r="115" spans="1:13" ht="24">
      <c r="A115" s="133" t="s">
        <v>279</v>
      </c>
      <c r="B115" s="133"/>
      <c r="C115" s="126" t="s">
        <v>280</v>
      </c>
      <c r="D115" s="127">
        <v>37.5</v>
      </c>
      <c r="E115" s="127">
        <f t="shared" si="42"/>
        <v>17.5</v>
      </c>
      <c r="F115" s="127"/>
      <c r="G115" s="127">
        <v>17.5</v>
      </c>
      <c r="H115" s="129">
        <v>10</v>
      </c>
      <c r="I115" s="129">
        <f t="shared" si="43"/>
        <v>27.5</v>
      </c>
      <c r="J115" s="129"/>
      <c r="K115" s="129">
        <v>36.6</v>
      </c>
      <c r="L115" s="130">
        <f t="shared" si="44"/>
        <v>133.0909090909091</v>
      </c>
      <c r="M115" s="129">
        <f t="shared" si="29"/>
        <v>97.6</v>
      </c>
    </row>
    <row r="116" spans="1:13" ht="12.75">
      <c r="A116" s="125" t="s">
        <v>283</v>
      </c>
      <c r="B116" s="125"/>
      <c r="C116" s="126" t="s">
        <v>284</v>
      </c>
      <c r="D116" s="127">
        <v>583.6</v>
      </c>
      <c r="E116" s="127">
        <f t="shared" si="42"/>
        <v>0</v>
      </c>
      <c r="F116" s="127"/>
      <c r="G116" s="127"/>
      <c r="H116" s="129"/>
      <c r="I116" s="129">
        <f t="shared" si="43"/>
        <v>0</v>
      </c>
      <c r="J116" s="129"/>
      <c r="K116" s="129">
        <v>583.6</v>
      </c>
      <c r="L116" s="130" t="e">
        <f t="shared" si="44"/>
        <v>#DIV/0!</v>
      </c>
      <c r="M116" s="124">
        <f t="shared" si="29"/>
        <v>100</v>
      </c>
    </row>
    <row r="117" spans="1:13" ht="12.75">
      <c r="A117" s="133" t="s">
        <v>285</v>
      </c>
      <c r="B117" s="172"/>
      <c r="C117" s="137" t="s">
        <v>286</v>
      </c>
      <c r="D117" s="127"/>
      <c r="E117" s="127">
        <f t="shared" si="42"/>
        <v>0</v>
      </c>
      <c r="F117" s="127"/>
      <c r="G117" s="127"/>
      <c r="H117" s="129"/>
      <c r="I117" s="129"/>
      <c r="J117" s="129"/>
      <c r="K117" s="129">
        <v>0.4</v>
      </c>
      <c r="L117" s="130"/>
      <c r="M117" s="124"/>
    </row>
    <row r="118" spans="1:13" ht="12.75">
      <c r="A118" s="121" t="s">
        <v>287</v>
      </c>
      <c r="B118" s="121"/>
      <c r="C118" s="138" t="s">
        <v>288</v>
      </c>
      <c r="D118" s="139">
        <f aca="true" t="shared" si="45" ref="D118:K118">D119</f>
        <v>33815.1</v>
      </c>
      <c r="E118" s="174">
        <f t="shared" si="45"/>
        <v>14267.800000000001</v>
      </c>
      <c r="F118" s="174">
        <f t="shared" si="45"/>
        <v>5407.5</v>
      </c>
      <c r="G118" s="174">
        <f t="shared" si="45"/>
        <v>8860.300000000001</v>
      </c>
      <c r="H118" s="174">
        <f t="shared" si="45"/>
        <v>9050.1</v>
      </c>
      <c r="I118" s="174">
        <f t="shared" si="45"/>
        <v>23317.9</v>
      </c>
      <c r="J118" s="139">
        <f t="shared" si="45"/>
        <v>7048.900000000001</v>
      </c>
      <c r="K118" s="139">
        <f t="shared" si="45"/>
        <v>31458.8</v>
      </c>
      <c r="L118" s="123">
        <f>K118*100/I118</f>
        <v>134.91266366182202</v>
      </c>
      <c r="M118" s="124">
        <f t="shared" si="29"/>
        <v>93.03181123226015</v>
      </c>
    </row>
    <row r="119" spans="1:13" ht="24">
      <c r="A119" s="141" t="s">
        <v>289</v>
      </c>
      <c r="B119" s="131"/>
      <c r="C119" s="142" t="s">
        <v>290</v>
      </c>
      <c r="D119" s="127">
        <v>33815.1</v>
      </c>
      <c r="E119" s="127">
        <f t="shared" si="42"/>
        <v>14267.800000000001</v>
      </c>
      <c r="F119" s="127">
        <f>5070.3+337.2</f>
        <v>5407.5</v>
      </c>
      <c r="G119" s="127">
        <f>8644.5+20.6+47.7+147.5</f>
        <v>8860.300000000001</v>
      </c>
      <c r="H119" s="129">
        <f>7774.2+813.9+281.1+180.9</f>
        <v>9050.1</v>
      </c>
      <c r="I119" s="129">
        <f>H119+E119</f>
        <v>23317.9</v>
      </c>
      <c r="J119" s="129">
        <f>7329.8-280.9</f>
        <v>7048.900000000001</v>
      </c>
      <c r="K119" s="129">
        <v>31458.8</v>
      </c>
      <c r="L119" s="130">
        <f>K119*100/I119</f>
        <v>134.91266366182202</v>
      </c>
      <c r="M119" s="129">
        <f t="shared" si="29"/>
        <v>93.03181123226015</v>
      </c>
    </row>
    <row r="120" spans="1:13" ht="12.75">
      <c r="A120" s="125"/>
      <c r="B120" s="149"/>
      <c r="C120" s="150" t="s">
        <v>297</v>
      </c>
      <c r="D120" s="124">
        <f aca="true" t="shared" si="46" ref="D120:K120">D118+D108</f>
        <v>36348</v>
      </c>
      <c r="E120" s="124">
        <f t="shared" si="46"/>
        <v>14862.000000000002</v>
      </c>
      <c r="F120" s="124">
        <f t="shared" si="46"/>
        <v>5603.7</v>
      </c>
      <c r="G120" s="124">
        <f t="shared" si="46"/>
        <v>9258.300000000001</v>
      </c>
      <c r="H120" s="124">
        <f t="shared" si="46"/>
        <v>9449.300000000001</v>
      </c>
      <c r="I120" s="124">
        <f t="shared" si="46"/>
        <v>24311.300000000003</v>
      </c>
      <c r="J120" s="124">
        <f t="shared" si="46"/>
        <v>7474.400000000001</v>
      </c>
      <c r="K120" s="124">
        <f t="shared" si="46"/>
        <v>33653</v>
      </c>
      <c r="L120" s="123">
        <f>K120*100/I120</f>
        <v>138.42534130219278</v>
      </c>
      <c r="M120" s="124">
        <f t="shared" si="29"/>
        <v>92.58556179157037</v>
      </c>
    </row>
    <row r="121" spans="1:13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151"/>
      <c r="M121" s="152"/>
    </row>
    <row r="122" spans="1:13" ht="12.75">
      <c r="A122" s="227" t="s">
        <v>306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151"/>
      <c r="M122" s="152"/>
    </row>
    <row r="123" spans="1:13" ht="12.75">
      <c r="A123" s="121" t="s">
        <v>259</v>
      </c>
      <c r="B123" s="121"/>
      <c r="C123" s="122" t="s">
        <v>260</v>
      </c>
      <c r="D123" s="123">
        <f aca="true" t="shared" si="47" ref="D123:K123">D124+D125+D126+D127+D129+D131+D128+D130</f>
        <v>2629.3</v>
      </c>
      <c r="E123" s="123">
        <f t="shared" si="47"/>
        <v>1246.4</v>
      </c>
      <c r="F123" s="123">
        <f t="shared" si="47"/>
        <v>521.2</v>
      </c>
      <c r="G123" s="123">
        <f t="shared" si="47"/>
        <v>725.1999999999999</v>
      </c>
      <c r="H123" s="123">
        <f t="shared" si="47"/>
        <v>766.3</v>
      </c>
      <c r="I123" s="123">
        <f t="shared" si="47"/>
        <v>2012.6999999999996</v>
      </c>
      <c r="J123" s="123">
        <f t="shared" si="47"/>
        <v>593.5999999999999</v>
      </c>
      <c r="K123" s="123">
        <f t="shared" si="47"/>
        <v>2447.0999999999995</v>
      </c>
      <c r="L123" s="123">
        <f aca="true" t="shared" si="48" ref="L123:L129">K123*100/I123</f>
        <v>121.58294827843196</v>
      </c>
      <c r="M123" s="124">
        <f t="shared" si="29"/>
        <v>93.0703989655041</v>
      </c>
    </row>
    <row r="124" spans="1:13" ht="12.75">
      <c r="A124" s="125" t="s">
        <v>261</v>
      </c>
      <c r="B124" s="125"/>
      <c r="C124" s="126" t="s">
        <v>262</v>
      </c>
      <c r="D124" s="127">
        <v>1678.8</v>
      </c>
      <c r="E124" s="127">
        <f aca="true" t="shared" si="49" ref="E124:E134">F124+G124</f>
        <v>892.0999999999999</v>
      </c>
      <c r="F124" s="158">
        <v>387.2</v>
      </c>
      <c r="G124" s="158">
        <v>504.9</v>
      </c>
      <c r="H124" s="128">
        <v>559</v>
      </c>
      <c r="I124" s="128">
        <f>E124+H124</f>
        <v>1451.1</v>
      </c>
      <c r="J124" s="129">
        <v>433.7</v>
      </c>
      <c r="K124" s="129">
        <v>1495.8</v>
      </c>
      <c r="L124" s="130">
        <f t="shared" si="48"/>
        <v>103.08042174901799</v>
      </c>
      <c r="M124" s="129">
        <f t="shared" si="29"/>
        <v>89.09935668334525</v>
      </c>
    </row>
    <row r="125" spans="1:13" ht="12.75">
      <c r="A125" s="131" t="s">
        <v>267</v>
      </c>
      <c r="B125" s="131"/>
      <c r="C125" s="126" t="s">
        <v>268</v>
      </c>
      <c r="D125" s="127">
        <v>213.5</v>
      </c>
      <c r="E125" s="127">
        <f t="shared" si="49"/>
        <v>74.8</v>
      </c>
      <c r="F125" s="158">
        <v>25.5</v>
      </c>
      <c r="G125" s="158">
        <v>49.3</v>
      </c>
      <c r="H125" s="128">
        <v>56.8</v>
      </c>
      <c r="I125" s="128">
        <f aca="true" t="shared" si="50" ref="I125:I131">E125+H125</f>
        <v>131.6</v>
      </c>
      <c r="J125" s="129">
        <v>34.4</v>
      </c>
      <c r="K125" s="129">
        <v>238.7</v>
      </c>
      <c r="L125" s="130">
        <f t="shared" si="48"/>
        <v>181.38297872340425</v>
      </c>
      <c r="M125" s="129">
        <f t="shared" si="29"/>
        <v>111.80327868852459</v>
      </c>
    </row>
    <row r="126" spans="1:13" ht="12.75">
      <c r="A126" s="131" t="s">
        <v>269</v>
      </c>
      <c r="B126" s="131"/>
      <c r="C126" s="126" t="s">
        <v>270</v>
      </c>
      <c r="D126" s="127">
        <v>52</v>
      </c>
      <c r="E126" s="127">
        <f t="shared" si="49"/>
        <v>19</v>
      </c>
      <c r="F126" s="158">
        <v>7</v>
      </c>
      <c r="G126" s="158">
        <v>12</v>
      </c>
      <c r="H126" s="128">
        <v>11.6</v>
      </c>
      <c r="I126" s="128">
        <f t="shared" si="50"/>
        <v>30.6</v>
      </c>
      <c r="J126" s="129">
        <v>9.4</v>
      </c>
      <c r="K126" s="129">
        <v>55.6</v>
      </c>
      <c r="L126" s="130">
        <f t="shared" si="48"/>
        <v>181.69934640522874</v>
      </c>
      <c r="M126" s="129">
        <f t="shared" si="29"/>
        <v>106.92307692307692</v>
      </c>
    </row>
    <row r="127" spans="1:13" ht="24">
      <c r="A127" s="132" t="s">
        <v>273</v>
      </c>
      <c r="B127" s="132"/>
      <c r="C127" s="126" t="s">
        <v>274</v>
      </c>
      <c r="D127" s="127">
        <v>555</v>
      </c>
      <c r="E127" s="127">
        <f t="shared" si="49"/>
        <v>172.9</v>
      </c>
      <c r="F127" s="158">
        <v>65.5</v>
      </c>
      <c r="G127" s="158">
        <v>107.4</v>
      </c>
      <c r="H127" s="128">
        <v>93.3</v>
      </c>
      <c r="I127" s="128">
        <f t="shared" si="50"/>
        <v>266.2</v>
      </c>
      <c r="J127" s="129">
        <v>76.3</v>
      </c>
      <c r="K127" s="129">
        <v>539.3</v>
      </c>
      <c r="L127" s="130">
        <f t="shared" si="48"/>
        <v>202.5920360631104</v>
      </c>
      <c r="M127" s="129">
        <f t="shared" si="29"/>
        <v>97.17117117117115</v>
      </c>
    </row>
    <row r="128" spans="1:13" ht="24">
      <c r="A128" s="134" t="s">
        <v>277</v>
      </c>
      <c r="B128" s="134"/>
      <c r="C128" s="126" t="s">
        <v>278</v>
      </c>
      <c r="D128" s="127">
        <v>80</v>
      </c>
      <c r="E128" s="127">
        <f t="shared" si="49"/>
        <v>39.7</v>
      </c>
      <c r="F128" s="158">
        <v>16</v>
      </c>
      <c r="G128" s="158">
        <v>23.7</v>
      </c>
      <c r="H128" s="128">
        <v>21.9</v>
      </c>
      <c r="I128" s="128">
        <f t="shared" si="50"/>
        <v>61.6</v>
      </c>
      <c r="J128" s="129">
        <v>18.4</v>
      </c>
      <c r="K128" s="129">
        <v>66.2</v>
      </c>
      <c r="L128" s="130">
        <f t="shared" si="48"/>
        <v>107.46753246753246</v>
      </c>
      <c r="M128" s="129">
        <f t="shared" si="29"/>
        <v>82.75</v>
      </c>
    </row>
    <row r="129" spans="1:13" ht="24">
      <c r="A129" s="134" t="s">
        <v>279</v>
      </c>
      <c r="B129" s="134"/>
      <c r="C129" s="126" t="s">
        <v>280</v>
      </c>
      <c r="D129" s="127">
        <v>50</v>
      </c>
      <c r="E129" s="127">
        <f t="shared" si="49"/>
        <v>47.9</v>
      </c>
      <c r="F129" s="158">
        <v>20</v>
      </c>
      <c r="G129" s="158">
        <v>27.9</v>
      </c>
      <c r="H129" s="128">
        <v>23.7</v>
      </c>
      <c r="I129" s="128">
        <f t="shared" si="50"/>
        <v>71.6</v>
      </c>
      <c r="J129" s="129">
        <v>21.4</v>
      </c>
      <c r="K129" s="129">
        <v>44.6</v>
      </c>
      <c r="L129" s="130">
        <f t="shared" si="48"/>
        <v>62.29050279329609</v>
      </c>
      <c r="M129" s="129">
        <f t="shared" si="29"/>
        <v>89.2</v>
      </c>
    </row>
    <row r="130" spans="1:13" ht="12.75">
      <c r="A130" s="125" t="s">
        <v>283</v>
      </c>
      <c r="B130" s="125"/>
      <c r="C130" s="126" t="s">
        <v>284</v>
      </c>
      <c r="D130" s="127">
        <f>F130+G130+H130+J130</f>
        <v>0</v>
      </c>
      <c r="E130" s="127">
        <f t="shared" si="49"/>
        <v>0</v>
      </c>
      <c r="F130" s="158"/>
      <c r="G130" s="158"/>
      <c r="H130" s="128"/>
      <c r="I130" s="128">
        <f t="shared" si="50"/>
        <v>0</v>
      </c>
      <c r="J130" s="129"/>
      <c r="K130" s="129"/>
      <c r="L130" s="130"/>
      <c r="M130" s="129"/>
    </row>
    <row r="131" spans="1:13" ht="12.75">
      <c r="A131" s="134" t="s">
        <v>285</v>
      </c>
      <c r="B131" s="172"/>
      <c r="C131" s="137" t="s">
        <v>286</v>
      </c>
      <c r="D131" s="127">
        <f>F131+G131+H131+J131</f>
        <v>0</v>
      </c>
      <c r="E131" s="127">
        <f t="shared" si="49"/>
        <v>0</v>
      </c>
      <c r="F131" s="158"/>
      <c r="G131" s="158"/>
      <c r="H131" s="128"/>
      <c r="I131" s="128">
        <f t="shared" si="50"/>
        <v>0</v>
      </c>
      <c r="J131" s="129"/>
      <c r="K131" s="128">
        <v>6.9</v>
      </c>
      <c r="L131" s="130"/>
      <c r="M131" s="129"/>
    </row>
    <row r="132" spans="1:13" ht="12.75">
      <c r="A132" s="162" t="s">
        <v>287</v>
      </c>
      <c r="B132" s="162"/>
      <c r="C132" s="138" t="s">
        <v>288</v>
      </c>
      <c r="D132" s="139">
        <f aca="true" t="shared" si="51" ref="D132:K132">D133+D134</f>
        <v>44390.1</v>
      </c>
      <c r="E132" s="139">
        <f t="shared" si="51"/>
        <v>22119.600000000002</v>
      </c>
      <c r="F132" s="139">
        <f t="shared" si="51"/>
        <v>8321.6</v>
      </c>
      <c r="G132" s="139">
        <f t="shared" si="51"/>
        <v>13798.000000000002</v>
      </c>
      <c r="H132" s="139">
        <f t="shared" si="51"/>
        <v>12650.3</v>
      </c>
      <c r="I132" s="139">
        <f t="shared" si="51"/>
        <v>34769.9</v>
      </c>
      <c r="J132" s="139">
        <f t="shared" si="51"/>
        <v>8498.4</v>
      </c>
      <c r="K132" s="139">
        <f t="shared" si="51"/>
        <v>39560.6</v>
      </c>
      <c r="L132" s="123">
        <f>K132*100/I132</f>
        <v>113.77829674517326</v>
      </c>
      <c r="M132" s="124">
        <f t="shared" si="29"/>
        <v>89.12032187357092</v>
      </c>
    </row>
    <row r="133" spans="1:13" ht="24">
      <c r="A133" s="141" t="s">
        <v>289</v>
      </c>
      <c r="B133" s="131"/>
      <c r="C133" s="142" t="s">
        <v>290</v>
      </c>
      <c r="D133" s="127">
        <v>44390.1</v>
      </c>
      <c r="E133" s="127">
        <f t="shared" si="49"/>
        <v>22119.600000000002</v>
      </c>
      <c r="F133" s="158">
        <f>8031.4+290.2</f>
        <v>8321.6</v>
      </c>
      <c r="G133" s="158">
        <f>13441.6+44.2+148.2+143.2+20.8</f>
        <v>13798.000000000002</v>
      </c>
      <c r="H133" s="128">
        <f>12236.8+36.1+377.4</f>
        <v>12650.3</v>
      </c>
      <c r="I133" s="128">
        <f>E133+H133</f>
        <v>34769.9</v>
      </c>
      <c r="J133" s="129">
        <f>9236.1-737.7</f>
        <v>8498.4</v>
      </c>
      <c r="K133" s="129">
        <v>39560.6</v>
      </c>
      <c r="L133" s="130">
        <f>K133*100/I133</f>
        <v>113.77829674517326</v>
      </c>
      <c r="M133" s="129">
        <f t="shared" si="29"/>
        <v>89.12032187357092</v>
      </c>
    </row>
    <row r="134" spans="1:13" ht="12.75">
      <c r="A134" s="141" t="s">
        <v>291</v>
      </c>
      <c r="B134" s="141"/>
      <c r="C134" s="143" t="s">
        <v>292</v>
      </c>
      <c r="D134" s="127">
        <f>F134+G134+H134+J134</f>
        <v>0</v>
      </c>
      <c r="E134" s="127">
        <f t="shared" si="49"/>
        <v>0</v>
      </c>
      <c r="F134" s="171"/>
      <c r="G134" s="171"/>
      <c r="H134" s="128"/>
      <c r="I134" s="128"/>
      <c r="J134" s="129"/>
      <c r="K134" s="129"/>
      <c r="L134" s="130"/>
      <c r="M134" s="129"/>
    </row>
    <row r="135" spans="1:13" ht="12.75">
      <c r="A135" s="125"/>
      <c r="B135" s="149"/>
      <c r="C135" s="150" t="s">
        <v>297</v>
      </c>
      <c r="D135" s="124">
        <f aca="true" t="shared" si="52" ref="D135:K135">D132+D123</f>
        <v>47019.4</v>
      </c>
      <c r="E135" s="124">
        <f t="shared" si="52"/>
        <v>23366.000000000004</v>
      </c>
      <c r="F135" s="140">
        <f t="shared" si="52"/>
        <v>8842.800000000001</v>
      </c>
      <c r="G135" s="140">
        <f t="shared" si="52"/>
        <v>14523.200000000003</v>
      </c>
      <c r="H135" s="140">
        <f t="shared" si="52"/>
        <v>13416.599999999999</v>
      </c>
      <c r="I135" s="140">
        <f t="shared" si="52"/>
        <v>36782.6</v>
      </c>
      <c r="J135" s="124">
        <f t="shared" si="52"/>
        <v>9092</v>
      </c>
      <c r="K135" s="124">
        <f t="shared" si="52"/>
        <v>42007.7</v>
      </c>
      <c r="L135" s="123">
        <f>K135*100/I135</f>
        <v>114.20535796816974</v>
      </c>
      <c r="M135" s="124">
        <f t="shared" si="29"/>
        <v>89.34120809708332</v>
      </c>
    </row>
    <row r="136" spans="1:13" ht="12.75">
      <c r="A136" s="229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151"/>
      <c r="M136" s="152"/>
    </row>
    <row r="137" spans="1:13" ht="12.75">
      <c r="A137" s="227" t="s">
        <v>307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151"/>
      <c r="M137" s="152"/>
    </row>
    <row r="138" spans="1:13" ht="12.75">
      <c r="A138" s="121" t="s">
        <v>259</v>
      </c>
      <c r="B138" s="121"/>
      <c r="C138" s="122" t="s">
        <v>260</v>
      </c>
      <c r="D138" s="123">
        <f aca="true" t="shared" si="53" ref="D138:K138">D139+D141+D143+D145+D142+D146+D144+D147+D140</f>
        <v>14576.5</v>
      </c>
      <c r="E138" s="123">
        <f t="shared" si="53"/>
        <v>6943.1</v>
      </c>
      <c r="F138" s="123">
        <f t="shared" si="53"/>
        <v>3105.5</v>
      </c>
      <c r="G138" s="123">
        <f t="shared" si="53"/>
        <v>3837.6</v>
      </c>
      <c r="H138" s="123">
        <f t="shared" si="53"/>
        <v>4207.1</v>
      </c>
      <c r="I138" s="123">
        <f t="shared" si="53"/>
        <v>11150.2</v>
      </c>
      <c r="J138" s="123">
        <f t="shared" si="53"/>
        <v>3426.3</v>
      </c>
      <c r="K138" s="123">
        <f t="shared" si="53"/>
        <v>11777.5</v>
      </c>
      <c r="L138" s="123">
        <f>K138*100/I138</f>
        <v>105.62590805546088</v>
      </c>
      <c r="M138" s="124">
        <f t="shared" si="29"/>
        <v>80.79785956848352</v>
      </c>
    </row>
    <row r="139" spans="1:13" ht="12.75">
      <c r="A139" s="125" t="s">
        <v>261</v>
      </c>
      <c r="B139" s="125"/>
      <c r="C139" s="126" t="s">
        <v>262</v>
      </c>
      <c r="D139" s="158">
        <v>12915.5</v>
      </c>
      <c r="E139" s="127">
        <f aca="true" t="shared" si="54" ref="E139:E149">F139+G139</f>
        <v>6225</v>
      </c>
      <c r="F139" s="158">
        <v>2750</v>
      </c>
      <c r="G139" s="158">
        <v>3475</v>
      </c>
      <c r="H139" s="128">
        <f>3900-209.5</f>
        <v>3690.5</v>
      </c>
      <c r="I139" s="128">
        <f>E139+H139</f>
        <v>9915.5</v>
      </c>
      <c r="J139" s="129">
        <v>3000</v>
      </c>
      <c r="K139" s="129">
        <v>10169.9</v>
      </c>
      <c r="L139" s="130">
        <f>K139*100/I139</f>
        <v>102.56567999596591</v>
      </c>
      <c r="M139" s="129">
        <f t="shared" si="29"/>
        <v>78.74182184197282</v>
      </c>
    </row>
    <row r="140" spans="1:13" ht="12.75">
      <c r="A140" s="131" t="s">
        <v>265</v>
      </c>
      <c r="B140" s="131"/>
      <c r="C140" s="126" t="s">
        <v>266</v>
      </c>
      <c r="D140" s="158">
        <v>9.5</v>
      </c>
      <c r="E140" s="127">
        <f t="shared" si="54"/>
        <v>0</v>
      </c>
      <c r="F140" s="158"/>
      <c r="G140" s="158"/>
      <c r="H140" s="128">
        <v>9.5</v>
      </c>
      <c r="I140" s="128">
        <f aca="true" t="shared" si="55" ref="I140:I150">E140+H140</f>
        <v>9.5</v>
      </c>
      <c r="J140" s="129"/>
      <c r="K140" s="129">
        <v>9.5</v>
      </c>
      <c r="L140" s="130"/>
      <c r="M140" s="129"/>
    </row>
    <row r="141" spans="1:13" ht="12.75">
      <c r="A141" s="131" t="s">
        <v>267</v>
      </c>
      <c r="B141" s="131"/>
      <c r="C141" s="126" t="s">
        <v>268</v>
      </c>
      <c r="D141" s="158">
        <v>387</v>
      </c>
      <c r="E141" s="127">
        <f t="shared" si="54"/>
        <v>191</v>
      </c>
      <c r="F141" s="158">
        <v>95.5</v>
      </c>
      <c r="G141" s="158">
        <v>95.5</v>
      </c>
      <c r="H141" s="128">
        <v>98.5</v>
      </c>
      <c r="I141" s="128">
        <f t="shared" si="55"/>
        <v>289.5</v>
      </c>
      <c r="J141" s="129">
        <v>97.5</v>
      </c>
      <c r="K141" s="129">
        <v>478.5</v>
      </c>
      <c r="L141" s="130">
        <f aca="true" t="shared" si="56" ref="L141:L149">K141*100/I141</f>
        <v>165.28497409326425</v>
      </c>
      <c r="M141" s="129">
        <f aca="true" t="shared" si="57" ref="M141:M203">K141*100/D141</f>
        <v>123.64341085271317</v>
      </c>
    </row>
    <row r="142" spans="1:13" ht="12.75">
      <c r="A142" s="131" t="s">
        <v>269</v>
      </c>
      <c r="B142" s="131"/>
      <c r="C142" s="126" t="s">
        <v>270</v>
      </c>
      <c r="D142" s="158">
        <v>123</v>
      </c>
      <c r="E142" s="127">
        <f t="shared" si="54"/>
        <v>61</v>
      </c>
      <c r="F142" s="158">
        <v>30</v>
      </c>
      <c r="G142" s="158">
        <v>31</v>
      </c>
      <c r="H142" s="128">
        <v>32</v>
      </c>
      <c r="I142" s="128">
        <f t="shared" si="55"/>
        <v>93</v>
      </c>
      <c r="J142" s="129">
        <v>30</v>
      </c>
      <c r="K142" s="129">
        <v>136.5</v>
      </c>
      <c r="L142" s="130">
        <f t="shared" si="56"/>
        <v>146.7741935483871</v>
      </c>
      <c r="M142" s="129">
        <f t="shared" si="57"/>
        <v>110.97560975609755</v>
      </c>
    </row>
    <row r="143" spans="1:13" ht="24">
      <c r="A143" s="132" t="s">
        <v>273</v>
      </c>
      <c r="B143" s="132"/>
      <c r="C143" s="126" t="s">
        <v>274</v>
      </c>
      <c r="D143" s="158">
        <v>930.5</v>
      </c>
      <c r="E143" s="127">
        <f t="shared" si="54"/>
        <v>431.1</v>
      </c>
      <c r="F143" s="158">
        <v>213</v>
      </c>
      <c r="G143" s="158">
        <v>218.1</v>
      </c>
      <c r="H143" s="128">
        <v>218.6</v>
      </c>
      <c r="I143" s="128">
        <f t="shared" si="55"/>
        <v>649.7</v>
      </c>
      <c r="J143" s="129">
        <f>220.8+60</f>
        <v>280.8</v>
      </c>
      <c r="K143" s="129">
        <v>751.5</v>
      </c>
      <c r="L143" s="130">
        <f t="shared" si="56"/>
        <v>115.66877020163152</v>
      </c>
      <c r="M143" s="129">
        <f t="shared" si="57"/>
        <v>80.76303062869425</v>
      </c>
    </row>
    <row r="144" spans="1:13" ht="24">
      <c r="A144" s="134" t="s">
        <v>277</v>
      </c>
      <c r="B144" s="134"/>
      <c r="C144" s="126" t="s">
        <v>278</v>
      </c>
      <c r="D144" s="158">
        <f>F144+G144+H144+J144</f>
        <v>0</v>
      </c>
      <c r="E144" s="127">
        <f t="shared" si="54"/>
        <v>0</v>
      </c>
      <c r="F144" s="158"/>
      <c r="G144" s="158"/>
      <c r="H144" s="128"/>
      <c r="I144" s="128">
        <f t="shared" si="55"/>
        <v>0</v>
      </c>
      <c r="J144" s="129"/>
      <c r="K144" s="129"/>
      <c r="L144" s="130" t="e">
        <f t="shared" si="56"/>
        <v>#DIV/0!</v>
      </c>
      <c r="M144" s="129" t="e">
        <f t="shared" si="57"/>
        <v>#DIV/0!</v>
      </c>
    </row>
    <row r="145" spans="1:13" ht="24">
      <c r="A145" s="133" t="s">
        <v>279</v>
      </c>
      <c r="B145" s="133"/>
      <c r="C145" s="126" t="s">
        <v>280</v>
      </c>
      <c r="D145" s="158">
        <v>211</v>
      </c>
      <c r="E145" s="127">
        <f t="shared" si="54"/>
        <v>35</v>
      </c>
      <c r="F145" s="158">
        <v>17</v>
      </c>
      <c r="G145" s="158">
        <v>18</v>
      </c>
      <c r="H145" s="128">
        <f>18+140</f>
        <v>158</v>
      </c>
      <c r="I145" s="128">
        <f t="shared" si="55"/>
        <v>193</v>
      </c>
      <c r="J145" s="129">
        <v>18</v>
      </c>
      <c r="K145" s="129">
        <v>231.6</v>
      </c>
      <c r="L145" s="130">
        <f t="shared" si="56"/>
        <v>120</v>
      </c>
      <c r="M145" s="129">
        <f t="shared" si="57"/>
        <v>109.76303317535545</v>
      </c>
    </row>
    <row r="146" spans="1:13" ht="12.75">
      <c r="A146" s="125" t="s">
        <v>283</v>
      </c>
      <c r="B146" s="125"/>
      <c r="C146" s="126" t="s">
        <v>284</v>
      </c>
      <c r="D146" s="158">
        <f>F146+G146+H146+J146</f>
        <v>0</v>
      </c>
      <c r="E146" s="127">
        <f t="shared" si="54"/>
        <v>0</v>
      </c>
      <c r="F146" s="158"/>
      <c r="G146" s="158"/>
      <c r="H146" s="128"/>
      <c r="I146" s="128">
        <f t="shared" si="55"/>
        <v>0</v>
      </c>
      <c r="J146" s="129"/>
      <c r="K146" s="129"/>
      <c r="L146" s="130"/>
      <c r="M146" s="129"/>
    </row>
    <row r="147" spans="1:13" ht="12.75">
      <c r="A147" s="133" t="s">
        <v>285</v>
      </c>
      <c r="B147" s="175"/>
      <c r="C147" s="137" t="s">
        <v>286</v>
      </c>
      <c r="D147" s="158">
        <f>F147+G147+H147+J147</f>
        <v>0</v>
      </c>
      <c r="E147" s="127">
        <f t="shared" si="54"/>
        <v>0</v>
      </c>
      <c r="F147" s="173"/>
      <c r="G147" s="173"/>
      <c r="H147" s="128"/>
      <c r="I147" s="128">
        <f t="shared" si="55"/>
        <v>0</v>
      </c>
      <c r="J147" s="129"/>
      <c r="K147" s="129"/>
      <c r="L147" s="130"/>
      <c r="M147" s="124"/>
    </row>
    <row r="148" spans="1:13" ht="12.75">
      <c r="A148" s="121" t="s">
        <v>287</v>
      </c>
      <c r="B148" s="121"/>
      <c r="C148" s="138" t="s">
        <v>288</v>
      </c>
      <c r="D148" s="139">
        <f>D149+D150</f>
        <v>33819.8</v>
      </c>
      <c r="E148" s="139">
        <f aca="true" t="shared" si="58" ref="E148:K148">E149+E150</f>
        <v>16710.3</v>
      </c>
      <c r="F148" s="139">
        <f t="shared" si="58"/>
        <v>5966.9</v>
      </c>
      <c r="G148" s="139">
        <f t="shared" si="58"/>
        <v>10743.4</v>
      </c>
      <c r="H148" s="139">
        <f t="shared" si="58"/>
        <v>7897.8</v>
      </c>
      <c r="I148" s="139">
        <f t="shared" si="58"/>
        <v>24608.1</v>
      </c>
      <c r="J148" s="139">
        <f t="shared" si="58"/>
        <v>7925.6</v>
      </c>
      <c r="K148" s="139">
        <f t="shared" si="58"/>
        <v>30063.5</v>
      </c>
      <c r="L148" s="123">
        <f>K148*100/I148</f>
        <v>122.16912317488958</v>
      </c>
      <c r="M148" s="124">
        <f t="shared" si="57"/>
        <v>88.89319274507832</v>
      </c>
    </row>
    <row r="149" spans="1:13" ht="24">
      <c r="A149" s="141" t="s">
        <v>289</v>
      </c>
      <c r="B149" s="131"/>
      <c r="C149" s="142" t="s">
        <v>290</v>
      </c>
      <c r="D149" s="158">
        <v>33577.3</v>
      </c>
      <c r="E149" s="127">
        <f t="shared" si="54"/>
        <v>16467.8</v>
      </c>
      <c r="F149" s="158">
        <v>5966.9</v>
      </c>
      <c r="G149" s="158">
        <v>10500.9</v>
      </c>
      <c r="H149" s="128">
        <f>7602.8+74.2+220.8</f>
        <v>7897.8</v>
      </c>
      <c r="I149" s="128">
        <f t="shared" si="55"/>
        <v>24365.6</v>
      </c>
      <c r="J149" s="129">
        <f>7480.1+445.5</f>
        <v>7925.6</v>
      </c>
      <c r="K149" s="129">
        <v>29821</v>
      </c>
      <c r="L149" s="130">
        <f t="shared" si="56"/>
        <v>122.38976261614737</v>
      </c>
      <c r="M149" s="129">
        <f t="shared" si="57"/>
        <v>88.81297781536931</v>
      </c>
    </row>
    <row r="150" spans="1:13" ht="12.75">
      <c r="A150" s="141" t="s">
        <v>291</v>
      </c>
      <c r="B150" s="141"/>
      <c r="C150" s="143" t="s">
        <v>292</v>
      </c>
      <c r="D150" s="158">
        <f>F150+G150+H150+J150</f>
        <v>242.5</v>
      </c>
      <c r="E150" s="127">
        <f>F150+G150</f>
        <v>242.5</v>
      </c>
      <c r="F150" s="158"/>
      <c r="G150" s="158">
        <v>242.5</v>
      </c>
      <c r="H150" s="128"/>
      <c r="I150" s="128">
        <f t="shared" si="55"/>
        <v>242.5</v>
      </c>
      <c r="J150" s="129"/>
      <c r="K150" s="129">
        <v>242.5</v>
      </c>
      <c r="L150" s="130">
        <f>K150*100/I150</f>
        <v>100</v>
      </c>
      <c r="M150" s="129">
        <f>K150*100/D150</f>
        <v>100</v>
      </c>
    </row>
    <row r="151" spans="1:13" ht="12.75">
      <c r="A151" s="125"/>
      <c r="B151" s="149"/>
      <c r="C151" s="150" t="s">
        <v>297</v>
      </c>
      <c r="D151" s="124">
        <f aca="true" t="shared" si="59" ref="D151:K151">D148+D138</f>
        <v>48396.3</v>
      </c>
      <c r="E151" s="124">
        <f t="shared" si="59"/>
        <v>23653.4</v>
      </c>
      <c r="F151" s="124">
        <f t="shared" si="59"/>
        <v>9072.4</v>
      </c>
      <c r="G151" s="124">
        <f t="shared" si="59"/>
        <v>14581</v>
      </c>
      <c r="H151" s="124">
        <f t="shared" si="59"/>
        <v>12104.900000000001</v>
      </c>
      <c r="I151" s="124">
        <f t="shared" si="59"/>
        <v>35758.3</v>
      </c>
      <c r="J151" s="124">
        <f t="shared" si="59"/>
        <v>11351.900000000001</v>
      </c>
      <c r="K151" s="124">
        <f t="shared" si="59"/>
        <v>41841</v>
      </c>
      <c r="L151" s="123">
        <f>K151*100/I151</f>
        <v>117.01059614131543</v>
      </c>
      <c r="M151" s="124">
        <f t="shared" si="57"/>
        <v>86.45495626731795</v>
      </c>
    </row>
    <row r="152" spans="1:13" ht="12.75">
      <c r="A152" s="225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151"/>
      <c r="M152" s="152"/>
    </row>
    <row r="153" spans="1:13" ht="12.75">
      <c r="A153" s="227" t="s">
        <v>308</v>
      </c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151"/>
      <c r="M153" s="152"/>
    </row>
    <row r="154" spans="1:13" ht="12.75">
      <c r="A154" s="121" t="s">
        <v>259</v>
      </c>
      <c r="B154" s="121"/>
      <c r="C154" s="122" t="s">
        <v>260</v>
      </c>
      <c r="D154" s="123">
        <f aca="true" t="shared" si="60" ref="D154:K154">D155+D156+D157+D158+D160+D161+D162+D159</f>
        <v>3962.8</v>
      </c>
      <c r="E154" s="123">
        <f t="shared" si="60"/>
        <v>2003</v>
      </c>
      <c r="F154" s="123">
        <f t="shared" si="60"/>
        <v>736</v>
      </c>
      <c r="G154" s="123">
        <f t="shared" si="60"/>
        <v>1267</v>
      </c>
      <c r="H154" s="123">
        <f t="shared" si="60"/>
        <v>996.5</v>
      </c>
      <c r="I154" s="123">
        <f t="shared" si="60"/>
        <v>2999.5</v>
      </c>
      <c r="J154" s="123">
        <f t="shared" si="60"/>
        <v>963.3</v>
      </c>
      <c r="K154" s="123">
        <f t="shared" si="60"/>
        <v>3977.5</v>
      </c>
      <c r="L154" s="123">
        <f>K154*100/I154</f>
        <v>132.60543423903985</v>
      </c>
      <c r="M154" s="124">
        <f t="shared" si="57"/>
        <v>100.37094983345109</v>
      </c>
    </row>
    <row r="155" spans="1:13" ht="12.75">
      <c r="A155" s="125" t="s">
        <v>261</v>
      </c>
      <c r="B155" s="125"/>
      <c r="C155" s="126" t="s">
        <v>262</v>
      </c>
      <c r="D155" s="158">
        <v>2940</v>
      </c>
      <c r="E155" s="127">
        <f aca="true" t="shared" si="61" ref="E155:E160">F155+G155</f>
        <v>1420</v>
      </c>
      <c r="F155" s="127">
        <v>550</v>
      </c>
      <c r="G155" s="127">
        <v>870</v>
      </c>
      <c r="H155" s="128">
        <v>750</v>
      </c>
      <c r="I155" s="128">
        <f>E155+H155</f>
        <v>2170</v>
      </c>
      <c r="J155" s="129">
        <v>770</v>
      </c>
      <c r="K155" s="129">
        <v>2917.4</v>
      </c>
      <c r="L155" s="130">
        <f>K155*100/I155</f>
        <v>134.44239631336404</v>
      </c>
      <c r="M155" s="129">
        <f t="shared" si="57"/>
        <v>99.2312925170068</v>
      </c>
    </row>
    <row r="156" spans="1:13" ht="12.75">
      <c r="A156" s="131" t="s">
        <v>267</v>
      </c>
      <c r="B156" s="131"/>
      <c r="C156" s="126" t="s">
        <v>268</v>
      </c>
      <c r="D156" s="158">
        <v>253</v>
      </c>
      <c r="E156" s="127">
        <f t="shared" si="61"/>
        <v>93</v>
      </c>
      <c r="F156" s="127">
        <v>46</v>
      </c>
      <c r="G156" s="127">
        <v>47</v>
      </c>
      <c r="H156" s="128">
        <v>66</v>
      </c>
      <c r="I156" s="128">
        <f aca="true" t="shared" si="62" ref="I156:I161">E156+H156</f>
        <v>159</v>
      </c>
      <c r="J156" s="129">
        <v>94</v>
      </c>
      <c r="K156" s="129">
        <v>272.9</v>
      </c>
      <c r="L156" s="130">
        <f aca="true" t="shared" si="63" ref="L156:L164">K156*100/I156</f>
        <v>171.63522012578613</v>
      </c>
      <c r="M156" s="129">
        <f t="shared" si="57"/>
        <v>107.86561264822133</v>
      </c>
    </row>
    <row r="157" spans="1:13" ht="12.75">
      <c r="A157" s="131" t="s">
        <v>269</v>
      </c>
      <c r="B157" s="131"/>
      <c r="C157" s="126" t="s">
        <v>270</v>
      </c>
      <c r="D157" s="158">
        <v>78</v>
      </c>
      <c r="E157" s="127">
        <f t="shared" si="61"/>
        <v>42</v>
      </c>
      <c r="F157" s="127">
        <v>8</v>
      </c>
      <c r="G157" s="127">
        <v>34</v>
      </c>
      <c r="H157" s="128">
        <v>13</v>
      </c>
      <c r="I157" s="128">
        <f t="shared" si="62"/>
        <v>55</v>
      </c>
      <c r="J157" s="129">
        <f>12+11</f>
        <v>23</v>
      </c>
      <c r="K157" s="129">
        <v>110.3</v>
      </c>
      <c r="L157" s="130">
        <f t="shared" si="63"/>
        <v>200.54545454545453</v>
      </c>
      <c r="M157" s="129">
        <f t="shared" si="57"/>
        <v>141.4102564102564</v>
      </c>
    </row>
    <row r="158" spans="1:13" ht="24">
      <c r="A158" s="132" t="s">
        <v>273</v>
      </c>
      <c r="B158" s="132"/>
      <c r="C158" s="126" t="s">
        <v>274</v>
      </c>
      <c r="D158" s="158">
        <v>537.8</v>
      </c>
      <c r="E158" s="127">
        <f t="shared" si="61"/>
        <v>348</v>
      </c>
      <c r="F158" s="127">
        <v>112</v>
      </c>
      <c r="G158" s="127">
        <v>236</v>
      </c>
      <c r="H158" s="128">
        <f>132</f>
        <v>132</v>
      </c>
      <c r="I158" s="128">
        <f t="shared" si="62"/>
        <v>480</v>
      </c>
      <c r="J158" s="129">
        <f>12+45.8</f>
        <v>57.8</v>
      </c>
      <c r="K158" s="129">
        <v>506.1</v>
      </c>
      <c r="L158" s="130">
        <f t="shared" si="63"/>
        <v>105.4375</v>
      </c>
      <c r="M158" s="129">
        <f t="shared" si="57"/>
        <v>94.10561547043511</v>
      </c>
    </row>
    <row r="159" spans="1:13" ht="24">
      <c r="A159" s="134" t="s">
        <v>277</v>
      </c>
      <c r="B159" s="134"/>
      <c r="C159" s="126" t="s">
        <v>278</v>
      </c>
      <c r="D159" s="158">
        <v>60</v>
      </c>
      <c r="E159" s="127">
        <f t="shared" si="61"/>
        <v>30</v>
      </c>
      <c r="F159" s="127">
        <v>15</v>
      </c>
      <c r="G159" s="127">
        <v>15</v>
      </c>
      <c r="H159" s="128">
        <v>15</v>
      </c>
      <c r="I159" s="128">
        <f t="shared" si="62"/>
        <v>45</v>
      </c>
      <c r="J159" s="129">
        <v>15</v>
      </c>
      <c r="K159" s="129">
        <v>75.4</v>
      </c>
      <c r="L159" s="130">
        <f t="shared" si="63"/>
        <v>167.55555555555557</v>
      </c>
      <c r="M159" s="129">
        <f t="shared" si="57"/>
        <v>125.66666666666669</v>
      </c>
    </row>
    <row r="160" spans="1:13" ht="24">
      <c r="A160" s="133" t="s">
        <v>279</v>
      </c>
      <c r="B160" s="133"/>
      <c r="C160" s="126" t="s">
        <v>280</v>
      </c>
      <c r="D160" s="158">
        <v>94</v>
      </c>
      <c r="E160" s="127">
        <f t="shared" si="61"/>
        <v>70</v>
      </c>
      <c r="F160" s="127">
        <v>5</v>
      </c>
      <c r="G160" s="127">
        <v>65</v>
      </c>
      <c r="H160" s="128">
        <f>5+15.5</f>
        <v>20.5</v>
      </c>
      <c r="I160" s="128">
        <f t="shared" si="62"/>
        <v>90.5</v>
      </c>
      <c r="J160" s="129">
        <v>3.5</v>
      </c>
      <c r="K160" s="129">
        <v>95.2</v>
      </c>
      <c r="L160" s="130">
        <f t="shared" si="63"/>
        <v>105.19337016574586</v>
      </c>
      <c r="M160" s="129">
        <f t="shared" si="57"/>
        <v>101.27659574468085</v>
      </c>
    </row>
    <row r="161" spans="1:13" ht="12.75">
      <c r="A161" s="125" t="s">
        <v>283</v>
      </c>
      <c r="B161" s="125"/>
      <c r="C161" s="126" t="s">
        <v>284</v>
      </c>
      <c r="D161" s="158">
        <f>F161+G161+H161+J161</f>
        <v>0</v>
      </c>
      <c r="E161" s="127">
        <f>F161</f>
        <v>0</v>
      </c>
      <c r="F161" s="127"/>
      <c r="G161" s="127"/>
      <c r="H161" s="128"/>
      <c r="I161" s="128">
        <f t="shared" si="62"/>
        <v>0</v>
      </c>
      <c r="J161" s="129"/>
      <c r="K161" s="129"/>
      <c r="L161" s="130" t="e">
        <f t="shared" si="63"/>
        <v>#DIV/0!</v>
      </c>
      <c r="M161" s="124" t="e">
        <f t="shared" si="57"/>
        <v>#DIV/0!</v>
      </c>
    </row>
    <row r="162" spans="1:13" ht="12.75">
      <c r="A162" s="161" t="s">
        <v>285</v>
      </c>
      <c r="B162" s="136"/>
      <c r="C162" s="137" t="s">
        <v>286</v>
      </c>
      <c r="D162" s="158"/>
      <c r="E162" s="127">
        <f>F162</f>
        <v>0</v>
      </c>
      <c r="F162" s="157"/>
      <c r="G162" s="157"/>
      <c r="H162" s="128"/>
      <c r="I162" s="128"/>
      <c r="J162" s="129"/>
      <c r="K162" s="129">
        <v>0.2</v>
      </c>
      <c r="L162" s="130"/>
      <c r="M162" s="124"/>
    </row>
    <row r="163" spans="1:13" ht="12.75">
      <c r="A163" s="121" t="s">
        <v>287</v>
      </c>
      <c r="B163" s="121"/>
      <c r="C163" s="138" t="s">
        <v>288</v>
      </c>
      <c r="D163" s="139">
        <f aca="true" t="shared" si="64" ref="D163:K163">D164+D165</f>
        <v>26016</v>
      </c>
      <c r="E163" s="174">
        <f t="shared" si="64"/>
        <v>12036.1</v>
      </c>
      <c r="F163" s="174">
        <f t="shared" si="64"/>
        <v>4920</v>
      </c>
      <c r="G163" s="174">
        <f t="shared" si="64"/>
        <v>7116.1</v>
      </c>
      <c r="H163" s="139">
        <f t="shared" si="64"/>
        <v>7070.1</v>
      </c>
      <c r="I163" s="139">
        <f t="shared" si="64"/>
        <v>19106.2</v>
      </c>
      <c r="J163" s="139">
        <f t="shared" si="64"/>
        <v>6021.6</v>
      </c>
      <c r="K163" s="139">
        <f t="shared" si="64"/>
        <v>23379.5</v>
      </c>
      <c r="L163" s="123">
        <f>K163*100/I163</f>
        <v>122.36603824936408</v>
      </c>
      <c r="M163" s="124">
        <f t="shared" si="57"/>
        <v>89.86585178351784</v>
      </c>
    </row>
    <row r="164" spans="1:13" ht="24">
      <c r="A164" s="141" t="s">
        <v>289</v>
      </c>
      <c r="B164" s="131"/>
      <c r="C164" s="142" t="s">
        <v>290</v>
      </c>
      <c r="D164" s="158">
        <v>25998</v>
      </c>
      <c r="E164" s="127">
        <f>F164+G164</f>
        <v>12018.1</v>
      </c>
      <c r="F164" s="127">
        <v>4920</v>
      </c>
      <c r="G164" s="127">
        <v>7098.1</v>
      </c>
      <c r="H164" s="128">
        <f>6655.3+219.6+195.2</f>
        <v>7070.1</v>
      </c>
      <c r="I164" s="128">
        <f>E164+H164</f>
        <v>19088.2</v>
      </c>
      <c r="J164" s="129">
        <f>4721+1300.6</f>
        <v>6021.6</v>
      </c>
      <c r="K164" s="129">
        <v>23361.5</v>
      </c>
      <c r="L164" s="130">
        <f t="shared" si="63"/>
        <v>122.38712922119424</v>
      </c>
      <c r="M164" s="129">
        <f t="shared" si="57"/>
        <v>89.8588352950227</v>
      </c>
    </row>
    <row r="165" spans="1:13" ht="12.75">
      <c r="A165" s="141" t="s">
        <v>291</v>
      </c>
      <c r="B165" s="141"/>
      <c r="C165" s="143" t="s">
        <v>292</v>
      </c>
      <c r="D165" s="158">
        <f>F165+G165+H165+J165</f>
        <v>18</v>
      </c>
      <c r="E165" s="127">
        <f>F165+G165</f>
        <v>18</v>
      </c>
      <c r="F165" s="144"/>
      <c r="G165" s="144">
        <v>18</v>
      </c>
      <c r="H165" s="128"/>
      <c r="I165" s="128">
        <f>E165+H165</f>
        <v>18</v>
      </c>
      <c r="J165" s="129"/>
      <c r="K165" s="129">
        <v>18</v>
      </c>
      <c r="L165" s="130">
        <f>K165*100/I165</f>
        <v>100</v>
      </c>
      <c r="M165" s="129">
        <f>K165*100/D165</f>
        <v>100</v>
      </c>
    </row>
    <row r="166" spans="1:13" ht="12.75">
      <c r="A166" s="125"/>
      <c r="B166" s="149"/>
      <c r="C166" s="150" t="s">
        <v>297</v>
      </c>
      <c r="D166" s="124">
        <f aca="true" t="shared" si="65" ref="D166:K166">D163+D154</f>
        <v>29978.8</v>
      </c>
      <c r="E166" s="124">
        <f t="shared" si="65"/>
        <v>14039.1</v>
      </c>
      <c r="F166" s="124">
        <f t="shared" si="65"/>
        <v>5656</v>
      </c>
      <c r="G166" s="124">
        <f t="shared" si="65"/>
        <v>8383.1</v>
      </c>
      <c r="H166" s="124">
        <f t="shared" si="65"/>
        <v>8066.6</v>
      </c>
      <c r="I166" s="124">
        <f t="shared" si="65"/>
        <v>22105.7</v>
      </c>
      <c r="J166" s="124">
        <f t="shared" si="65"/>
        <v>6984.900000000001</v>
      </c>
      <c r="K166" s="124">
        <f t="shared" si="65"/>
        <v>27357</v>
      </c>
      <c r="L166" s="123">
        <f>K166*100/I166</f>
        <v>123.7554115002013</v>
      </c>
      <c r="M166" s="124">
        <f t="shared" si="57"/>
        <v>91.25448650379602</v>
      </c>
    </row>
    <row r="167" spans="1:13" ht="12.75">
      <c r="A167" s="225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151"/>
      <c r="M167" s="152"/>
    </row>
    <row r="168" spans="1:13" ht="12.75">
      <c r="A168" s="227" t="s">
        <v>309</v>
      </c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151"/>
      <c r="M168" s="152"/>
    </row>
    <row r="169" spans="1:13" ht="12.75">
      <c r="A169" s="121" t="s">
        <v>259</v>
      </c>
      <c r="B169" s="121"/>
      <c r="C169" s="122" t="s">
        <v>260</v>
      </c>
      <c r="D169" s="123">
        <f aca="true" t="shared" si="66" ref="D169:K169">D170+D171+D172+D173+D174+D176+D178+D177+D175</f>
        <v>17474.1</v>
      </c>
      <c r="E169" s="123">
        <f t="shared" si="66"/>
        <v>7191</v>
      </c>
      <c r="F169" s="123">
        <f t="shared" si="66"/>
        <v>3017</v>
      </c>
      <c r="G169" s="123">
        <f t="shared" si="66"/>
        <v>4174</v>
      </c>
      <c r="H169" s="123">
        <f t="shared" si="66"/>
        <v>3948.6</v>
      </c>
      <c r="I169" s="123">
        <f t="shared" si="66"/>
        <v>11139.6</v>
      </c>
      <c r="J169" s="123">
        <f t="shared" si="66"/>
        <v>6334.5</v>
      </c>
      <c r="K169" s="123">
        <f t="shared" si="66"/>
        <v>15819</v>
      </c>
      <c r="L169" s="123">
        <f>K169*100/I169</f>
        <v>142.00689432295593</v>
      </c>
      <c r="M169" s="124">
        <f t="shared" si="57"/>
        <v>90.52826755026011</v>
      </c>
    </row>
    <row r="170" spans="1:13" ht="12.75">
      <c r="A170" s="125" t="s">
        <v>261</v>
      </c>
      <c r="B170" s="125"/>
      <c r="C170" s="126" t="s">
        <v>262</v>
      </c>
      <c r="D170" s="158">
        <v>13452.7</v>
      </c>
      <c r="E170" s="127">
        <f aca="true" t="shared" si="67" ref="E170:E180">F170+G170</f>
        <v>5839.7</v>
      </c>
      <c r="F170" s="158">
        <v>2600</v>
      </c>
      <c r="G170" s="158">
        <v>3239.7</v>
      </c>
      <c r="H170" s="128">
        <v>2473</v>
      </c>
      <c r="I170" s="128">
        <f>E170+H170</f>
        <v>8312.7</v>
      </c>
      <c r="J170" s="129">
        <f>5200-60</f>
        <v>5140</v>
      </c>
      <c r="K170" s="129">
        <v>11307.3</v>
      </c>
      <c r="L170" s="130">
        <f aca="true" t="shared" si="68" ref="L170:L181">K170*100/I170</f>
        <v>136.0243964055</v>
      </c>
      <c r="M170" s="129">
        <f t="shared" si="57"/>
        <v>84.05227203461016</v>
      </c>
    </row>
    <row r="171" spans="1:13" ht="12.75">
      <c r="A171" s="131" t="s">
        <v>265</v>
      </c>
      <c r="B171" s="131"/>
      <c r="C171" s="126" t="s">
        <v>266</v>
      </c>
      <c r="D171" s="158">
        <v>0.3</v>
      </c>
      <c r="E171" s="127">
        <f t="shared" si="67"/>
        <v>0.3</v>
      </c>
      <c r="F171" s="158"/>
      <c r="G171" s="158">
        <v>0.3</v>
      </c>
      <c r="H171" s="128"/>
      <c r="I171" s="128">
        <f aca="true" t="shared" si="69" ref="I171:I180">E171+H171</f>
        <v>0.3</v>
      </c>
      <c r="J171" s="129"/>
      <c r="K171" s="129">
        <v>0.3</v>
      </c>
      <c r="L171" s="130">
        <f t="shared" si="68"/>
        <v>100</v>
      </c>
      <c r="M171" s="129">
        <f t="shared" si="57"/>
        <v>100</v>
      </c>
    </row>
    <row r="172" spans="1:13" ht="12.75">
      <c r="A172" s="131" t="s">
        <v>267</v>
      </c>
      <c r="B172" s="131"/>
      <c r="C172" s="126" t="s">
        <v>268</v>
      </c>
      <c r="D172" s="158">
        <v>1909</v>
      </c>
      <c r="E172" s="127">
        <f t="shared" si="67"/>
        <v>523</v>
      </c>
      <c r="F172" s="158">
        <v>154</v>
      </c>
      <c r="G172" s="158">
        <v>369</v>
      </c>
      <c r="H172" s="128">
        <f>404+120</f>
        <v>524</v>
      </c>
      <c r="I172" s="128">
        <f t="shared" si="69"/>
        <v>1047</v>
      </c>
      <c r="J172" s="129">
        <v>862</v>
      </c>
      <c r="K172" s="129">
        <v>1940.5</v>
      </c>
      <c r="L172" s="130">
        <f t="shared" si="68"/>
        <v>185.33906399235912</v>
      </c>
      <c r="M172" s="129">
        <f t="shared" si="57"/>
        <v>101.65007857517024</v>
      </c>
    </row>
    <row r="173" spans="1:13" ht="12.75">
      <c r="A173" s="131" t="s">
        <v>269</v>
      </c>
      <c r="B173" s="131"/>
      <c r="C173" s="126" t="s">
        <v>270</v>
      </c>
      <c r="D173" s="158">
        <v>189</v>
      </c>
      <c r="E173" s="127">
        <f t="shared" si="67"/>
        <v>100</v>
      </c>
      <c r="F173" s="158">
        <v>50</v>
      </c>
      <c r="G173" s="158">
        <v>50</v>
      </c>
      <c r="H173" s="128">
        <v>40</v>
      </c>
      <c r="I173" s="128">
        <f t="shared" si="69"/>
        <v>140</v>
      </c>
      <c r="J173" s="129">
        <v>49</v>
      </c>
      <c r="K173" s="129">
        <v>184.5</v>
      </c>
      <c r="L173" s="130">
        <f t="shared" si="68"/>
        <v>131.78571428571428</v>
      </c>
      <c r="M173" s="129">
        <f t="shared" si="57"/>
        <v>97.61904761904762</v>
      </c>
    </row>
    <row r="174" spans="1:13" ht="24">
      <c r="A174" s="132" t="s">
        <v>273</v>
      </c>
      <c r="B174" s="132"/>
      <c r="C174" s="126" t="s">
        <v>274</v>
      </c>
      <c r="D174" s="158">
        <v>1222.5</v>
      </c>
      <c r="E174" s="127">
        <f t="shared" si="67"/>
        <v>540</v>
      </c>
      <c r="F174" s="158">
        <v>130</v>
      </c>
      <c r="G174" s="158">
        <v>410</v>
      </c>
      <c r="H174" s="128">
        <f>110+305</f>
        <v>415</v>
      </c>
      <c r="I174" s="128">
        <f t="shared" si="69"/>
        <v>955</v>
      </c>
      <c r="J174" s="129">
        <v>267.5</v>
      </c>
      <c r="K174" s="129">
        <v>1528.4</v>
      </c>
      <c r="L174" s="130">
        <f t="shared" si="68"/>
        <v>160.04188481675394</v>
      </c>
      <c r="M174" s="129">
        <f t="shared" si="57"/>
        <v>125.02249488752557</v>
      </c>
    </row>
    <row r="175" spans="1:13" ht="24">
      <c r="A175" s="134" t="s">
        <v>277</v>
      </c>
      <c r="B175" s="134"/>
      <c r="C175" s="126" t="s">
        <v>278</v>
      </c>
      <c r="D175" s="158">
        <v>90</v>
      </c>
      <c r="E175" s="127">
        <f t="shared" si="67"/>
        <v>80</v>
      </c>
      <c r="F175" s="158">
        <v>80</v>
      </c>
      <c r="G175" s="158"/>
      <c r="H175" s="128">
        <v>5</v>
      </c>
      <c r="I175" s="128">
        <f t="shared" si="69"/>
        <v>85</v>
      </c>
      <c r="J175" s="129">
        <v>5</v>
      </c>
      <c r="K175" s="129">
        <v>118.2</v>
      </c>
      <c r="L175" s="130">
        <f t="shared" si="68"/>
        <v>139.05882352941177</v>
      </c>
      <c r="M175" s="129">
        <f t="shared" si="57"/>
        <v>131.33333333333334</v>
      </c>
    </row>
    <row r="176" spans="1:13" ht="24">
      <c r="A176" s="134" t="s">
        <v>279</v>
      </c>
      <c r="B176" s="134"/>
      <c r="C176" s="126" t="s">
        <v>280</v>
      </c>
      <c r="D176" s="158">
        <v>187</v>
      </c>
      <c r="E176" s="127">
        <f t="shared" si="67"/>
        <v>108</v>
      </c>
      <c r="F176" s="158">
        <v>3</v>
      </c>
      <c r="G176" s="158">
        <v>105</v>
      </c>
      <c r="H176" s="128">
        <f>3+65</f>
        <v>68</v>
      </c>
      <c r="I176" s="128">
        <f t="shared" si="69"/>
        <v>176</v>
      </c>
      <c r="J176" s="129">
        <v>11</v>
      </c>
      <c r="K176" s="129">
        <v>316.2</v>
      </c>
      <c r="L176" s="130">
        <f t="shared" si="68"/>
        <v>179.6590909090909</v>
      </c>
      <c r="M176" s="129">
        <f t="shared" si="57"/>
        <v>169.0909090909091</v>
      </c>
    </row>
    <row r="177" spans="1:13" ht="12.75">
      <c r="A177" s="125" t="s">
        <v>283</v>
      </c>
      <c r="B177" s="125"/>
      <c r="C177" s="126" t="s">
        <v>284</v>
      </c>
      <c r="D177" s="158">
        <v>423.6</v>
      </c>
      <c r="E177" s="127">
        <f t="shared" si="67"/>
        <v>0</v>
      </c>
      <c r="F177" s="158"/>
      <c r="G177" s="158"/>
      <c r="H177" s="128">
        <v>423.6</v>
      </c>
      <c r="I177" s="128">
        <f t="shared" si="69"/>
        <v>423.6</v>
      </c>
      <c r="J177" s="129"/>
      <c r="K177" s="129">
        <v>423.6</v>
      </c>
      <c r="L177" s="130">
        <f t="shared" si="68"/>
        <v>100</v>
      </c>
      <c r="M177" s="129">
        <f t="shared" si="57"/>
        <v>100</v>
      </c>
    </row>
    <row r="178" spans="1:13" ht="12.75">
      <c r="A178" s="161" t="s">
        <v>285</v>
      </c>
      <c r="B178" s="136"/>
      <c r="C178" s="137" t="s">
        <v>286</v>
      </c>
      <c r="D178" s="158">
        <f>F178+G178+H178+J178</f>
        <v>0</v>
      </c>
      <c r="E178" s="127">
        <f t="shared" si="67"/>
        <v>0</v>
      </c>
      <c r="F178" s="173"/>
      <c r="G178" s="173"/>
      <c r="H178" s="128"/>
      <c r="I178" s="128">
        <f t="shared" si="69"/>
        <v>0</v>
      </c>
      <c r="J178" s="129"/>
      <c r="K178" s="129">
        <v>0</v>
      </c>
      <c r="L178" s="123"/>
      <c r="M178" s="124"/>
    </row>
    <row r="179" spans="1:13" ht="12.75">
      <c r="A179" s="121" t="s">
        <v>287</v>
      </c>
      <c r="B179" s="121"/>
      <c r="C179" s="138" t="s">
        <v>288</v>
      </c>
      <c r="D179" s="140">
        <f aca="true" t="shared" si="70" ref="D179:K179">D180</f>
        <v>49834.1</v>
      </c>
      <c r="E179" s="140">
        <f t="shared" si="70"/>
        <v>19685</v>
      </c>
      <c r="F179" s="140">
        <f t="shared" si="70"/>
        <v>8757.1</v>
      </c>
      <c r="G179" s="140">
        <f t="shared" si="70"/>
        <v>10927.9</v>
      </c>
      <c r="H179" s="140">
        <f t="shared" si="70"/>
        <v>7724.4</v>
      </c>
      <c r="I179" s="140">
        <f t="shared" si="70"/>
        <v>27409.4</v>
      </c>
      <c r="J179" s="140">
        <f t="shared" si="70"/>
        <v>8919.7</v>
      </c>
      <c r="K179" s="140">
        <f t="shared" si="70"/>
        <v>34784</v>
      </c>
      <c r="L179" s="123">
        <f t="shared" si="68"/>
        <v>126.9053682313367</v>
      </c>
      <c r="M179" s="124">
        <f t="shared" si="57"/>
        <v>69.79959505639712</v>
      </c>
    </row>
    <row r="180" spans="1:13" ht="24">
      <c r="A180" s="141" t="s">
        <v>289</v>
      </c>
      <c r="B180" s="131"/>
      <c r="C180" s="142" t="s">
        <v>290</v>
      </c>
      <c r="D180" s="158">
        <v>49834.1</v>
      </c>
      <c r="E180" s="127">
        <f t="shared" si="67"/>
        <v>19685</v>
      </c>
      <c r="F180" s="158">
        <v>8757.1</v>
      </c>
      <c r="G180" s="158">
        <v>10927.9</v>
      </c>
      <c r="H180" s="128">
        <f>7552.7+65.7+106</f>
        <v>7724.4</v>
      </c>
      <c r="I180" s="128">
        <f t="shared" si="69"/>
        <v>27409.4</v>
      </c>
      <c r="J180" s="129">
        <f>7552.7+1367</f>
        <v>8919.7</v>
      </c>
      <c r="K180" s="129">
        <v>34784</v>
      </c>
      <c r="L180" s="130">
        <f t="shared" si="68"/>
        <v>126.9053682313367</v>
      </c>
      <c r="M180" s="129">
        <f t="shared" si="57"/>
        <v>69.79959505639712</v>
      </c>
    </row>
    <row r="181" spans="1:13" ht="12.75">
      <c r="A181" s="125"/>
      <c r="B181" s="149"/>
      <c r="C181" s="150" t="s">
        <v>297</v>
      </c>
      <c r="D181" s="124">
        <f aca="true" t="shared" si="71" ref="D181:K181">D179+D169</f>
        <v>67308.2</v>
      </c>
      <c r="E181" s="124">
        <f t="shared" si="71"/>
        <v>26876</v>
      </c>
      <c r="F181" s="124">
        <f t="shared" si="71"/>
        <v>11774.1</v>
      </c>
      <c r="G181" s="124">
        <f t="shared" si="71"/>
        <v>15101.9</v>
      </c>
      <c r="H181" s="124">
        <f t="shared" si="71"/>
        <v>11673</v>
      </c>
      <c r="I181" s="124">
        <f t="shared" si="71"/>
        <v>38549</v>
      </c>
      <c r="J181" s="124">
        <f t="shared" si="71"/>
        <v>15254.2</v>
      </c>
      <c r="K181" s="124">
        <f t="shared" si="71"/>
        <v>50603</v>
      </c>
      <c r="L181" s="123">
        <f t="shared" si="68"/>
        <v>131.2692936262938</v>
      </c>
      <c r="M181" s="124">
        <f t="shared" si="57"/>
        <v>75.18103292020884</v>
      </c>
    </row>
    <row r="182" spans="1:13" ht="12.75">
      <c r="A182" s="225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151"/>
      <c r="M182" s="152"/>
    </row>
    <row r="183" spans="1:13" ht="12.75">
      <c r="A183" s="227" t="s">
        <v>310</v>
      </c>
      <c r="B183" s="227"/>
      <c r="C183" s="227"/>
      <c r="D183" s="227"/>
      <c r="E183" s="227"/>
      <c r="F183" s="227"/>
      <c r="G183" s="227"/>
      <c r="H183" s="227"/>
      <c r="I183" s="227"/>
      <c r="J183" s="227"/>
      <c r="K183" s="227"/>
      <c r="L183" s="151"/>
      <c r="M183" s="152"/>
    </row>
    <row r="184" spans="1:13" ht="12.75">
      <c r="A184" s="121" t="s">
        <v>259</v>
      </c>
      <c r="B184" s="121"/>
      <c r="C184" s="122" t="s">
        <v>260</v>
      </c>
      <c r="D184" s="123">
        <f aca="true" t="shared" si="72" ref="D184:K184">D185+D187+D189+D190+D188+D191+D192+D186</f>
        <v>1693.5</v>
      </c>
      <c r="E184" s="123">
        <f t="shared" si="72"/>
        <v>588</v>
      </c>
      <c r="F184" s="123">
        <f t="shared" si="72"/>
        <v>169</v>
      </c>
      <c r="G184" s="123">
        <f t="shared" si="72"/>
        <v>419</v>
      </c>
      <c r="H184" s="123">
        <f t="shared" si="72"/>
        <v>443</v>
      </c>
      <c r="I184" s="123">
        <f t="shared" si="72"/>
        <v>1031</v>
      </c>
      <c r="J184" s="123">
        <f t="shared" si="72"/>
        <v>662.5</v>
      </c>
      <c r="K184" s="123">
        <f t="shared" si="72"/>
        <v>1213.1999999999996</v>
      </c>
      <c r="L184" s="123">
        <f>K184*100/I184</f>
        <v>117.67216294859355</v>
      </c>
      <c r="M184" s="124">
        <f t="shared" si="57"/>
        <v>71.63861824623558</v>
      </c>
    </row>
    <row r="185" spans="1:13" ht="12.75">
      <c r="A185" s="125" t="s">
        <v>261</v>
      </c>
      <c r="B185" s="125"/>
      <c r="C185" s="126" t="s">
        <v>262</v>
      </c>
      <c r="D185" s="158">
        <v>1155</v>
      </c>
      <c r="E185" s="127">
        <f aca="true" t="shared" si="73" ref="E185:E194">F185+G185</f>
        <v>420</v>
      </c>
      <c r="F185" s="158">
        <v>120</v>
      </c>
      <c r="G185" s="158">
        <v>300</v>
      </c>
      <c r="H185" s="128">
        <v>270</v>
      </c>
      <c r="I185" s="128">
        <f>E185+H185</f>
        <v>690</v>
      </c>
      <c r="J185" s="128">
        <v>465</v>
      </c>
      <c r="K185" s="129">
        <v>869.4</v>
      </c>
      <c r="L185" s="130">
        <f aca="true" t="shared" si="74" ref="L185:L195">K185*100/I185</f>
        <v>126</v>
      </c>
      <c r="M185" s="129">
        <f t="shared" si="57"/>
        <v>75.27272727272727</v>
      </c>
    </row>
    <row r="186" spans="1:13" ht="36">
      <c r="A186" s="131" t="s">
        <v>265</v>
      </c>
      <c r="B186" s="176" t="s">
        <v>311</v>
      </c>
      <c r="C186" s="126" t="s">
        <v>266</v>
      </c>
      <c r="D186" s="158">
        <v>7.1</v>
      </c>
      <c r="E186" s="127">
        <f t="shared" si="73"/>
        <v>7.1</v>
      </c>
      <c r="F186" s="158">
        <v>16</v>
      </c>
      <c r="G186" s="158">
        <v>-8.9</v>
      </c>
      <c r="H186" s="128"/>
      <c r="I186" s="128">
        <f aca="true" t="shared" si="75" ref="I186:I191">E186+H186</f>
        <v>7.1</v>
      </c>
      <c r="J186" s="128"/>
      <c r="K186" s="129">
        <v>7.1</v>
      </c>
      <c r="L186" s="130">
        <f t="shared" si="74"/>
        <v>100</v>
      </c>
      <c r="M186" s="129">
        <f t="shared" si="57"/>
        <v>100</v>
      </c>
    </row>
    <row r="187" spans="1:13" ht="12.75">
      <c r="A187" s="131" t="s">
        <v>267</v>
      </c>
      <c r="B187" s="131"/>
      <c r="C187" s="126" t="s">
        <v>268</v>
      </c>
      <c r="D187" s="158">
        <v>106</v>
      </c>
      <c r="E187" s="127">
        <f t="shared" si="73"/>
        <v>14</v>
      </c>
      <c r="F187" s="158">
        <v>6.5</v>
      </c>
      <c r="G187" s="158">
        <v>7.5</v>
      </c>
      <c r="H187" s="128">
        <v>46</v>
      </c>
      <c r="I187" s="128">
        <f t="shared" si="75"/>
        <v>60</v>
      </c>
      <c r="J187" s="128">
        <v>46</v>
      </c>
      <c r="K187" s="129">
        <v>81.7</v>
      </c>
      <c r="L187" s="130">
        <f t="shared" si="74"/>
        <v>136.16666666666666</v>
      </c>
      <c r="M187" s="129">
        <f t="shared" si="57"/>
        <v>77.0754716981132</v>
      </c>
    </row>
    <row r="188" spans="1:13" ht="12.75">
      <c r="A188" s="131" t="s">
        <v>269</v>
      </c>
      <c r="B188" s="131"/>
      <c r="C188" s="126" t="s">
        <v>270</v>
      </c>
      <c r="D188" s="158">
        <v>28</v>
      </c>
      <c r="E188" s="127">
        <f t="shared" si="73"/>
        <v>9</v>
      </c>
      <c r="F188" s="158">
        <v>3</v>
      </c>
      <c r="G188" s="158">
        <v>6</v>
      </c>
      <c r="H188" s="128">
        <v>7</v>
      </c>
      <c r="I188" s="128">
        <f t="shared" si="75"/>
        <v>16</v>
      </c>
      <c r="J188" s="128">
        <v>12</v>
      </c>
      <c r="K188" s="129">
        <v>33.6</v>
      </c>
      <c r="L188" s="130">
        <f t="shared" si="74"/>
        <v>210</v>
      </c>
      <c r="M188" s="129">
        <f t="shared" si="57"/>
        <v>120</v>
      </c>
    </row>
    <row r="189" spans="1:13" ht="24">
      <c r="A189" s="132" t="s">
        <v>273</v>
      </c>
      <c r="B189" s="132"/>
      <c r="C189" s="126" t="s">
        <v>274</v>
      </c>
      <c r="D189" s="158">
        <v>386.4</v>
      </c>
      <c r="E189" s="127">
        <f t="shared" si="73"/>
        <v>127.9</v>
      </c>
      <c r="F189" s="158">
        <v>23.5</v>
      </c>
      <c r="G189" s="158">
        <v>104.4</v>
      </c>
      <c r="H189" s="128">
        <v>119</v>
      </c>
      <c r="I189" s="128">
        <f t="shared" si="75"/>
        <v>246.9</v>
      </c>
      <c r="J189" s="128">
        <v>139.5</v>
      </c>
      <c r="K189" s="129">
        <v>210</v>
      </c>
      <c r="L189" s="130">
        <f t="shared" si="74"/>
        <v>85.0546780072904</v>
      </c>
      <c r="M189" s="129">
        <f t="shared" si="57"/>
        <v>54.34782608695652</v>
      </c>
    </row>
    <row r="190" spans="1:13" ht="24">
      <c r="A190" s="133" t="s">
        <v>279</v>
      </c>
      <c r="B190" s="133"/>
      <c r="C190" s="126" t="s">
        <v>280</v>
      </c>
      <c r="D190" s="158">
        <v>1</v>
      </c>
      <c r="E190" s="127">
        <f t="shared" si="73"/>
        <v>0</v>
      </c>
      <c r="F190" s="158"/>
      <c r="G190" s="158"/>
      <c r="H190" s="128">
        <v>1</v>
      </c>
      <c r="I190" s="128">
        <f t="shared" si="75"/>
        <v>1</v>
      </c>
      <c r="J190" s="128"/>
      <c r="K190" s="129">
        <v>0.6</v>
      </c>
      <c r="L190" s="130">
        <f t="shared" si="74"/>
        <v>60</v>
      </c>
      <c r="M190" s="129">
        <f t="shared" si="57"/>
        <v>60</v>
      </c>
    </row>
    <row r="191" spans="1:13" ht="12.75">
      <c r="A191" s="133" t="s">
        <v>283</v>
      </c>
      <c r="B191" s="175"/>
      <c r="C191" s="126" t="s">
        <v>284</v>
      </c>
      <c r="D191" s="158">
        <v>10</v>
      </c>
      <c r="E191" s="127">
        <f t="shared" si="73"/>
        <v>10</v>
      </c>
      <c r="F191" s="158"/>
      <c r="G191" s="158">
        <v>10</v>
      </c>
      <c r="H191" s="128"/>
      <c r="I191" s="128">
        <f t="shared" si="75"/>
        <v>10</v>
      </c>
      <c r="J191" s="128"/>
      <c r="K191" s="129">
        <v>10</v>
      </c>
      <c r="L191" s="130">
        <f t="shared" si="74"/>
        <v>100</v>
      </c>
      <c r="M191" s="129">
        <f>K191*100/D191</f>
        <v>100</v>
      </c>
    </row>
    <row r="192" spans="1:13" ht="12.75">
      <c r="A192" s="161" t="s">
        <v>285</v>
      </c>
      <c r="B192" s="136"/>
      <c r="C192" s="137" t="s">
        <v>286</v>
      </c>
      <c r="D192" s="158">
        <f>F192+G192+H192+J192</f>
        <v>0</v>
      </c>
      <c r="E192" s="127">
        <f t="shared" si="73"/>
        <v>0</v>
      </c>
      <c r="F192" s="158"/>
      <c r="G192" s="158"/>
      <c r="H192" s="128"/>
      <c r="I192" s="128"/>
      <c r="J192" s="128"/>
      <c r="K192" s="129">
        <v>0.8</v>
      </c>
      <c r="L192" s="130"/>
      <c r="M192" s="129"/>
    </row>
    <row r="193" spans="1:13" ht="12.75">
      <c r="A193" s="121" t="s">
        <v>287</v>
      </c>
      <c r="B193" s="121"/>
      <c r="C193" s="138" t="s">
        <v>288</v>
      </c>
      <c r="D193" s="139">
        <f aca="true" t="shared" si="76" ref="D193:K193">D194</f>
        <v>26217.8</v>
      </c>
      <c r="E193" s="139">
        <f t="shared" si="76"/>
        <v>11263.5</v>
      </c>
      <c r="F193" s="139">
        <f t="shared" si="76"/>
        <v>5288.7</v>
      </c>
      <c r="G193" s="139">
        <f t="shared" si="76"/>
        <v>5974.799999999999</v>
      </c>
      <c r="H193" s="139">
        <f t="shared" si="76"/>
        <v>8709.1</v>
      </c>
      <c r="I193" s="139">
        <f t="shared" si="76"/>
        <v>19972.6</v>
      </c>
      <c r="J193" s="139">
        <f t="shared" si="76"/>
        <v>5066.7</v>
      </c>
      <c r="K193" s="139">
        <f t="shared" si="76"/>
        <v>22653.1</v>
      </c>
      <c r="L193" s="123">
        <f t="shared" si="74"/>
        <v>113.4208866146621</v>
      </c>
      <c r="M193" s="124">
        <f t="shared" si="57"/>
        <v>86.40351211772155</v>
      </c>
    </row>
    <row r="194" spans="1:13" ht="24">
      <c r="A194" s="141" t="s">
        <v>289</v>
      </c>
      <c r="B194" s="131"/>
      <c r="C194" s="142" t="s">
        <v>290</v>
      </c>
      <c r="D194" s="158">
        <v>26217.8</v>
      </c>
      <c r="E194" s="127">
        <f t="shared" si="73"/>
        <v>11263.5</v>
      </c>
      <c r="F194" s="158">
        <f>4207+1081.7</f>
        <v>5288.7</v>
      </c>
      <c r="G194" s="158">
        <f>5569+3.5+197.9+204.4</f>
        <v>5974.799999999999</v>
      </c>
      <c r="H194" s="128">
        <f>6714.1+1942.4+52.6</f>
        <v>8709.1</v>
      </c>
      <c r="I194" s="128">
        <f>E194+H194</f>
        <v>19972.6</v>
      </c>
      <c r="J194" s="128">
        <f>4801.2+265.5</f>
        <v>5066.7</v>
      </c>
      <c r="K194" s="129">
        <v>22653.1</v>
      </c>
      <c r="L194" s="130">
        <f t="shared" si="74"/>
        <v>113.4208866146621</v>
      </c>
      <c r="M194" s="129">
        <f t="shared" si="57"/>
        <v>86.40351211772155</v>
      </c>
    </row>
    <row r="195" spans="1:13" ht="12.75">
      <c r="A195" s="125"/>
      <c r="B195" s="149"/>
      <c r="C195" s="150" t="s">
        <v>297</v>
      </c>
      <c r="D195" s="124">
        <f aca="true" t="shared" si="77" ref="D195:K195">D193+D184</f>
        <v>27911.3</v>
      </c>
      <c r="E195" s="124">
        <f t="shared" si="77"/>
        <v>11851.5</v>
      </c>
      <c r="F195" s="140">
        <f t="shared" si="77"/>
        <v>5457.7</v>
      </c>
      <c r="G195" s="140">
        <f t="shared" si="77"/>
        <v>6393.799999999999</v>
      </c>
      <c r="H195" s="140">
        <f t="shared" si="77"/>
        <v>9152.1</v>
      </c>
      <c r="I195" s="140">
        <f t="shared" si="77"/>
        <v>21003.6</v>
      </c>
      <c r="J195" s="140">
        <f t="shared" si="77"/>
        <v>5729.2</v>
      </c>
      <c r="K195" s="124">
        <f t="shared" si="77"/>
        <v>23866.3</v>
      </c>
      <c r="L195" s="123">
        <f t="shared" si="74"/>
        <v>113.629568264488</v>
      </c>
      <c r="M195" s="124">
        <f t="shared" si="57"/>
        <v>85.50766177139725</v>
      </c>
    </row>
    <row r="196" spans="1:13" ht="12.75">
      <c r="A196" s="225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151"/>
      <c r="M196" s="152"/>
    </row>
    <row r="197" spans="1:13" ht="12.75">
      <c r="A197" s="231" t="s">
        <v>312</v>
      </c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3"/>
    </row>
    <row r="198" spans="1:13" ht="12.75">
      <c r="A198" s="121" t="s">
        <v>259</v>
      </c>
      <c r="B198" s="177"/>
      <c r="C198" s="122" t="s">
        <v>260</v>
      </c>
      <c r="D198" s="123">
        <f>D199+D200+D201+D202+D203+D205+D206+D207+D208+D209+D210+D211</f>
        <v>1045640.3000000002</v>
      </c>
      <c r="E198" s="123">
        <f aca="true" t="shared" si="78" ref="E198:L198">E199+E201+E202+E203+E205+E206+E208+E210+E207+E204+E211+E209+E200</f>
        <v>502082.9</v>
      </c>
      <c r="F198" s="123">
        <f t="shared" si="78"/>
        <v>239675.40000000002</v>
      </c>
      <c r="G198" s="123">
        <f t="shared" si="78"/>
        <v>262407.5</v>
      </c>
      <c r="H198" s="123">
        <f t="shared" si="78"/>
        <v>256444.50000000003</v>
      </c>
      <c r="I198" s="123">
        <f t="shared" si="78"/>
        <v>758527.4</v>
      </c>
      <c r="J198" s="123">
        <f t="shared" si="78"/>
        <v>280553.99999999994</v>
      </c>
      <c r="K198" s="123">
        <f>K199+K200+K201+K202+K203+K205+K206+K207+K208+K209+K210+K211</f>
        <v>939842.0000000002</v>
      </c>
      <c r="L198" s="123" t="e">
        <f t="shared" si="78"/>
        <v>#DIV/0!</v>
      </c>
      <c r="M198" s="124">
        <f t="shared" si="57"/>
        <v>89.88196036438153</v>
      </c>
    </row>
    <row r="199" spans="1:13" ht="36">
      <c r="A199" s="125" t="s">
        <v>261</v>
      </c>
      <c r="B199" s="178" t="s">
        <v>313</v>
      </c>
      <c r="C199" s="126" t="s">
        <v>262</v>
      </c>
      <c r="D199" s="158">
        <f>D9+D31+D45+D61+D77+D94+D109+D124+D139+D155+D170+D185</f>
        <v>792271</v>
      </c>
      <c r="E199" s="127">
        <f aca="true" t="shared" si="79" ref="E199:E215">F199+G199</f>
        <v>382277.80000000005</v>
      </c>
      <c r="F199" s="129">
        <f>F9+F31+F45+F61+F77+F94+F109+F124+F139+F155+F170+F185</f>
        <v>180524.7</v>
      </c>
      <c r="G199" s="129">
        <f>G9+G31+G45+G61+G77+G94+G109+G124+G139+G155+G170+G185</f>
        <v>201753.1</v>
      </c>
      <c r="H199" s="129">
        <f>H9+H31+H45+H61+H77+H94+H109+H124+H139+H155+H170+H185</f>
        <v>185105.90000000002</v>
      </c>
      <c r="I199" s="129">
        <f>H199+E199</f>
        <v>567383.7000000001</v>
      </c>
      <c r="J199" s="129">
        <f>J9+J31+J45+J61+J77+J94+J109+J124+J139+J155+J170+J185</f>
        <v>224617</v>
      </c>
      <c r="K199" s="158">
        <f>K9+K31+K45+K61+K77+K94+K109+K124+K139+K155+K170+K185+0.1</f>
        <v>683009.4000000001</v>
      </c>
      <c r="L199" s="130">
        <f aca="true" t="shared" si="80" ref="L199:L216">K199*100/I199</f>
        <v>120.37874898415306</v>
      </c>
      <c r="M199" s="129">
        <f t="shared" si="57"/>
        <v>86.20906230317658</v>
      </c>
    </row>
    <row r="200" spans="1:13" ht="12.75">
      <c r="A200" s="131" t="s">
        <v>263</v>
      </c>
      <c r="B200" s="131"/>
      <c r="C200" s="126" t="s">
        <v>264</v>
      </c>
      <c r="D200" s="129">
        <f>D10</f>
        <v>33402</v>
      </c>
      <c r="E200" s="127">
        <f t="shared" si="79"/>
        <v>18807.4</v>
      </c>
      <c r="F200" s="129">
        <f>F10</f>
        <v>8828.2</v>
      </c>
      <c r="G200" s="129">
        <f>G10</f>
        <v>9979.2</v>
      </c>
      <c r="H200" s="129">
        <f>H10</f>
        <v>7979.200000000001</v>
      </c>
      <c r="I200" s="129">
        <f aca="true" t="shared" si="81" ref="I200:I211">H200+E200</f>
        <v>26786.600000000002</v>
      </c>
      <c r="J200" s="129">
        <f>J10</f>
        <v>8703.8</v>
      </c>
      <c r="K200" s="129">
        <f>K10</f>
        <v>29716.5</v>
      </c>
      <c r="L200" s="130">
        <f t="shared" si="80"/>
        <v>110.93793165239335</v>
      </c>
      <c r="M200" s="129">
        <f t="shared" si="57"/>
        <v>88.96622956709179</v>
      </c>
    </row>
    <row r="201" spans="1:13" ht="36">
      <c r="A201" s="131" t="s">
        <v>265</v>
      </c>
      <c r="B201" s="176" t="s">
        <v>311</v>
      </c>
      <c r="C201" s="126" t="s">
        <v>266</v>
      </c>
      <c r="D201" s="158">
        <f>D11+D46+D62+D95+D140+D171+D186</f>
        <v>32400.299999999996</v>
      </c>
      <c r="E201" s="127">
        <f t="shared" si="79"/>
        <v>17059.299999999996</v>
      </c>
      <c r="F201" s="129">
        <f>F11+F46+F62+F186+F140+F110+F171</f>
        <v>8556</v>
      </c>
      <c r="G201" s="129">
        <f>G11+G46+G62+G186+G140+G110+G171</f>
        <v>8503.299999999997</v>
      </c>
      <c r="H201" s="129">
        <f>H11+H46+H62+H186+H140+H110+H171</f>
        <v>8549.8</v>
      </c>
      <c r="I201" s="129">
        <f t="shared" si="81"/>
        <v>25609.099999999995</v>
      </c>
      <c r="J201" s="129">
        <f>J11+J46+J62+J186+J140+J110+J171</f>
        <v>8654.399999999998</v>
      </c>
      <c r="K201" s="158">
        <f>K11+K46+K62+K95+K140+K171+K186-0.1</f>
        <v>31394.499999999996</v>
      </c>
      <c r="L201" s="130">
        <f t="shared" si="80"/>
        <v>122.59118828853806</v>
      </c>
      <c r="M201" s="129">
        <f t="shared" si="57"/>
        <v>96.89570775579239</v>
      </c>
    </row>
    <row r="202" spans="1:13" ht="36">
      <c r="A202" s="131" t="s">
        <v>267</v>
      </c>
      <c r="B202" s="176" t="s">
        <v>314</v>
      </c>
      <c r="C202" s="126" t="s">
        <v>268</v>
      </c>
      <c r="D202" s="158">
        <f>D12+D32+D47+D63+D79+D96+D111+D125+D141+D156+D172+D187</f>
        <v>18742.3</v>
      </c>
      <c r="E202" s="127">
        <f t="shared" si="79"/>
        <v>7934.400000000001</v>
      </c>
      <c r="F202" s="129">
        <f>F12+F32+F47+F63+F79+F96+F111+F125+F141+F156+F172+F187</f>
        <v>3849.9000000000005</v>
      </c>
      <c r="G202" s="129">
        <f>G12+G32+G47+G63+G79+G96+G111+G125+G141+G156+G172+G187+0.1</f>
        <v>4084.5</v>
      </c>
      <c r="H202" s="129">
        <f>H12+H32+H47+H63+H79+H96+H111+H125+H141+H156+H172+H187</f>
        <v>4495.200000000001</v>
      </c>
      <c r="I202" s="129">
        <f t="shared" si="81"/>
        <v>12429.600000000002</v>
      </c>
      <c r="J202" s="129">
        <f>J12+J32+J47+J63+J79+J96+J111+J125+J141+J156+J172+J187-0.1</f>
        <v>5625.399999999999</v>
      </c>
      <c r="K202" s="158">
        <f>K12+K32+K47+K63+K79+K96+K111+K125+K141+K156+K172+K187-0.1</f>
        <v>15675.100000000002</v>
      </c>
      <c r="L202" s="130">
        <f t="shared" si="80"/>
        <v>126.11105747570316</v>
      </c>
      <c r="M202" s="129">
        <f t="shared" si="57"/>
        <v>83.6348793904697</v>
      </c>
    </row>
    <row r="203" spans="1:13" ht="36">
      <c r="A203" s="131" t="s">
        <v>269</v>
      </c>
      <c r="B203" s="176" t="s">
        <v>315</v>
      </c>
      <c r="C203" s="126" t="s">
        <v>270</v>
      </c>
      <c r="D203" s="158">
        <f>D13+D33+D64+D97+D112+D126+D142+D157+D173+D188</f>
        <v>4128.4</v>
      </c>
      <c r="E203" s="127">
        <f t="shared" si="79"/>
        <v>1931.2000000000003</v>
      </c>
      <c r="F203" s="129">
        <f>F13+F33+F64+F80+F97+F112+F126+F142+F157+F173+F188</f>
        <v>849.8000000000001</v>
      </c>
      <c r="G203" s="129">
        <f>G13+G33+G64+G80+G97+G112+G126+G142+G157+G173+G188</f>
        <v>1081.4</v>
      </c>
      <c r="H203" s="129">
        <f>H13+H33+H64+H80+H97+H112+H126+H142+H157+H173+H188</f>
        <v>1062.2</v>
      </c>
      <c r="I203" s="129">
        <f t="shared" si="81"/>
        <v>2993.4000000000005</v>
      </c>
      <c r="J203" s="129">
        <f>J13+J33+J64+J80+J97+J112+J126+J142+J157+J173+J188</f>
        <v>659.5999999999999</v>
      </c>
      <c r="K203" s="158">
        <f>K13+K33+K64+K97+K112+K126+K142+K157+K173+K188-0.1</f>
        <v>4471.400000000001</v>
      </c>
      <c r="L203" s="130">
        <f t="shared" si="80"/>
        <v>149.37529230974812</v>
      </c>
      <c r="M203" s="129">
        <f t="shared" si="57"/>
        <v>108.30830345896717</v>
      </c>
    </row>
    <row r="204" spans="1:13" ht="24">
      <c r="A204" s="131" t="s">
        <v>271</v>
      </c>
      <c r="B204" s="176" t="s">
        <v>316</v>
      </c>
      <c r="C204" s="126" t="s">
        <v>272</v>
      </c>
      <c r="D204" s="158">
        <f>F204+G204+H204+J204</f>
        <v>0</v>
      </c>
      <c r="E204" s="127">
        <f t="shared" si="79"/>
        <v>0</v>
      </c>
      <c r="F204" s="179">
        <f>F14</f>
        <v>0</v>
      </c>
      <c r="G204" s="179">
        <f>G14</f>
        <v>0</v>
      </c>
      <c r="H204" s="179">
        <f>H14</f>
        <v>0</v>
      </c>
      <c r="I204" s="129">
        <f t="shared" si="81"/>
        <v>0</v>
      </c>
      <c r="J204" s="179">
        <f>J14</f>
        <v>0</v>
      </c>
      <c r="K204" s="158">
        <f>#REF!+#REF!+#REF!+L204</f>
        <v>0</v>
      </c>
      <c r="L204" s="130" t="e">
        <f t="shared" si="80"/>
        <v>#DIV/0!</v>
      </c>
      <c r="M204" s="129"/>
    </row>
    <row r="205" spans="1:13" ht="36">
      <c r="A205" s="132" t="s">
        <v>273</v>
      </c>
      <c r="B205" s="180" t="s">
        <v>317</v>
      </c>
      <c r="C205" s="126" t="s">
        <v>274</v>
      </c>
      <c r="D205" s="158">
        <f>D15+D34+D49+D65+D81+D98+D113+D127+D143+D158+D174+D189</f>
        <v>100505.4</v>
      </c>
      <c r="E205" s="127">
        <f t="shared" si="79"/>
        <v>42191.600000000006</v>
      </c>
      <c r="F205" s="129">
        <f>F15+F34+F49+F65+F81+F98+F113+F127+F143+F158+F174+F189</f>
        <v>19825.5</v>
      </c>
      <c r="G205" s="129">
        <f>G15+G34+G49+G65+G81+G98+G113+G127+G143+G158+G174+G189</f>
        <v>22366.100000000002</v>
      </c>
      <c r="H205" s="129">
        <f>H15+H34+H49+H65+H81+H98+H113+H127+H143+H158+H174+H189</f>
        <v>27861.5</v>
      </c>
      <c r="I205" s="129">
        <f t="shared" si="81"/>
        <v>70053.1</v>
      </c>
      <c r="J205" s="129">
        <f>J15+J34+J49+J65+J81+J98+J113+J127+J143+J158+J174+J189</f>
        <v>23204.599999999995</v>
      </c>
      <c r="K205" s="158">
        <f>K15+K34+K49+K65+K81+K98+K113+K127+K143+K158+K174+K189-0.1</f>
        <v>109493.5</v>
      </c>
      <c r="L205" s="130">
        <f t="shared" si="80"/>
        <v>156.30072045348456</v>
      </c>
      <c r="M205" s="129">
        <f aca="true" t="shared" si="82" ref="M205:M216">K205*100/D205</f>
        <v>108.94290257040916</v>
      </c>
    </row>
    <row r="206" spans="1:13" ht="12.75">
      <c r="A206" s="133" t="s">
        <v>275</v>
      </c>
      <c r="B206" s="181" t="s">
        <v>318</v>
      </c>
      <c r="C206" s="126" t="s">
        <v>276</v>
      </c>
      <c r="D206" s="129">
        <f>D16</f>
        <v>15797.6</v>
      </c>
      <c r="E206" s="127">
        <f t="shared" si="79"/>
        <v>12316.6</v>
      </c>
      <c r="F206" s="129">
        <f>F16</f>
        <v>10236.2</v>
      </c>
      <c r="G206" s="129">
        <f>G16</f>
        <v>2080.4</v>
      </c>
      <c r="H206" s="129">
        <f>H16</f>
        <v>2080.4</v>
      </c>
      <c r="I206" s="129">
        <f t="shared" si="81"/>
        <v>14397</v>
      </c>
      <c r="J206" s="129">
        <f>J16</f>
        <v>2082</v>
      </c>
      <c r="K206" s="129">
        <f>K16</f>
        <v>15706.1</v>
      </c>
      <c r="L206" s="130">
        <f t="shared" si="80"/>
        <v>109.09286656942419</v>
      </c>
      <c r="M206" s="129">
        <f t="shared" si="82"/>
        <v>99.4207980959133</v>
      </c>
    </row>
    <row r="207" spans="1:13" ht="24">
      <c r="A207" s="134" t="s">
        <v>277</v>
      </c>
      <c r="B207" s="182" t="s">
        <v>319</v>
      </c>
      <c r="C207" s="126" t="s">
        <v>278</v>
      </c>
      <c r="D207" s="158">
        <f>D17+D35+D82+D99+D114+D128+D159+D175</f>
        <v>12390.5</v>
      </c>
      <c r="E207" s="127">
        <f t="shared" si="79"/>
        <v>5379.599999999999</v>
      </c>
      <c r="F207" s="183">
        <f>F17+F82+F99+F128+F144+F159+F175+F114+F66+F35</f>
        <v>2787.6</v>
      </c>
      <c r="G207" s="183">
        <f>G17+G82+G99+G128+G144+G159+G175+G114+G66+G35</f>
        <v>2591.9999999999995</v>
      </c>
      <c r="H207" s="183">
        <f>H17+H82+H99+H128+H144+H159+H175+H114+H66+H35</f>
        <v>4237.4</v>
      </c>
      <c r="I207" s="129">
        <f t="shared" si="81"/>
        <v>9617</v>
      </c>
      <c r="J207" s="183">
        <f>J17+J82+J99+J128+J144+J159+J175+J114+J66+J35</f>
        <v>1373.5000000000002</v>
      </c>
      <c r="K207" s="158">
        <f>K17+K35+K82+K99+K114+K128+K159+K175</f>
        <v>11506.800000000003</v>
      </c>
      <c r="L207" s="130">
        <f t="shared" si="80"/>
        <v>119.65061869605908</v>
      </c>
      <c r="M207" s="129">
        <f t="shared" si="82"/>
        <v>92.86792300552845</v>
      </c>
    </row>
    <row r="208" spans="1:13" ht="24">
      <c r="A208" s="134" t="s">
        <v>279</v>
      </c>
      <c r="B208" s="182" t="s">
        <v>320</v>
      </c>
      <c r="C208" s="126" t="s">
        <v>280</v>
      </c>
      <c r="D208" s="158">
        <f>D18+D36+D50+D67+D83+D100+D115+D129+D145+D160+D176+D190</f>
        <v>21431.5</v>
      </c>
      <c r="E208" s="127">
        <f t="shared" si="79"/>
        <v>8169.4</v>
      </c>
      <c r="F208" s="129">
        <f>F18+F36+F50+F67+F83+F100+F115+F145+F160+F176+F190+F129</f>
        <v>2792.2</v>
      </c>
      <c r="G208" s="129">
        <f>G18+G36+G50+G67+G83+G100+G115+G145+G160+G176+G190+G129</f>
        <v>5377.2</v>
      </c>
      <c r="H208" s="129">
        <f>H18+H36+H50+H67+H83+H100+H115+H145+H160+H176+H190+H129</f>
        <v>8794.000000000002</v>
      </c>
      <c r="I208" s="129">
        <f t="shared" si="81"/>
        <v>16963.4</v>
      </c>
      <c r="J208" s="129">
        <f>J18+J36+J50+J67+J83+J100+J115+J145+J160+J176+J190+J129</f>
        <v>4469.099999999999</v>
      </c>
      <c r="K208" s="158">
        <f>K18+K36+K50+K67+K83+K100+K115+K129+K145+K160+K176+K190+0.2</f>
        <v>21059.199999999993</v>
      </c>
      <c r="L208" s="130">
        <f t="shared" si="80"/>
        <v>124.14492377707296</v>
      </c>
      <c r="M208" s="129">
        <f t="shared" si="82"/>
        <v>98.2628374122203</v>
      </c>
    </row>
    <row r="209" spans="1:13" ht="12.75">
      <c r="A209" s="134" t="s">
        <v>281</v>
      </c>
      <c r="B209" s="134"/>
      <c r="C209" s="126" t="s">
        <v>282</v>
      </c>
      <c r="D209" s="129">
        <f>D19</f>
        <v>6</v>
      </c>
      <c r="E209" s="127">
        <f t="shared" si="79"/>
        <v>6</v>
      </c>
      <c r="F209" s="129">
        <f>F19</f>
        <v>2</v>
      </c>
      <c r="G209" s="129">
        <f>G19</f>
        <v>4</v>
      </c>
      <c r="H209" s="129">
        <f>H19</f>
        <v>0</v>
      </c>
      <c r="I209" s="129">
        <f t="shared" si="81"/>
        <v>6</v>
      </c>
      <c r="J209" s="129">
        <f>J19</f>
        <v>0</v>
      </c>
      <c r="K209" s="129">
        <f>K19</f>
        <v>6.3</v>
      </c>
      <c r="L209" s="130">
        <f t="shared" si="80"/>
        <v>105</v>
      </c>
      <c r="M209" s="129">
        <f t="shared" si="82"/>
        <v>105</v>
      </c>
    </row>
    <row r="210" spans="1:13" ht="36">
      <c r="A210" s="125" t="s">
        <v>283</v>
      </c>
      <c r="B210" s="178" t="s">
        <v>321</v>
      </c>
      <c r="C210" s="126" t="s">
        <v>284</v>
      </c>
      <c r="D210" s="158">
        <f>D20+D51+D68+D84+D116+D177+D191</f>
        <v>14565.300000000001</v>
      </c>
      <c r="E210" s="127">
        <f t="shared" si="79"/>
        <v>6009.6</v>
      </c>
      <c r="F210" s="129">
        <f>F20+F177+F191+F68+F130+F51+F146+F84</f>
        <v>1423.3</v>
      </c>
      <c r="G210" s="129">
        <f>G20+G177+G191+G68+G130+G51+G146+G84</f>
        <v>4586.3</v>
      </c>
      <c r="H210" s="129">
        <f>H20+H177+H191+H68+H130+H51+H146+H84</f>
        <v>6278.9</v>
      </c>
      <c r="I210" s="129">
        <f t="shared" si="81"/>
        <v>12288.5</v>
      </c>
      <c r="J210" s="129">
        <f>J20+J177+J191+J68+J130+J51+J146+J84</f>
        <v>1164.6</v>
      </c>
      <c r="K210" s="158">
        <f>K20+K51+K68+K84+K116+K177+K191</f>
        <v>17140.399999999998</v>
      </c>
      <c r="L210" s="130">
        <f t="shared" si="80"/>
        <v>139.4832567034219</v>
      </c>
      <c r="M210" s="129">
        <f t="shared" si="82"/>
        <v>117.67969077190305</v>
      </c>
    </row>
    <row r="211" spans="1:13" ht="24">
      <c r="A211" s="135" t="s">
        <v>285</v>
      </c>
      <c r="B211" s="184" t="s">
        <v>316</v>
      </c>
      <c r="C211" s="137" t="s">
        <v>286</v>
      </c>
      <c r="D211" s="129">
        <f>D21+D37+D52+D69+D85+D101+D117+D131+D162+D178+D192</f>
        <v>0</v>
      </c>
      <c r="E211" s="127">
        <f t="shared" si="79"/>
        <v>0</v>
      </c>
      <c r="F211" s="129">
        <f>F21+F37+F52+F69+F85+F101+F117+F131+F147+F162+F178+F192</f>
        <v>0</v>
      </c>
      <c r="G211" s="129">
        <f>G21+G37+G52+G69+G85+G101+G117+G131+G147+G162+G178+G192</f>
        <v>0</v>
      </c>
      <c r="H211" s="129">
        <f>H21+H37+H52+H69+H85+H101+H117+H131+H147+H162+H178+H192</f>
        <v>0</v>
      </c>
      <c r="I211" s="129">
        <f t="shared" si="81"/>
        <v>0</v>
      </c>
      <c r="J211" s="129">
        <f>J21+J37+J52+J69+J85+J101+J117+J131+J147+J162+J178+J192</f>
        <v>0</v>
      </c>
      <c r="K211" s="129">
        <f>K21+K37+K52+K69+K85+K101+K117+K131+K162+K178+K192+0.1</f>
        <v>662.8</v>
      </c>
      <c r="L211" s="130"/>
      <c r="M211" s="129"/>
    </row>
    <row r="212" spans="1:13" ht="12.75">
      <c r="A212" s="121" t="s">
        <v>287</v>
      </c>
      <c r="B212" s="177"/>
      <c r="C212" s="138" t="s">
        <v>288</v>
      </c>
      <c r="D212" s="139">
        <f aca="true" t="shared" si="83" ref="D212:K212">D213+D214+D215</f>
        <v>3088748.9</v>
      </c>
      <c r="E212" s="139">
        <f t="shared" si="83"/>
        <v>999410.5999999999</v>
      </c>
      <c r="F212" s="139">
        <f t="shared" si="83"/>
        <v>245825.60000000003</v>
      </c>
      <c r="G212" s="139">
        <f t="shared" si="83"/>
        <v>753585</v>
      </c>
      <c r="H212" s="139">
        <f t="shared" si="83"/>
        <v>845488.6</v>
      </c>
      <c r="I212" s="139">
        <f t="shared" si="83"/>
        <v>1844899.1999999997</v>
      </c>
      <c r="J212" s="139">
        <f t="shared" si="83"/>
        <v>1196631.4</v>
      </c>
      <c r="K212" s="139">
        <f t="shared" si="83"/>
        <v>2567310.7</v>
      </c>
      <c r="L212" s="123">
        <f t="shared" si="80"/>
        <v>139.1572341730107</v>
      </c>
      <c r="M212" s="124">
        <f t="shared" si="82"/>
        <v>83.11814210601581</v>
      </c>
    </row>
    <row r="213" spans="1:13" ht="36">
      <c r="A213" s="141" t="s">
        <v>289</v>
      </c>
      <c r="B213" s="176" t="s">
        <v>322</v>
      </c>
      <c r="C213" s="142" t="s">
        <v>290</v>
      </c>
      <c r="D213" s="158">
        <f>D23-16741</f>
        <v>3162166.5</v>
      </c>
      <c r="E213" s="127">
        <f t="shared" si="79"/>
        <v>1077481.9</v>
      </c>
      <c r="F213" s="128">
        <f>F23</f>
        <v>330882.4</v>
      </c>
      <c r="G213" s="128">
        <f>G23</f>
        <v>746599.5</v>
      </c>
      <c r="H213" s="128">
        <f>H23-16000</f>
        <v>858277.2999999999</v>
      </c>
      <c r="I213" s="128">
        <f>E213+H213</f>
        <v>1935759.1999999997</v>
      </c>
      <c r="J213" s="128">
        <f>J23-741</f>
        <v>1182125.5</v>
      </c>
      <c r="K213" s="158">
        <f>K23-16699.5</f>
        <v>2678111</v>
      </c>
      <c r="L213" s="130">
        <f t="shared" si="80"/>
        <v>138.3493876717724</v>
      </c>
      <c r="M213" s="129">
        <f t="shared" si="82"/>
        <v>84.6922829648597</v>
      </c>
    </row>
    <row r="214" spans="1:13" ht="36">
      <c r="A214" s="141" t="s">
        <v>291</v>
      </c>
      <c r="B214" s="141" t="s">
        <v>323</v>
      </c>
      <c r="C214" s="143" t="s">
        <v>292</v>
      </c>
      <c r="D214" s="129">
        <f>D24+D89+D104+D165+D134+D55+D40+D150+D72</f>
        <v>40067.5</v>
      </c>
      <c r="E214" s="127">
        <f t="shared" si="79"/>
        <v>14360.7</v>
      </c>
      <c r="F214" s="129">
        <f>F24+F89+F104+F165+F134+F55+F40+F150</f>
        <v>7375.2</v>
      </c>
      <c r="G214" s="129">
        <f>G24+G89+G104+G165+G134+G55+G40+G150</f>
        <v>6985.5</v>
      </c>
      <c r="H214" s="129">
        <f>H24+H89+H104+H165+H134+H55+H40+H150+H72</f>
        <v>8264.4</v>
      </c>
      <c r="I214" s="129">
        <f>I24+I89+I104+I165+I134+I55+I40+I150+I72</f>
        <v>22625.100000000002</v>
      </c>
      <c r="J214" s="129">
        <f>J24+J89+J104+J165+J134+J55+J40+J150+J72+0.1</f>
        <v>14505.9</v>
      </c>
      <c r="K214" s="129">
        <f>K24+K89+K104+K165+K134+K55+K40+K150+K72+0.1</f>
        <v>23445.2</v>
      </c>
      <c r="L214" s="130">
        <f t="shared" si="80"/>
        <v>103.62473536028568</v>
      </c>
      <c r="M214" s="129">
        <f t="shared" si="82"/>
        <v>58.51425719099021</v>
      </c>
    </row>
    <row r="215" spans="1:13" ht="36">
      <c r="A215" s="141" t="s">
        <v>295</v>
      </c>
      <c r="B215" s="145"/>
      <c r="C215" s="147" t="s">
        <v>296</v>
      </c>
      <c r="D215" s="158">
        <f>F215+G215+H215+J215</f>
        <v>-113485.1</v>
      </c>
      <c r="E215" s="127">
        <f t="shared" si="79"/>
        <v>-92432</v>
      </c>
      <c r="F215" s="129">
        <f>F26</f>
        <v>-92432</v>
      </c>
      <c r="G215" s="129">
        <f>G26</f>
        <v>0</v>
      </c>
      <c r="H215" s="129">
        <f>H26</f>
        <v>-21053.1</v>
      </c>
      <c r="I215" s="128">
        <f>E215+H215</f>
        <v>-113485.1</v>
      </c>
      <c r="J215" s="129">
        <f>J26</f>
        <v>0</v>
      </c>
      <c r="K215" s="129">
        <f>K26</f>
        <v>-134245.5</v>
      </c>
      <c r="L215" s="130">
        <f t="shared" si="80"/>
        <v>118.29350284751037</v>
      </c>
      <c r="M215" s="129">
        <f t="shared" si="82"/>
        <v>118.29350284751037</v>
      </c>
    </row>
    <row r="216" spans="1:13" ht="12.75">
      <c r="A216" s="125"/>
      <c r="B216" s="149"/>
      <c r="C216" s="150" t="s">
        <v>297</v>
      </c>
      <c r="D216" s="124">
        <f aca="true" t="shared" si="84" ref="D216:K216">D212+D198</f>
        <v>4134389.2</v>
      </c>
      <c r="E216" s="124">
        <f t="shared" si="84"/>
        <v>1501493.5</v>
      </c>
      <c r="F216" s="124">
        <f t="shared" si="84"/>
        <v>485501.00000000006</v>
      </c>
      <c r="G216" s="124">
        <f t="shared" si="84"/>
        <v>1015992.5</v>
      </c>
      <c r="H216" s="124">
        <f t="shared" si="84"/>
        <v>1101933.1</v>
      </c>
      <c r="I216" s="124">
        <f t="shared" si="84"/>
        <v>2603426.5999999996</v>
      </c>
      <c r="J216" s="124">
        <f t="shared" si="84"/>
        <v>1477185.4</v>
      </c>
      <c r="K216" s="124">
        <f t="shared" si="84"/>
        <v>3507152.7</v>
      </c>
      <c r="L216" s="123">
        <f t="shared" si="80"/>
        <v>134.71294715971638</v>
      </c>
      <c r="M216" s="124">
        <f t="shared" si="82"/>
        <v>84.82879889488875</v>
      </c>
    </row>
  </sheetData>
  <sheetProtection/>
  <mergeCells count="37">
    <mergeCell ref="A196:K196"/>
    <mergeCell ref="A197:M197"/>
    <mergeCell ref="A152:K152"/>
    <mergeCell ref="A153:K153"/>
    <mergeCell ref="A167:K167"/>
    <mergeCell ref="A168:K168"/>
    <mergeCell ref="A182:K182"/>
    <mergeCell ref="A183:K183"/>
    <mergeCell ref="A106:K106"/>
    <mergeCell ref="A107:K107"/>
    <mergeCell ref="A121:K121"/>
    <mergeCell ref="A122:K122"/>
    <mergeCell ref="A136:K136"/>
    <mergeCell ref="A137:K137"/>
    <mergeCell ref="A58:K58"/>
    <mergeCell ref="A59:K59"/>
    <mergeCell ref="A74:K74"/>
    <mergeCell ref="A75:K75"/>
    <mergeCell ref="A91:K91"/>
    <mergeCell ref="A92:K92"/>
    <mergeCell ref="M4:M6"/>
    <mergeCell ref="A7:K7"/>
    <mergeCell ref="A28:K28"/>
    <mergeCell ref="A29:K29"/>
    <mergeCell ref="C42:K42"/>
    <mergeCell ref="A43:K43"/>
    <mergeCell ref="L4:L6"/>
    <mergeCell ref="A1:M1"/>
    <mergeCell ref="A2:K2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PageLayoutView="0" workbookViewId="0" topLeftCell="A1">
      <selection activeCell="B132" sqref="B132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46" t="s">
        <v>237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47" t="s">
        <v>98</v>
      </c>
      <c r="B3" s="249" t="s">
        <v>97</v>
      </c>
      <c r="C3" s="251" t="s">
        <v>113</v>
      </c>
      <c r="D3" s="251"/>
      <c r="E3" s="251"/>
      <c r="F3" s="252" t="s">
        <v>112</v>
      </c>
      <c r="G3" s="252"/>
      <c r="H3" s="252"/>
      <c r="I3" s="239" t="s">
        <v>111</v>
      </c>
      <c r="J3" s="239"/>
      <c r="K3" s="240"/>
    </row>
    <row r="4" spans="1:11" ht="16.5" customHeight="1">
      <c r="A4" s="248"/>
      <c r="B4" s="250"/>
      <c r="C4" s="242" t="s">
        <v>78</v>
      </c>
      <c r="D4" s="242" t="s">
        <v>238</v>
      </c>
      <c r="E4" s="242" t="s">
        <v>77</v>
      </c>
      <c r="F4" s="242" t="s">
        <v>78</v>
      </c>
      <c r="G4" s="241" t="s">
        <v>238</v>
      </c>
      <c r="H4" s="241" t="s">
        <v>77</v>
      </c>
      <c r="I4" s="260" t="s">
        <v>78</v>
      </c>
      <c r="J4" s="257" t="s">
        <v>239</v>
      </c>
      <c r="K4" s="253" t="s">
        <v>77</v>
      </c>
    </row>
    <row r="5" spans="1:11" ht="31.5" customHeight="1">
      <c r="A5" s="248"/>
      <c r="B5" s="250"/>
      <c r="C5" s="244"/>
      <c r="D5" s="242"/>
      <c r="E5" s="243"/>
      <c r="F5" s="244"/>
      <c r="G5" s="241"/>
      <c r="H5" s="244"/>
      <c r="I5" s="261"/>
      <c r="J5" s="257"/>
      <c r="K5" s="254"/>
    </row>
    <row r="6" spans="1:11" ht="12.75" customHeight="1">
      <c r="A6" s="248"/>
      <c r="B6" s="255" t="s">
        <v>0</v>
      </c>
      <c r="C6" s="255"/>
      <c r="D6" s="255"/>
      <c r="E6" s="255"/>
      <c r="F6" s="255"/>
      <c r="G6" s="255"/>
      <c r="H6" s="255"/>
      <c r="I6" s="255"/>
      <c r="J6" s="255"/>
      <c r="K6" s="256"/>
    </row>
    <row r="7" spans="1:11" ht="12.75" customHeight="1">
      <c r="A7" s="248"/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ht="12.75" customHeight="1">
      <c r="A8" s="248"/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ht="15">
      <c r="A9" s="81" t="s">
        <v>1</v>
      </c>
      <c r="B9" s="82" t="s">
        <v>2</v>
      </c>
      <c r="C9" s="83">
        <f>SUM(C10:C17)</f>
        <v>261453.39999999997</v>
      </c>
      <c r="D9" s="83">
        <f>SUM(D10:D17)</f>
        <v>220765.7</v>
      </c>
      <c r="E9" s="83">
        <f>D9/C9*100</f>
        <v>84.43787688360528</v>
      </c>
      <c r="F9" s="83">
        <f>F10+F11+F12+F13+F14+F16+F17+F15</f>
        <v>192884.69999999998</v>
      </c>
      <c r="G9" s="83">
        <f>SUM(G10:G17)</f>
        <v>161796.8</v>
      </c>
      <c r="H9" s="84">
        <f>G9/F9*100</f>
        <v>83.88265113821885</v>
      </c>
      <c r="I9" s="83">
        <f>SUM(I10:I17)</f>
        <v>454035.10000000003</v>
      </c>
      <c r="J9" s="83">
        <f>SUM(J10:J17)</f>
        <v>382259.5</v>
      </c>
      <c r="K9" s="85">
        <f>J9/I9*100</f>
        <v>84.19161866560536</v>
      </c>
    </row>
    <row r="10" spans="1:11" ht="15">
      <c r="A10" s="86" t="s">
        <v>3</v>
      </c>
      <c r="B10" s="87" t="s">
        <v>4</v>
      </c>
      <c r="C10" s="79">
        <v>14030.6</v>
      </c>
      <c r="D10" s="79">
        <v>12963.2</v>
      </c>
      <c r="E10" s="79">
        <f>D10/C10*100</f>
        <v>92.39234245149886</v>
      </c>
      <c r="F10" s="88">
        <v>38139.9</v>
      </c>
      <c r="G10" s="88">
        <v>32780.4</v>
      </c>
      <c r="H10" s="88">
        <f>G10/F10*100</f>
        <v>85.94778696325895</v>
      </c>
      <c r="I10" s="89">
        <f aca="true" t="shared" si="0" ref="I10:J83">C10+F10</f>
        <v>52170.5</v>
      </c>
      <c r="J10" s="80">
        <f t="shared" si="0"/>
        <v>45743.600000000006</v>
      </c>
      <c r="K10" s="90">
        <f aca="true" t="shared" si="1" ref="K10:K85">J10/I10*100</f>
        <v>87.68096913006393</v>
      </c>
    </row>
    <row r="11" spans="1:11" ht="30">
      <c r="A11" s="86" t="s">
        <v>5</v>
      </c>
      <c r="B11" s="87" t="s">
        <v>89</v>
      </c>
      <c r="C11" s="79">
        <v>24367.7</v>
      </c>
      <c r="D11" s="79">
        <v>20550.1</v>
      </c>
      <c r="E11" s="79">
        <f aca="true" t="shared" si="2" ref="E11:E19">D11/C11*100</f>
        <v>84.33335932402318</v>
      </c>
      <c r="F11" s="88">
        <v>0</v>
      </c>
      <c r="G11" s="88">
        <v>0</v>
      </c>
      <c r="H11" s="88">
        <v>0</v>
      </c>
      <c r="I11" s="89">
        <f t="shared" si="0"/>
        <v>24367.7</v>
      </c>
      <c r="J11" s="80">
        <f t="shared" si="0"/>
        <v>20550.1</v>
      </c>
      <c r="K11" s="90">
        <f t="shared" si="1"/>
        <v>84.33335932402318</v>
      </c>
    </row>
    <row r="12" spans="1:11" ht="30">
      <c r="A12" s="86" t="s">
        <v>6</v>
      </c>
      <c r="B12" s="87" t="s">
        <v>7</v>
      </c>
      <c r="C12" s="79">
        <v>118499</v>
      </c>
      <c r="D12" s="79">
        <v>105106.1</v>
      </c>
      <c r="E12" s="79">
        <f t="shared" si="2"/>
        <v>88.69787930699837</v>
      </c>
      <c r="F12" s="88">
        <v>115767.6</v>
      </c>
      <c r="G12" s="88">
        <v>99728.3</v>
      </c>
      <c r="H12" s="88">
        <f aca="true" t="shared" si="3" ref="H12:H19">G12/F12*100</f>
        <v>86.14525998638652</v>
      </c>
      <c r="I12" s="89">
        <f t="shared" si="0"/>
        <v>234266.6</v>
      </c>
      <c r="J12" s="80">
        <f t="shared" si="0"/>
        <v>204834.40000000002</v>
      </c>
      <c r="K12" s="90">
        <f t="shared" si="1"/>
        <v>87.43645060798254</v>
      </c>
    </row>
    <row r="13" spans="1:11" ht="15">
      <c r="A13" s="86" t="s">
        <v>8</v>
      </c>
      <c r="B13" s="87" t="s">
        <v>9</v>
      </c>
      <c r="C13" s="79">
        <v>6.4</v>
      </c>
      <c r="D13" s="79">
        <v>6.4</v>
      </c>
      <c r="E13" s="79">
        <f t="shared" si="2"/>
        <v>100</v>
      </c>
      <c r="F13" s="88">
        <v>0</v>
      </c>
      <c r="G13" s="88">
        <v>0</v>
      </c>
      <c r="H13" s="88">
        <v>0</v>
      </c>
      <c r="I13" s="89">
        <f t="shared" si="0"/>
        <v>6.4</v>
      </c>
      <c r="J13" s="80">
        <f t="shared" si="0"/>
        <v>6.4</v>
      </c>
      <c r="K13" s="90"/>
    </row>
    <row r="14" spans="1:11" ht="15">
      <c r="A14" s="86" t="s">
        <v>10</v>
      </c>
      <c r="B14" s="87" t="s">
        <v>11</v>
      </c>
      <c r="C14" s="79">
        <v>30505.9</v>
      </c>
      <c r="D14" s="79">
        <v>26828.3</v>
      </c>
      <c r="E14" s="79">
        <f t="shared" si="2"/>
        <v>87.94462710492068</v>
      </c>
      <c r="F14" s="88">
        <v>267.8</v>
      </c>
      <c r="G14" s="88">
        <v>267.8</v>
      </c>
      <c r="H14" s="88">
        <f t="shared" si="3"/>
        <v>100</v>
      </c>
      <c r="I14" s="89">
        <f>C14+F14</f>
        <v>30773.7</v>
      </c>
      <c r="J14" s="80">
        <f>D14+G14</f>
        <v>27096.1</v>
      </c>
      <c r="K14" s="90">
        <f t="shared" si="1"/>
        <v>88.04953580492433</v>
      </c>
    </row>
    <row r="15" spans="1:11" ht="15">
      <c r="A15" s="91" t="s">
        <v>12</v>
      </c>
      <c r="B15" s="87" t="s">
        <v>169</v>
      </c>
      <c r="C15" s="79"/>
      <c r="D15" s="79"/>
      <c r="E15" s="79"/>
      <c r="F15" s="88">
        <v>170</v>
      </c>
      <c r="G15" s="88">
        <v>170</v>
      </c>
      <c r="H15" s="88">
        <f t="shared" si="3"/>
        <v>100</v>
      </c>
      <c r="I15" s="89">
        <f>C15+F15</f>
        <v>170</v>
      </c>
      <c r="J15" s="80">
        <f t="shared" si="0"/>
        <v>170</v>
      </c>
      <c r="K15" s="90">
        <f t="shared" si="1"/>
        <v>100</v>
      </c>
    </row>
    <row r="16" spans="1:11" ht="15">
      <c r="A16" s="91" t="s">
        <v>13</v>
      </c>
      <c r="B16" s="87" t="s">
        <v>14</v>
      </c>
      <c r="C16" s="79">
        <v>2505.5</v>
      </c>
      <c r="D16" s="79">
        <v>0</v>
      </c>
      <c r="E16" s="79">
        <f t="shared" si="2"/>
        <v>0</v>
      </c>
      <c r="F16" s="88">
        <v>647.4</v>
      </c>
      <c r="G16" s="88">
        <v>0</v>
      </c>
      <c r="H16" s="88">
        <f t="shared" si="3"/>
        <v>0</v>
      </c>
      <c r="I16" s="89">
        <f t="shared" si="0"/>
        <v>3152.9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71538.3</v>
      </c>
      <c r="D17" s="79">
        <v>55311.6</v>
      </c>
      <c r="E17" s="79">
        <f t="shared" si="2"/>
        <v>77.31746491040464</v>
      </c>
      <c r="F17" s="88">
        <v>37892</v>
      </c>
      <c r="G17" s="88">
        <v>28850.3</v>
      </c>
      <c r="H17" s="88">
        <f t="shared" si="3"/>
        <v>76.13823498363772</v>
      </c>
      <c r="I17" s="89">
        <f>C17+F17-303</f>
        <v>109127.3</v>
      </c>
      <c r="J17" s="80">
        <f>D17+G17-303</f>
        <v>83858.9</v>
      </c>
      <c r="K17" s="90">
        <f t="shared" si="1"/>
        <v>76.84502411403929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4782</v>
      </c>
      <c r="D18" s="83">
        <f t="shared" si="4"/>
        <v>4782</v>
      </c>
      <c r="E18" s="83">
        <f t="shared" si="4"/>
        <v>100</v>
      </c>
      <c r="F18" s="83">
        <f t="shared" si="4"/>
        <v>4782</v>
      </c>
      <c r="G18" s="83">
        <f t="shared" si="4"/>
        <v>3246.9</v>
      </c>
      <c r="H18" s="92">
        <f t="shared" si="4"/>
        <v>67.89836888331241</v>
      </c>
      <c r="I18" s="83">
        <f t="shared" si="4"/>
        <v>4782</v>
      </c>
      <c r="J18" s="83">
        <f t="shared" si="4"/>
        <v>3246.8999999999996</v>
      </c>
      <c r="K18" s="93">
        <f t="shared" si="1"/>
        <v>67.89836888331241</v>
      </c>
    </row>
    <row r="19" spans="1:11" ht="15">
      <c r="A19" s="86" t="s">
        <v>18</v>
      </c>
      <c r="B19" s="87" t="s">
        <v>19</v>
      </c>
      <c r="C19" s="79">
        <v>4782</v>
      </c>
      <c r="D19" s="79">
        <v>4782</v>
      </c>
      <c r="E19" s="79">
        <f t="shared" si="2"/>
        <v>100</v>
      </c>
      <c r="F19" s="88">
        <v>4782</v>
      </c>
      <c r="G19" s="88">
        <v>3246.9</v>
      </c>
      <c r="H19" s="88">
        <f t="shared" si="3"/>
        <v>67.89836888331241</v>
      </c>
      <c r="I19" s="89">
        <f>C19+F19-4782</f>
        <v>4782</v>
      </c>
      <c r="J19" s="80">
        <f>D19+G19-4782</f>
        <v>3246.8999999999996</v>
      </c>
      <c r="K19" s="90">
        <f t="shared" si="1"/>
        <v>67.89836888331241</v>
      </c>
    </row>
    <row r="20" spans="1:11" ht="12.75" customHeight="1">
      <c r="A20" s="258" t="s">
        <v>20</v>
      </c>
      <c r="B20" s="259" t="s">
        <v>208</v>
      </c>
      <c r="C20" s="245">
        <f>C23+C24+C22</f>
        <v>43325.2</v>
      </c>
      <c r="D20" s="245">
        <f>D23+D24+D22</f>
        <v>34248.5</v>
      </c>
      <c r="E20" s="245">
        <f>D20/C20*100</f>
        <v>79.04983704633793</v>
      </c>
      <c r="F20" s="245">
        <f>F23+F24+F22</f>
        <v>8287.9</v>
      </c>
      <c r="G20" s="245">
        <f>G23+G24+G22</f>
        <v>6112.8</v>
      </c>
      <c r="H20" s="245">
        <f>G20/F20*100</f>
        <v>73.75571616452902</v>
      </c>
      <c r="I20" s="245">
        <f>I23+I24+I22</f>
        <v>50357.09999999999</v>
      </c>
      <c r="J20" s="245">
        <f>SUM(J22:J24)</f>
        <v>39105.3</v>
      </c>
      <c r="K20" s="245">
        <f>J20/I20*100</f>
        <v>77.65598098381362</v>
      </c>
    </row>
    <row r="21" spans="1:11" ht="12.75" customHeight="1">
      <c r="A21" s="258"/>
      <c r="B21" s="259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11" ht="15">
      <c r="A22" s="91" t="s">
        <v>116</v>
      </c>
      <c r="B22" s="87" t="s">
        <v>174</v>
      </c>
      <c r="C22" s="79">
        <v>4828.2</v>
      </c>
      <c r="D22" s="79">
        <v>4134.8</v>
      </c>
      <c r="E22" s="79">
        <f aca="true" t="shared" si="5" ref="E22:E103">D22/C22*100</f>
        <v>85.63854024274058</v>
      </c>
      <c r="F22" s="88">
        <v>856</v>
      </c>
      <c r="G22" s="88">
        <v>510</v>
      </c>
      <c r="H22" s="88">
        <f>G22/F22*100</f>
        <v>59.57943925233645</v>
      </c>
      <c r="I22" s="89">
        <f>C22+F22-856</f>
        <v>4828.2</v>
      </c>
      <c r="J22" s="80">
        <f>D22+G22-856</f>
        <v>3788.8</v>
      </c>
      <c r="K22" s="90">
        <f>J22/I22*100</f>
        <v>78.4723085207738</v>
      </c>
    </row>
    <row r="23" spans="1:11" ht="15">
      <c r="A23" s="86" t="s">
        <v>21</v>
      </c>
      <c r="B23" s="87" t="s">
        <v>117</v>
      </c>
      <c r="C23" s="79">
        <v>10064.9</v>
      </c>
      <c r="D23" s="79">
        <v>9679.2</v>
      </c>
      <c r="E23" s="79">
        <f t="shared" si="5"/>
        <v>96.16787052032312</v>
      </c>
      <c r="F23" s="88">
        <v>7431.9</v>
      </c>
      <c r="G23" s="88">
        <v>5602.8</v>
      </c>
      <c r="H23" s="88">
        <f>G23/F23*100</f>
        <v>75.38852783272111</v>
      </c>
      <c r="I23" s="89">
        <f>C23+F23-400</f>
        <v>17096.8</v>
      </c>
      <c r="J23" s="80">
        <f>D23+G23-400</f>
        <v>14882</v>
      </c>
      <c r="K23" s="90">
        <f>J23/I23*100</f>
        <v>87.04552898788077</v>
      </c>
    </row>
    <row r="24" spans="1:11" ht="30">
      <c r="A24" s="91" t="s">
        <v>107</v>
      </c>
      <c r="B24" s="87" t="s">
        <v>108</v>
      </c>
      <c r="C24" s="79">
        <v>28432.1</v>
      </c>
      <c r="D24" s="79">
        <v>20434.5</v>
      </c>
      <c r="E24" s="79">
        <f t="shared" si="5"/>
        <v>71.87123005335519</v>
      </c>
      <c r="F24" s="88">
        <v>0</v>
      </c>
      <c r="G24" s="88">
        <v>0</v>
      </c>
      <c r="H24" s="88">
        <v>0</v>
      </c>
      <c r="I24" s="89">
        <f>C24+F24</f>
        <v>28432.1</v>
      </c>
      <c r="J24" s="80">
        <f>D24+G24</f>
        <v>20434.5</v>
      </c>
      <c r="K24" s="90">
        <f>J24/I24*100</f>
        <v>71.87123005335519</v>
      </c>
    </row>
    <row r="25" spans="1:11" ht="15">
      <c r="A25" s="81" t="s">
        <v>22</v>
      </c>
      <c r="B25" s="82" t="s">
        <v>23</v>
      </c>
      <c r="C25" s="83">
        <f>SUM(C26:C47)</f>
        <v>221237.3</v>
      </c>
      <c r="D25" s="83">
        <f>SUM(D26:D47)</f>
        <v>169263.09999999998</v>
      </c>
      <c r="E25" s="83">
        <f>D25/C25*100</f>
        <v>76.50748766143863</v>
      </c>
      <c r="F25" s="83">
        <f>SUM(F26:F46)</f>
        <v>78557.49999999999</v>
      </c>
      <c r="G25" s="83">
        <f>SUM(G26:G46)</f>
        <v>59898.200000000004</v>
      </c>
      <c r="H25" s="84">
        <f>G25/F25*100</f>
        <v>76.24758934538397</v>
      </c>
      <c r="I25" s="83">
        <f>SUM(I26:I47)</f>
        <v>271563.80000000005</v>
      </c>
      <c r="J25" s="83">
        <f>SUM(J26:J47)</f>
        <v>207973.6</v>
      </c>
      <c r="K25" s="85">
        <f t="shared" si="1"/>
        <v>76.58369782717725</v>
      </c>
    </row>
    <row r="26" spans="1:11" ht="45">
      <c r="A26" s="91" t="s">
        <v>24</v>
      </c>
      <c r="B26" s="94" t="s">
        <v>175</v>
      </c>
      <c r="C26" s="79">
        <v>13868.1</v>
      </c>
      <c r="D26" s="79">
        <v>12206</v>
      </c>
      <c r="E26" s="79">
        <f t="shared" si="5"/>
        <v>88.01494076333456</v>
      </c>
      <c r="F26" s="79">
        <v>12825.1</v>
      </c>
      <c r="G26" s="88">
        <v>12060.7</v>
      </c>
      <c r="H26" s="88">
        <f>G26/F26*100</f>
        <v>94.0398125550678</v>
      </c>
      <c r="I26" s="89">
        <f>C26+F26-10604.4</f>
        <v>16088.800000000001</v>
      </c>
      <c r="J26" s="89">
        <f>D26+G26-10252.6</f>
        <v>14014.1</v>
      </c>
      <c r="K26" s="90">
        <f t="shared" si="1"/>
        <v>87.10469394858535</v>
      </c>
    </row>
    <row r="27" spans="1:11" ht="15">
      <c r="A27" s="86" t="s">
        <v>25</v>
      </c>
      <c r="B27" s="87" t="s">
        <v>26</v>
      </c>
      <c r="C27" s="79">
        <v>52427.7</v>
      </c>
      <c r="D27" s="79">
        <v>38074.5</v>
      </c>
      <c r="E27" s="79">
        <f t="shared" si="5"/>
        <v>72.62286920845278</v>
      </c>
      <c r="F27" s="88">
        <v>0</v>
      </c>
      <c r="G27" s="88">
        <v>0</v>
      </c>
      <c r="H27" s="88">
        <v>0</v>
      </c>
      <c r="I27" s="89">
        <f t="shared" si="0"/>
        <v>52427.7</v>
      </c>
      <c r="J27" s="80">
        <f t="shared" si="0"/>
        <v>38074.5</v>
      </c>
      <c r="K27" s="90">
        <f t="shared" si="1"/>
        <v>72.62286920845278</v>
      </c>
    </row>
    <row r="28" spans="1:11" ht="15">
      <c r="A28" s="86" t="s">
        <v>27</v>
      </c>
      <c r="B28" s="87" t="s">
        <v>176</v>
      </c>
      <c r="C28" s="79">
        <v>9650</v>
      </c>
      <c r="D28" s="79">
        <v>7817</v>
      </c>
      <c r="E28" s="79">
        <f t="shared" si="5"/>
        <v>81.00518134715026</v>
      </c>
      <c r="F28" s="88">
        <v>0</v>
      </c>
      <c r="G28" s="88">
        <v>0</v>
      </c>
      <c r="H28" s="88">
        <v>0</v>
      </c>
      <c r="I28" s="89">
        <f t="shared" si="0"/>
        <v>9650</v>
      </c>
      <c r="J28" s="80">
        <f t="shared" si="0"/>
        <v>7817</v>
      </c>
      <c r="K28" s="90">
        <f t="shared" si="1"/>
        <v>81.00518134715026</v>
      </c>
    </row>
    <row r="29" spans="1:11" ht="15">
      <c r="A29" s="86" t="s">
        <v>27</v>
      </c>
      <c r="B29" s="87" t="s">
        <v>177</v>
      </c>
      <c r="C29" s="79">
        <v>19396</v>
      </c>
      <c r="D29" s="79">
        <v>18347.4</v>
      </c>
      <c r="E29" s="79">
        <f t="shared" si="5"/>
        <v>94.59373066611674</v>
      </c>
      <c r="F29" s="88">
        <v>12392</v>
      </c>
      <c r="G29" s="88">
        <v>9891.2</v>
      </c>
      <c r="H29" s="88">
        <f>G29/F29*100</f>
        <v>79.8192382182053</v>
      </c>
      <c r="I29" s="89">
        <f t="shared" si="0"/>
        <v>31788</v>
      </c>
      <c r="J29" s="80">
        <f t="shared" si="0"/>
        <v>28238.600000000002</v>
      </c>
      <c r="K29" s="90">
        <f t="shared" si="1"/>
        <v>88.8341512520448</v>
      </c>
    </row>
    <row r="30" spans="1:11" ht="15">
      <c r="A30" s="86" t="s">
        <v>27</v>
      </c>
      <c r="B30" s="87" t="s">
        <v>178</v>
      </c>
      <c r="C30" s="79">
        <v>12331</v>
      </c>
      <c r="D30" s="79">
        <v>9831</v>
      </c>
      <c r="E30" s="79">
        <f t="shared" si="5"/>
        <v>79.72589408807072</v>
      </c>
      <c r="F30" s="88">
        <v>0</v>
      </c>
      <c r="G30" s="88">
        <v>0</v>
      </c>
      <c r="H30" s="88">
        <v>0</v>
      </c>
      <c r="I30" s="89">
        <f t="shared" si="0"/>
        <v>12331</v>
      </c>
      <c r="J30" s="80">
        <f t="shared" si="0"/>
        <v>9831</v>
      </c>
      <c r="K30" s="90">
        <f t="shared" si="1"/>
        <v>79.72589408807072</v>
      </c>
    </row>
    <row r="31" spans="1:11" ht="45">
      <c r="A31" s="86" t="s">
        <v>74</v>
      </c>
      <c r="B31" s="97" t="s">
        <v>179</v>
      </c>
      <c r="C31" s="79">
        <v>1963</v>
      </c>
      <c r="D31" s="79">
        <v>780.1</v>
      </c>
      <c r="E31" s="79">
        <f t="shared" si="5"/>
        <v>39.74019358125319</v>
      </c>
      <c r="F31" s="88">
        <v>0</v>
      </c>
      <c r="G31" s="88">
        <v>0</v>
      </c>
      <c r="H31" s="88">
        <v>0</v>
      </c>
      <c r="I31" s="89">
        <f t="shared" si="0"/>
        <v>1963</v>
      </c>
      <c r="J31" s="80">
        <f t="shared" si="0"/>
        <v>780.1</v>
      </c>
      <c r="K31" s="90">
        <f t="shared" si="1"/>
        <v>39.74019358125319</v>
      </c>
    </row>
    <row r="32" spans="1:11" ht="60">
      <c r="A32" s="91" t="s">
        <v>74</v>
      </c>
      <c r="B32" s="97" t="s">
        <v>209</v>
      </c>
      <c r="C32" s="79">
        <v>62164.1</v>
      </c>
      <c r="D32" s="79">
        <v>41417.2</v>
      </c>
      <c r="E32" s="79">
        <f t="shared" si="5"/>
        <v>66.62559258478768</v>
      </c>
      <c r="F32" s="88">
        <v>15126.6</v>
      </c>
      <c r="G32" s="88">
        <v>8055.6</v>
      </c>
      <c r="H32" s="88">
        <f aca="true" t="shared" si="6" ref="H32:H37">G32/F32*100</f>
        <v>53.254531752013015</v>
      </c>
      <c r="I32" s="89">
        <f>C32+F32-17626.6+2500</f>
        <v>62164.1</v>
      </c>
      <c r="J32" s="80">
        <f>D32+G32-10935.1+2500</f>
        <v>41037.7</v>
      </c>
      <c r="K32" s="90">
        <f>J32/I32*100</f>
        <v>66.01511161586832</v>
      </c>
    </row>
    <row r="33" spans="1:11" ht="60">
      <c r="A33" s="91" t="s">
        <v>74</v>
      </c>
      <c r="B33" s="97" t="s">
        <v>210</v>
      </c>
      <c r="C33" s="79">
        <v>2476.1</v>
      </c>
      <c r="D33" s="79">
        <v>1735.9</v>
      </c>
      <c r="E33" s="79">
        <f t="shared" si="5"/>
        <v>70.10621541940955</v>
      </c>
      <c r="F33" s="88">
        <v>2978.1</v>
      </c>
      <c r="G33" s="88">
        <v>2863.8</v>
      </c>
      <c r="H33" s="88">
        <f t="shared" si="6"/>
        <v>96.16198247204595</v>
      </c>
      <c r="I33" s="89">
        <f>C33+F33</f>
        <v>5454.2</v>
      </c>
      <c r="J33" s="80">
        <f>D33+G33</f>
        <v>4599.700000000001</v>
      </c>
      <c r="K33" s="90">
        <f>J33/I33*100</f>
        <v>84.33317443438087</v>
      </c>
    </row>
    <row r="34" spans="1:11" ht="105">
      <c r="A34" s="91" t="s">
        <v>74</v>
      </c>
      <c r="B34" s="87" t="s">
        <v>211</v>
      </c>
      <c r="C34" s="79">
        <v>2500</v>
      </c>
      <c r="D34" s="79">
        <v>2500</v>
      </c>
      <c r="E34" s="79">
        <f t="shared" si="5"/>
        <v>100</v>
      </c>
      <c r="F34" s="88">
        <v>2500</v>
      </c>
      <c r="G34" s="88">
        <v>2500</v>
      </c>
      <c r="H34" s="88">
        <f t="shared" si="6"/>
        <v>100</v>
      </c>
      <c r="I34" s="89">
        <f>C34+F34-2500</f>
        <v>2500</v>
      </c>
      <c r="J34" s="80">
        <f>D34+G34-2500</f>
        <v>2500</v>
      </c>
      <c r="K34" s="90">
        <f>J34/I34*100</f>
        <v>100</v>
      </c>
    </row>
    <row r="35" spans="1:11" ht="30">
      <c r="A35" s="91" t="s">
        <v>74</v>
      </c>
      <c r="B35" s="87" t="s">
        <v>180</v>
      </c>
      <c r="C35" s="79"/>
      <c r="D35" s="79"/>
      <c r="E35" s="79"/>
      <c r="F35" s="88">
        <v>28256.9</v>
      </c>
      <c r="G35" s="88">
        <v>20923.9</v>
      </c>
      <c r="H35" s="88">
        <f t="shared" si="6"/>
        <v>74.04881639528752</v>
      </c>
      <c r="I35" s="89">
        <f>C35+F35</f>
        <v>28256.9</v>
      </c>
      <c r="J35" s="80">
        <f>D35+G35</f>
        <v>20923.9</v>
      </c>
      <c r="K35" s="90">
        <f>J35/I35*100</f>
        <v>74.04881639528752</v>
      </c>
    </row>
    <row r="36" spans="1:11" ht="15">
      <c r="A36" s="86" t="s">
        <v>67</v>
      </c>
      <c r="B36" s="87" t="s">
        <v>68</v>
      </c>
      <c r="C36" s="79">
        <v>5515</v>
      </c>
      <c r="D36" s="79">
        <v>4761.6</v>
      </c>
      <c r="E36" s="79">
        <f t="shared" si="5"/>
        <v>86.33907524932005</v>
      </c>
      <c r="F36" s="88">
        <v>3996.4</v>
      </c>
      <c r="G36" s="88">
        <v>3427.8</v>
      </c>
      <c r="H36" s="88">
        <f t="shared" si="6"/>
        <v>85.77219497547793</v>
      </c>
      <c r="I36" s="89">
        <f t="shared" si="0"/>
        <v>9511.4</v>
      </c>
      <c r="J36" s="80">
        <f t="shared" si="0"/>
        <v>8189.400000000001</v>
      </c>
      <c r="K36" s="90">
        <f t="shared" si="1"/>
        <v>86.10088945896504</v>
      </c>
    </row>
    <row r="37" spans="1:11" ht="30">
      <c r="A37" s="86" t="s">
        <v>28</v>
      </c>
      <c r="B37" s="87" t="s">
        <v>212</v>
      </c>
      <c r="C37" s="79">
        <v>0</v>
      </c>
      <c r="D37" s="79">
        <v>0</v>
      </c>
      <c r="E37" s="95">
        <v>0</v>
      </c>
      <c r="F37" s="88">
        <v>482.4</v>
      </c>
      <c r="G37" s="88">
        <v>175.2</v>
      </c>
      <c r="H37" s="88">
        <f t="shared" si="6"/>
        <v>36.318407960199</v>
      </c>
      <c r="I37" s="89">
        <f t="shared" si="0"/>
        <v>482.4</v>
      </c>
      <c r="J37" s="80">
        <f t="shared" si="0"/>
        <v>175.2</v>
      </c>
      <c r="K37" s="90">
        <f t="shared" si="1"/>
        <v>36.318407960199</v>
      </c>
    </row>
    <row r="38" spans="1:11" ht="60">
      <c r="A38" s="86" t="s">
        <v>28</v>
      </c>
      <c r="B38" s="97" t="s">
        <v>213</v>
      </c>
      <c r="C38" s="95">
        <v>4932</v>
      </c>
      <c r="D38" s="79">
        <v>4144.9</v>
      </c>
      <c r="E38" s="95">
        <f t="shared" si="5"/>
        <v>84.04095701540956</v>
      </c>
      <c r="F38" s="88">
        <v>0</v>
      </c>
      <c r="G38" s="88">
        <v>0</v>
      </c>
      <c r="H38" s="88">
        <v>0</v>
      </c>
      <c r="I38" s="89">
        <f t="shared" si="0"/>
        <v>4932</v>
      </c>
      <c r="J38" s="80">
        <f t="shared" si="0"/>
        <v>4144.9</v>
      </c>
      <c r="K38" s="90">
        <f t="shared" si="1"/>
        <v>84.04095701540956</v>
      </c>
    </row>
    <row r="39" spans="1:11" ht="60">
      <c r="A39" s="86" t="s">
        <v>28</v>
      </c>
      <c r="B39" s="97" t="s">
        <v>181</v>
      </c>
      <c r="C39" s="95">
        <v>4500</v>
      </c>
      <c r="D39" s="88">
        <v>4300</v>
      </c>
      <c r="E39" s="95">
        <f t="shared" si="5"/>
        <v>95.55555555555556</v>
      </c>
      <c r="F39" s="88">
        <v>0</v>
      </c>
      <c r="G39" s="88">
        <v>0</v>
      </c>
      <c r="H39" s="88">
        <v>0</v>
      </c>
      <c r="I39" s="89">
        <f t="shared" si="0"/>
        <v>4500</v>
      </c>
      <c r="J39" s="80">
        <f t="shared" si="0"/>
        <v>4300</v>
      </c>
      <c r="K39" s="90">
        <f t="shared" si="1"/>
        <v>95.55555555555556</v>
      </c>
    </row>
    <row r="40" spans="1:11" ht="75">
      <c r="A40" s="91" t="s">
        <v>28</v>
      </c>
      <c r="B40" s="97" t="s">
        <v>240</v>
      </c>
      <c r="C40" s="95">
        <f>14147.2+4696.9</f>
        <v>18844.1</v>
      </c>
      <c r="D40" s="88">
        <f>12418.9+4316.4</f>
        <v>16735.3</v>
      </c>
      <c r="E40" s="95">
        <f t="shared" si="5"/>
        <v>88.80922941398104</v>
      </c>
      <c r="F40" s="88"/>
      <c r="G40" s="88"/>
      <c r="H40" s="88"/>
      <c r="I40" s="89">
        <f t="shared" si="0"/>
        <v>18844.1</v>
      </c>
      <c r="J40" s="80">
        <f t="shared" si="0"/>
        <v>16735.3</v>
      </c>
      <c r="K40" s="90">
        <f t="shared" si="1"/>
        <v>88.80922941398104</v>
      </c>
    </row>
    <row r="41" spans="1:11" ht="30">
      <c r="A41" s="91" t="s">
        <v>28</v>
      </c>
      <c r="B41" s="97" t="s">
        <v>182</v>
      </c>
      <c r="C41" s="95">
        <v>1120.8</v>
      </c>
      <c r="D41" s="88">
        <v>848.8</v>
      </c>
      <c r="E41" s="95">
        <f t="shared" si="5"/>
        <v>75.73162027123483</v>
      </c>
      <c r="F41" s="88">
        <v>0</v>
      </c>
      <c r="G41" s="88">
        <v>0</v>
      </c>
      <c r="H41" s="88">
        <v>0</v>
      </c>
      <c r="I41" s="89">
        <f t="shared" si="0"/>
        <v>1120.8</v>
      </c>
      <c r="J41" s="80">
        <f t="shared" si="0"/>
        <v>848.8</v>
      </c>
      <c r="K41" s="90">
        <f t="shared" si="1"/>
        <v>75.73162027123483</v>
      </c>
    </row>
    <row r="42" spans="1:11" ht="90">
      <c r="A42" s="91" t="s">
        <v>28</v>
      </c>
      <c r="B42" s="97" t="s">
        <v>218</v>
      </c>
      <c r="C42" s="95">
        <v>703</v>
      </c>
      <c r="D42" s="88">
        <v>703</v>
      </c>
      <c r="E42" s="95">
        <f t="shared" si="5"/>
        <v>100</v>
      </c>
      <c r="F42" s="88">
        <v>0</v>
      </c>
      <c r="G42" s="88">
        <v>0</v>
      </c>
      <c r="H42" s="88"/>
      <c r="I42" s="89">
        <f t="shared" si="0"/>
        <v>703</v>
      </c>
      <c r="J42" s="80">
        <f t="shared" si="0"/>
        <v>703</v>
      </c>
      <c r="K42" s="90">
        <f t="shared" si="1"/>
        <v>100</v>
      </c>
    </row>
    <row r="43" spans="1:11" ht="120">
      <c r="A43" s="91" t="s">
        <v>28</v>
      </c>
      <c r="B43" s="97" t="s">
        <v>241</v>
      </c>
      <c r="C43" s="95">
        <v>95.9</v>
      </c>
      <c r="D43" s="88">
        <v>61</v>
      </c>
      <c r="E43" s="95">
        <f t="shared" si="5"/>
        <v>63.60792492179353</v>
      </c>
      <c r="F43" s="88"/>
      <c r="G43" s="88"/>
      <c r="H43" s="88"/>
      <c r="I43" s="89">
        <f t="shared" si="0"/>
        <v>95.9</v>
      </c>
      <c r="J43" s="80">
        <f t="shared" si="0"/>
        <v>61</v>
      </c>
      <c r="K43" s="90">
        <f t="shared" si="1"/>
        <v>63.60792492179353</v>
      </c>
    </row>
    <row r="44" spans="1:11" ht="60">
      <c r="A44" s="91" t="s">
        <v>28</v>
      </c>
      <c r="B44" s="97" t="s">
        <v>183</v>
      </c>
      <c r="C44" s="95">
        <v>5547.6</v>
      </c>
      <c r="D44" s="88">
        <v>4140.1</v>
      </c>
      <c r="E44" s="95">
        <f t="shared" si="5"/>
        <v>74.62866825293821</v>
      </c>
      <c r="F44" s="88"/>
      <c r="G44" s="88"/>
      <c r="H44" s="88"/>
      <c r="I44" s="89">
        <f t="shared" si="0"/>
        <v>5547.6</v>
      </c>
      <c r="J44" s="80">
        <f t="shared" si="0"/>
        <v>4140.1</v>
      </c>
      <c r="K44" s="90">
        <f t="shared" si="1"/>
        <v>74.62866825293821</v>
      </c>
    </row>
    <row r="45" spans="1:11" ht="60">
      <c r="A45" s="91" t="s">
        <v>28</v>
      </c>
      <c r="B45" s="97" t="s">
        <v>219</v>
      </c>
      <c r="C45" s="95">
        <v>594</v>
      </c>
      <c r="D45" s="88">
        <v>245.1</v>
      </c>
      <c r="E45" s="95">
        <f t="shared" si="5"/>
        <v>41.26262626262626</v>
      </c>
      <c r="F45" s="88"/>
      <c r="G45" s="88"/>
      <c r="H45" s="88"/>
      <c r="I45" s="89">
        <f t="shared" si="0"/>
        <v>594</v>
      </c>
      <c r="J45" s="80">
        <f t="shared" si="0"/>
        <v>245.1</v>
      </c>
      <c r="K45" s="90">
        <f t="shared" si="1"/>
        <v>41.26262626262626</v>
      </c>
    </row>
    <row r="46" spans="1:11" ht="75">
      <c r="A46" s="91" t="s">
        <v>28</v>
      </c>
      <c r="B46" s="97" t="s">
        <v>198</v>
      </c>
      <c r="C46" s="95">
        <v>2008.9</v>
      </c>
      <c r="D46" s="88">
        <v>614.2</v>
      </c>
      <c r="E46" s="95">
        <f t="shared" si="5"/>
        <v>30.57394594056449</v>
      </c>
      <c r="F46" s="88"/>
      <c r="G46" s="88"/>
      <c r="H46" s="88"/>
      <c r="I46" s="89">
        <f t="shared" si="0"/>
        <v>2008.9</v>
      </c>
      <c r="J46" s="80">
        <f t="shared" si="0"/>
        <v>614.2</v>
      </c>
      <c r="K46" s="90">
        <f t="shared" si="1"/>
        <v>30.57394594056449</v>
      </c>
    </row>
    <row r="47" spans="1:11" ht="60">
      <c r="A47" s="91" t="s">
        <v>28</v>
      </c>
      <c r="B47" s="97" t="s">
        <v>224</v>
      </c>
      <c r="C47" s="95">
        <v>600</v>
      </c>
      <c r="D47" s="88">
        <v>0</v>
      </c>
      <c r="E47" s="95">
        <f t="shared" si="5"/>
        <v>0</v>
      </c>
      <c r="F47" s="88"/>
      <c r="G47" s="88"/>
      <c r="H47" s="88"/>
      <c r="I47" s="89">
        <f t="shared" si="0"/>
        <v>600</v>
      </c>
      <c r="J47" s="80">
        <f t="shared" si="0"/>
        <v>0</v>
      </c>
      <c r="K47" s="90">
        <f t="shared" si="1"/>
        <v>0</v>
      </c>
    </row>
    <row r="48" spans="1:11" ht="14.25">
      <c r="A48" s="81" t="s">
        <v>29</v>
      </c>
      <c r="B48" s="82" t="s">
        <v>30</v>
      </c>
      <c r="C48" s="110">
        <f>SUM(C49:C74)</f>
        <v>695408.4</v>
      </c>
      <c r="D48" s="110">
        <f>SUM(D49:D74)</f>
        <v>411358.9000000001</v>
      </c>
      <c r="E48" s="83">
        <f t="shared" si="5"/>
        <v>59.15357076503535</v>
      </c>
      <c r="F48" s="98">
        <f>SUM(F49:F74)</f>
        <v>144138.09999999998</v>
      </c>
      <c r="G48" s="98">
        <f>SUM(G49:G74)</f>
        <v>83937.79999999999</v>
      </c>
      <c r="H48" s="98">
        <f>G48/F48*100</f>
        <v>58.23429058659716</v>
      </c>
      <c r="I48" s="110">
        <f>SUM(I49:I74)</f>
        <v>790310.8999999999</v>
      </c>
      <c r="J48" s="110">
        <f>SUM(J49:J74)</f>
        <v>483923.50000000006</v>
      </c>
      <c r="K48" s="85">
        <f t="shared" si="1"/>
        <v>61.23204171927783</v>
      </c>
    </row>
    <row r="49" spans="1:11" ht="15">
      <c r="A49" s="99" t="s">
        <v>31</v>
      </c>
      <c r="B49" s="100" t="s">
        <v>184</v>
      </c>
      <c r="C49" s="79">
        <v>1921.3</v>
      </c>
      <c r="D49" s="79">
        <v>1920.7</v>
      </c>
      <c r="E49" s="95">
        <f t="shared" si="5"/>
        <v>99.96877114453756</v>
      </c>
      <c r="F49" s="88">
        <v>30473.8</v>
      </c>
      <c r="G49" s="88">
        <v>22637.8</v>
      </c>
      <c r="H49" s="88">
        <f>G49/F49*100</f>
        <v>74.28610806660147</v>
      </c>
      <c r="I49" s="89">
        <f t="shared" si="0"/>
        <v>32395.1</v>
      </c>
      <c r="J49" s="80">
        <f t="shared" si="0"/>
        <v>24558.5</v>
      </c>
      <c r="K49" s="90">
        <f t="shared" si="1"/>
        <v>75.80930449358083</v>
      </c>
    </row>
    <row r="50" spans="1:11" ht="90">
      <c r="A50" s="86" t="s">
        <v>31</v>
      </c>
      <c r="B50" s="87" t="s">
        <v>185</v>
      </c>
      <c r="C50" s="79">
        <v>474814.5</v>
      </c>
      <c r="D50" s="79">
        <v>282510.8</v>
      </c>
      <c r="E50" s="95">
        <f t="shared" si="5"/>
        <v>59.49919389572138</v>
      </c>
      <c r="F50" s="88">
        <v>0</v>
      </c>
      <c r="G50" s="88">
        <v>0</v>
      </c>
      <c r="H50" s="88">
        <v>0</v>
      </c>
      <c r="I50" s="89">
        <f t="shared" si="0"/>
        <v>474814.5</v>
      </c>
      <c r="J50" s="80">
        <f t="shared" si="0"/>
        <v>282510.8</v>
      </c>
      <c r="K50" s="90">
        <f t="shared" si="1"/>
        <v>59.49919389572138</v>
      </c>
    </row>
    <row r="51" spans="1:11" ht="120">
      <c r="A51" s="86" t="s">
        <v>31</v>
      </c>
      <c r="B51" s="87" t="s">
        <v>225</v>
      </c>
      <c r="C51" s="79">
        <v>2115.2</v>
      </c>
      <c r="D51" s="79">
        <v>0</v>
      </c>
      <c r="E51" s="95">
        <f t="shared" si="5"/>
        <v>0</v>
      </c>
      <c r="F51" s="88"/>
      <c r="G51" s="88"/>
      <c r="H51" s="88"/>
      <c r="I51" s="89">
        <f t="shared" si="0"/>
        <v>2115.2</v>
      </c>
      <c r="J51" s="80">
        <f t="shared" si="0"/>
        <v>0</v>
      </c>
      <c r="K51" s="90">
        <f t="shared" si="1"/>
        <v>0</v>
      </c>
    </row>
    <row r="52" spans="1:11" ht="75">
      <c r="A52" s="91" t="s">
        <v>31</v>
      </c>
      <c r="B52" s="87" t="s">
        <v>186</v>
      </c>
      <c r="C52" s="79">
        <v>2400</v>
      </c>
      <c r="D52" s="79">
        <v>2400</v>
      </c>
      <c r="E52" s="95">
        <f t="shared" si="5"/>
        <v>100</v>
      </c>
      <c r="F52" s="88">
        <v>2400</v>
      </c>
      <c r="G52" s="88">
        <v>1673.3</v>
      </c>
      <c r="H52" s="88">
        <f>G52/F52*100</f>
        <v>69.72083333333333</v>
      </c>
      <c r="I52" s="89">
        <f>C52+F52-2400</f>
        <v>2400</v>
      </c>
      <c r="J52" s="80">
        <f>D52+G52-2400</f>
        <v>1673.3000000000002</v>
      </c>
      <c r="K52" s="90">
        <f t="shared" si="1"/>
        <v>69.72083333333335</v>
      </c>
    </row>
    <row r="53" spans="1:11" ht="40.5" customHeight="1">
      <c r="A53" s="86" t="s">
        <v>32</v>
      </c>
      <c r="B53" s="87" t="s">
        <v>199</v>
      </c>
      <c r="C53" s="79">
        <v>5555.3</v>
      </c>
      <c r="D53" s="79">
        <v>4868.1</v>
      </c>
      <c r="E53" s="95">
        <f t="shared" si="5"/>
        <v>87.62983097222474</v>
      </c>
      <c r="F53" s="88"/>
      <c r="G53" s="88"/>
      <c r="H53" s="88"/>
      <c r="I53" s="89">
        <f t="shared" si="0"/>
        <v>5555.3</v>
      </c>
      <c r="J53" s="80">
        <f t="shared" si="0"/>
        <v>4868.1</v>
      </c>
      <c r="K53" s="90">
        <f t="shared" si="1"/>
        <v>87.62983097222474</v>
      </c>
    </row>
    <row r="54" spans="1:11" ht="120">
      <c r="A54" s="86" t="s">
        <v>32</v>
      </c>
      <c r="B54" s="87" t="s">
        <v>200</v>
      </c>
      <c r="C54" s="79">
        <v>10545.4</v>
      </c>
      <c r="D54" s="109">
        <v>9222.5</v>
      </c>
      <c r="E54" s="95">
        <f t="shared" si="5"/>
        <v>87.4551937337607</v>
      </c>
      <c r="F54" s="88"/>
      <c r="G54" s="88"/>
      <c r="H54" s="88"/>
      <c r="I54" s="89">
        <f t="shared" si="0"/>
        <v>10545.4</v>
      </c>
      <c r="J54" s="80">
        <f t="shared" si="0"/>
        <v>9222.5</v>
      </c>
      <c r="K54" s="90">
        <f t="shared" si="1"/>
        <v>87.4551937337607</v>
      </c>
    </row>
    <row r="55" spans="1:11" ht="135">
      <c r="A55" s="86" t="s">
        <v>32</v>
      </c>
      <c r="B55" s="87" t="s">
        <v>214</v>
      </c>
      <c r="C55" s="79">
        <v>9131.1</v>
      </c>
      <c r="D55" s="109">
        <v>4871.4</v>
      </c>
      <c r="E55" s="95">
        <f>D55/C55*100</f>
        <v>53.34954167624929</v>
      </c>
      <c r="F55" s="88"/>
      <c r="G55" s="88"/>
      <c r="H55" s="88"/>
      <c r="I55" s="89">
        <f>C55+F55</f>
        <v>9131.1</v>
      </c>
      <c r="J55" s="80">
        <f>D55+G55</f>
        <v>4871.4</v>
      </c>
      <c r="K55" s="90">
        <f>J55/I55*100</f>
        <v>53.34954167624929</v>
      </c>
    </row>
    <row r="56" spans="1:11" ht="135">
      <c r="A56" s="86" t="s">
        <v>32</v>
      </c>
      <c r="B56" s="87" t="s">
        <v>201</v>
      </c>
      <c r="C56" s="79">
        <v>3928.5</v>
      </c>
      <c r="D56" s="109">
        <v>3247.5</v>
      </c>
      <c r="E56" s="95">
        <f>D56/C56*100</f>
        <v>82.6651393661703</v>
      </c>
      <c r="F56" s="88"/>
      <c r="G56" s="88"/>
      <c r="H56" s="88"/>
      <c r="I56" s="89">
        <f>C56+F56</f>
        <v>3928.5</v>
      </c>
      <c r="J56" s="80">
        <f>D56+G56</f>
        <v>3247.5</v>
      </c>
      <c r="K56" s="90">
        <f>J56/I56*100</f>
        <v>82.6651393661703</v>
      </c>
    </row>
    <row r="57" spans="1:11" ht="135">
      <c r="A57" s="86" t="s">
        <v>32</v>
      </c>
      <c r="B57" s="87" t="s">
        <v>226</v>
      </c>
      <c r="C57" s="79">
        <f>35857.6+300.9</f>
        <v>36158.5</v>
      </c>
      <c r="D57" s="109">
        <v>22091.4</v>
      </c>
      <c r="E57" s="95">
        <f t="shared" si="5"/>
        <v>61.09600785430812</v>
      </c>
      <c r="F57" s="88">
        <v>300.9</v>
      </c>
      <c r="G57" s="88"/>
      <c r="H57" s="88">
        <v>0</v>
      </c>
      <c r="I57" s="89">
        <f>C57+F57-300.9</f>
        <v>36158.5</v>
      </c>
      <c r="J57" s="80">
        <f t="shared" si="0"/>
        <v>22091.4</v>
      </c>
      <c r="K57" s="90">
        <f t="shared" si="1"/>
        <v>61.09600785430812</v>
      </c>
    </row>
    <row r="58" spans="1:11" ht="120">
      <c r="A58" s="86" t="s">
        <v>32</v>
      </c>
      <c r="B58" s="87" t="s">
        <v>220</v>
      </c>
      <c r="C58" s="79">
        <v>4119.6</v>
      </c>
      <c r="D58" s="109">
        <v>2974.3</v>
      </c>
      <c r="E58" s="95">
        <f t="shared" si="5"/>
        <v>72.1987571608894</v>
      </c>
      <c r="F58" s="88"/>
      <c r="G58" s="88"/>
      <c r="H58" s="88"/>
      <c r="I58" s="89">
        <f t="shared" si="0"/>
        <v>4119.6</v>
      </c>
      <c r="J58" s="80">
        <f t="shared" si="0"/>
        <v>2974.3</v>
      </c>
      <c r="K58" s="90">
        <f t="shared" si="1"/>
        <v>72.1987571608894</v>
      </c>
    </row>
    <row r="59" spans="1:11" ht="105">
      <c r="A59" s="86" t="s">
        <v>32</v>
      </c>
      <c r="B59" s="97" t="s">
        <v>221</v>
      </c>
      <c r="C59" s="79">
        <v>26553.2</v>
      </c>
      <c r="D59" s="79">
        <v>12420.8</v>
      </c>
      <c r="E59" s="95">
        <f t="shared" si="5"/>
        <v>46.77703628941144</v>
      </c>
      <c r="F59" s="88"/>
      <c r="G59" s="88"/>
      <c r="H59" s="88">
        <v>0</v>
      </c>
      <c r="I59" s="89">
        <f t="shared" si="0"/>
        <v>26553.2</v>
      </c>
      <c r="J59" s="80">
        <f t="shared" si="0"/>
        <v>12420.8</v>
      </c>
      <c r="K59" s="90">
        <f t="shared" si="1"/>
        <v>46.77703628941144</v>
      </c>
    </row>
    <row r="60" spans="1:11" ht="120">
      <c r="A60" s="91" t="s">
        <v>32</v>
      </c>
      <c r="B60" s="97" t="s">
        <v>202</v>
      </c>
      <c r="C60" s="79">
        <v>33079.4</v>
      </c>
      <c r="D60" s="109">
        <v>24475.7</v>
      </c>
      <c r="E60" s="95">
        <f t="shared" si="5"/>
        <v>73.99076162203667</v>
      </c>
      <c r="F60" s="88"/>
      <c r="G60" s="88"/>
      <c r="H60" s="88">
        <v>0</v>
      </c>
      <c r="I60" s="89">
        <f t="shared" si="0"/>
        <v>33079.4</v>
      </c>
      <c r="J60" s="80">
        <f t="shared" si="0"/>
        <v>24475.7</v>
      </c>
      <c r="K60" s="90">
        <f t="shared" si="1"/>
        <v>73.99076162203667</v>
      </c>
    </row>
    <row r="61" spans="1:11" ht="120">
      <c r="A61" s="91" t="s">
        <v>32</v>
      </c>
      <c r="B61" s="97" t="s">
        <v>203</v>
      </c>
      <c r="C61" s="79">
        <v>11484.2</v>
      </c>
      <c r="D61" s="109">
        <v>6783.9</v>
      </c>
      <c r="E61" s="95">
        <f t="shared" si="5"/>
        <v>59.0715940161265</v>
      </c>
      <c r="F61" s="88"/>
      <c r="G61" s="88"/>
      <c r="H61" s="88"/>
      <c r="I61" s="89">
        <f t="shared" si="0"/>
        <v>11484.2</v>
      </c>
      <c r="J61" s="80">
        <f t="shared" si="0"/>
        <v>6783.9</v>
      </c>
      <c r="K61" s="90">
        <f t="shared" si="1"/>
        <v>59.0715940161265</v>
      </c>
    </row>
    <row r="62" spans="1:11" ht="120">
      <c r="A62" s="91" t="s">
        <v>32</v>
      </c>
      <c r="B62" s="97" t="s">
        <v>227</v>
      </c>
      <c r="C62" s="79"/>
      <c r="D62" s="109"/>
      <c r="E62" s="95"/>
      <c r="F62" s="88"/>
      <c r="G62" s="88"/>
      <c r="H62" s="88"/>
      <c r="I62" s="89">
        <f t="shared" si="0"/>
        <v>0</v>
      </c>
      <c r="J62" s="80">
        <f t="shared" si="0"/>
        <v>0</v>
      </c>
      <c r="K62" s="90" t="e">
        <f t="shared" si="1"/>
        <v>#DIV/0!</v>
      </c>
    </row>
    <row r="63" spans="1:11" ht="120">
      <c r="A63" s="91" t="s">
        <v>32</v>
      </c>
      <c r="B63" s="97" t="s">
        <v>228</v>
      </c>
      <c r="C63" s="79">
        <v>40200</v>
      </c>
      <c r="D63" s="109">
        <v>4138.6</v>
      </c>
      <c r="E63" s="95">
        <f t="shared" si="5"/>
        <v>10.295024875621891</v>
      </c>
      <c r="F63" s="88">
        <v>40130</v>
      </c>
      <c r="G63" s="88">
        <v>4118</v>
      </c>
      <c r="H63" s="88">
        <f>G63/F63*100</f>
        <v>10.261649638674308</v>
      </c>
      <c r="I63" s="89">
        <f>C63+F63-40200</f>
        <v>40130</v>
      </c>
      <c r="J63" s="80">
        <f>D63+G63-4138.6</f>
        <v>4118</v>
      </c>
      <c r="K63" s="90">
        <f t="shared" si="1"/>
        <v>10.261649638674308</v>
      </c>
    </row>
    <row r="64" spans="1:11" ht="45">
      <c r="A64" s="91" t="s">
        <v>32</v>
      </c>
      <c r="B64" s="97" t="s">
        <v>229</v>
      </c>
      <c r="C64" s="79">
        <v>16333.1</v>
      </c>
      <c r="D64" s="109">
        <v>16118.4</v>
      </c>
      <c r="E64" s="95">
        <f t="shared" si="5"/>
        <v>98.68549142538771</v>
      </c>
      <c r="F64" s="88"/>
      <c r="G64" s="88"/>
      <c r="H64" s="88"/>
      <c r="I64" s="89">
        <f>C64+F64</f>
        <v>16333.1</v>
      </c>
      <c r="J64" s="80">
        <f>D64+G64</f>
        <v>16118.4</v>
      </c>
      <c r="K64" s="90">
        <f t="shared" si="1"/>
        <v>98.68549142538771</v>
      </c>
    </row>
    <row r="65" spans="1:11" ht="60">
      <c r="A65" s="91" t="s">
        <v>32</v>
      </c>
      <c r="B65" s="97" t="s">
        <v>204</v>
      </c>
      <c r="C65" s="79"/>
      <c r="D65" s="109"/>
      <c r="E65" s="95"/>
      <c r="F65" s="88">
        <v>9155.4</v>
      </c>
      <c r="G65" s="88">
        <v>5709.4</v>
      </c>
      <c r="H65" s="88">
        <f aca="true" t="shared" si="7" ref="H65:H74">G65/F65*100</f>
        <v>62.36101098805077</v>
      </c>
      <c r="I65" s="89">
        <f t="shared" si="0"/>
        <v>9155.4</v>
      </c>
      <c r="J65" s="80">
        <f>D65+G65</f>
        <v>5709.4</v>
      </c>
      <c r="K65" s="90">
        <f t="shared" si="1"/>
        <v>62.36101098805077</v>
      </c>
    </row>
    <row r="66" spans="1:11" ht="45">
      <c r="A66" s="91" t="s">
        <v>32</v>
      </c>
      <c r="B66" s="97" t="s">
        <v>230</v>
      </c>
      <c r="C66" s="79"/>
      <c r="D66" s="109"/>
      <c r="E66" s="95"/>
      <c r="F66" s="88">
        <v>657.9</v>
      </c>
      <c r="G66" s="88">
        <v>657.8</v>
      </c>
      <c r="H66" s="88">
        <f t="shared" si="7"/>
        <v>99.98480012159902</v>
      </c>
      <c r="I66" s="89">
        <f t="shared" si="0"/>
        <v>657.9</v>
      </c>
      <c r="J66" s="80">
        <f>D66+G66</f>
        <v>657.8</v>
      </c>
      <c r="K66" s="90">
        <f t="shared" si="1"/>
        <v>99.98480012159902</v>
      </c>
    </row>
    <row r="67" spans="1:11" ht="30">
      <c r="A67" s="91" t="s">
        <v>32</v>
      </c>
      <c r="B67" s="97" t="s">
        <v>205</v>
      </c>
      <c r="C67" s="79"/>
      <c r="D67" s="109"/>
      <c r="E67" s="95"/>
      <c r="F67" s="88">
        <v>18741.7</v>
      </c>
      <c r="G67" s="88">
        <v>17439.2</v>
      </c>
      <c r="H67" s="88">
        <f t="shared" si="7"/>
        <v>93.05025691372715</v>
      </c>
      <c r="I67" s="89">
        <f t="shared" si="0"/>
        <v>18741.7</v>
      </c>
      <c r="J67" s="80">
        <f>D67+G67</f>
        <v>17439.2</v>
      </c>
      <c r="K67" s="90">
        <f t="shared" si="1"/>
        <v>93.05025691372715</v>
      </c>
    </row>
    <row r="68" spans="1:11" ht="60">
      <c r="A68" s="91" t="s">
        <v>33</v>
      </c>
      <c r="B68" s="97" t="s">
        <v>187</v>
      </c>
      <c r="C68" s="95">
        <v>11344</v>
      </c>
      <c r="D68" s="109">
        <v>9239.9</v>
      </c>
      <c r="E68" s="95">
        <f>D68/C68*100</f>
        <v>81.45186882933709</v>
      </c>
      <c r="F68" s="88">
        <v>1324.6</v>
      </c>
      <c r="G68" s="88">
        <v>700</v>
      </c>
      <c r="H68" s="88">
        <f t="shared" si="7"/>
        <v>52.8461422316171</v>
      </c>
      <c r="I68" s="89">
        <f>C68+F68-1324.6</f>
        <v>11344</v>
      </c>
      <c r="J68" s="80">
        <f>D68+G68-1324.6</f>
        <v>8615.3</v>
      </c>
      <c r="K68" s="90">
        <f t="shared" si="1"/>
        <v>75.94587447108603</v>
      </c>
    </row>
    <row r="69" spans="1:11" ht="45">
      <c r="A69" s="91" t="s">
        <v>33</v>
      </c>
      <c r="B69" s="97" t="s">
        <v>188</v>
      </c>
      <c r="C69" s="79">
        <v>3153.8</v>
      </c>
      <c r="D69" s="109">
        <v>3153.7</v>
      </c>
      <c r="E69" s="95">
        <f>D69/C69*100</f>
        <v>99.99682922189103</v>
      </c>
      <c r="F69" s="88">
        <v>3153.8</v>
      </c>
      <c r="G69" s="88">
        <v>2893.7</v>
      </c>
      <c r="H69" s="88">
        <f t="shared" si="7"/>
        <v>91.75280613862641</v>
      </c>
      <c r="I69" s="89">
        <f>C69+F69-3153.8</f>
        <v>3153.8</v>
      </c>
      <c r="J69" s="80">
        <f>D69+G69-3153.7</f>
        <v>2893.7</v>
      </c>
      <c r="K69" s="90">
        <f t="shared" si="1"/>
        <v>91.75280613862641</v>
      </c>
    </row>
    <row r="70" spans="1:11" ht="150">
      <c r="A70" s="86" t="s">
        <v>33</v>
      </c>
      <c r="B70" s="87" t="s">
        <v>231</v>
      </c>
      <c r="C70" s="79"/>
      <c r="D70" s="79">
        <v>0</v>
      </c>
      <c r="E70" s="95">
        <v>0</v>
      </c>
      <c r="F70" s="79">
        <v>1919.2</v>
      </c>
      <c r="G70" s="88">
        <v>1919.2</v>
      </c>
      <c r="H70" s="88">
        <f t="shared" si="7"/>
        <v>100</v>
      </c>
      <c r="I70" s="89">
        <f t="shared" si="0"/>
        <v>1919.2</v>
      </c>
      <c r="J70" s="80">
        <f t="shared" si="0"/>
        <v>1919.2</v>
      </c>
      <c r="K70" s="90">
        <f t="shared" si="1"/>
        <v>100</v>
      </c>
    </row>
    <row r="71" spans="1:11" ht="75">
      <c r="A71" s="91" t="s">
        <v>33</v>
      </c>
      <c r="B71" s="87" t="s">
        <v>189</v>
      </c>
      <c r="C71" s="79">
        <v>1500</v>
      </c>
      <c r="D71" s="79">
        <v>0</v>
      </c>
      <c r="E71" s="79">
        <f t="shared" si="5"/>
        <v>0</v>
      </c>
      <c r="F71" s="79">
        <v>1500</v>
      </c>
      <c r="G71" s="88">
        <v>0</v>
      </c>
      <c r="H71" s="88">
        <f t="shared" si="7"/>
        <v>0</v>
      </c>
      <c r="I71" s="89">
        <f>C71+F71-1500</f>
        <v>1500</v>
      </c>
      <c r="J71" s="80">
        <f>D71+G71</f>
        <v>0</v>
      </c>
      <c r="K71" s="90">
        <f t="shared" si="1"/>
        <v>0</v>
      </c>
    </row>
    <row r="72" spans="1:11" ht="60">
      <c r="A72" s="91" t="s">
        <v>33</v>
      </c>
      <c r="B72" s="87" t="s">
        <v>242</v>
      </c>
      <c r="C72" s="79">
        <v>123.9</v>
      </c>
      <c r="D72" s="79"/>
      <c r="E72" s="79"/>
      <c r="F72" s="79"/>
      <c r="G72" s="88"/>
      <c r="H72" s="88"/>
      <c r="I72" s="89">
        <f>C72+F72</f>
        <v>123.9</v>
      </c>
      <c r="J72" s="80">
        <f>D72+G72</f>
        <v>0</v>
      </c>
      <c r="K72" s="90">
        <f t="shared" si="1"/>
        <v>0</v>
      </c>
    </row>
    <row r="73" spans="1:11" ht="15">
      <c r="A73" s="86" t="s">
        <v>33</v>
      </c>
      <c r="B73" s="87" t="s">
        <v>190</v>
      </c>
      <c r="C73" s="79">
        <v>536.9</v>
      </c>
      <c r="D73" s="79">
        <v>532.9</v>
      </c>
      <c r="E73" s="95">
        <f>D73/C73*100</f>
        <v>99.25498230582977</v>
      </c>
      <c r="F73" s="79">
        <v>34024.5</v>
      </c>
      <c r="G73" s="88">
        <v>25841.2</v>
      </c>
      <c r="H73" s="88">
        <f t="shared" si="7"/>
        <v>75.9488015988479</v>
      </c>
      <c r="I73" s="89">
        <f>C73+F73</f>
        <v>34561.4</v>
      </c>
      <c r="J73" s="80">
        <f>D73+G73</f>
        <v>26374.100000000002</v>
      </c>
      <c r="K73" s="90">
        <f t="shared" si="1"/>
        <v>76.31085546303102</v>
      </c>
    </row>
    <row r="74" spans="1:11" ht="30">
      <c r="A74" s="91" t="s">
        <v>138</v>
      </c>
      <c r="B74" s="87" t="s">
        <v>139</v>
      </c>
      <c r="C74" s="79">
        <v>410.5</v>
      </c>
      <c r="D74" s="79">
        <v>388.3</v>
      </c>
      <c r="E74" s="95">
        <v>0</v>
      </c>
      <c r="F74" s="79">
        <v>356.3</v>
      </c>
      <c r="G74" s="88">
        <v>348.2</v>
      </c>
      <c r="H74" s="88">
        <f t="shared" si="7"/>
        <v>97.7266348582655</v>
      </c>
      <c r="I74" s="89">
        <f>C74+F74-356.3</f>
        <v>410.49999999999994</v>
      </c>
      <c r="J74" s="80">
        <f>D74+G74-356.3</f>
        <v>380.2</v>
      </c>
      <c r="K74" s="90">
        <f t="shared" si="1"/>
        <v>92.6187576126675</v>
      </c>
    </row>
    <row r="75" spans="1:11" ht="15">
      <c r="A75" s="101" t="s">
        <v>34</v>
      </c>
      <c r="B75" s="102" t="s">
        <v>35</v>
      </c>
      <c r="C75" s="98">
        <f aca="true" t="shared" si="8" ref="C75:H75">C76</f>
        <v>0</v>
      </c>
      <c r="D75" s="98">
        <f t="shared" si="8"/>
        <v>0</v>
      </c>
      <c r="E75" s="83">
        <v>0</v>
      </c>
      <c r="F75" s="98">
        <f t="shared" si="8"/>
        <v>0</v>
      </c>
      <c r="G75" s="98">
        <f t="shared" si="8"/>
        <v>0</v>
      </c>
      <c r="H75" s="84">
        <f t="shared" si="8"/>
        <v>0</v>
      </c>
      <c r="I75" s="98">
        <f t="shared" si="0"/>
        <v>0</v>
      </c>
      <c r="J75" s="98">
        <f t="shared" si="0"/>
        <v>0</v>
      </c>
      <c r="K75" s="85">
        <v>0</v>
      </c>
    </row>
    <row r="76" spans="1:11" ht="30">
      <c r="A76" s="91" t="s">
        <v>36</v>
      </c>
      <c r="B76" s="103" t="s">
        <v>37</v>
      </c>
      <c r="C76" s="96">
        <v>0</v>
      </c>
      <c r="D76" s="88">
        <v>0</v>
      </c>
      <c r="E76" s="79">
        <v>0</v>
      </c>
      <c r="F76" s="88">
        <v>0</v>
      </c>
      <c r="G76" s="88">
        <v>0</v>
      </c>
      <c r="H76" s="88">
        <v>0</v>
      </c>
      <c r="I76" s="89">
        <f t="shared" si="0"/>
        <v>0</v>
      </c>
      <c r="J76" s="80">
        <f t="shared" si="0"/>
        <v>0</v>
      </c>
      <c r="K76" s="90">
        <v>0</v>
      </c>
    </row>
    <row r="77" spans="1:11" ht="15">
      <c r="A77" s="81" t="s">
        <v>38</v>
      </c>
      <c r="B77" s="82" t="s">
        <v>39</v>
      </c>
      <c r="C77" s="83">
        <f>SUM(C78:C83)</f>
        <v>2278609.5</v>
      </c>
      <c r="D77" s="83">
        <f>SUM(D78:D83)</f>
        <v>1909051.8</v>
      </c>
      <c r="E77" s="83">
        <f>D77/C77*100</f>
        <v>83.7814377584224</v>
      </c>
      <c r="F77" s="98">
        <f>F78+F79+F80+F82+F83</f>
        <v>0</v>
      </c>
      <c r="G77" s="98">
        <f>SUM(G78:G83)</f>
        <v>0</v>
      </c>
      <c r="H77" s="84">
        <v>0</v>
      </c>
      <c r="I77" s="83">
        <f>SUM(I78:I83)</f>
        <v>2278609.5</v>
      </c>
      <c r="J77" s="83">
        <f>SUM(J78:J83)</f>
        <v>1909051.8</v>
      </c>
      <c r="K77" s="85">
        <f t="shared" si="1"/>
        <v>83.7814377584224</v>
      </c>
    </row>
    <row r="78" spans="1:11" ht="15">
      <c r="A78" s="86" t="s">
        <v>40</v>
      </c>
      <c r="B78" s="87" t="s">
        <v>41</v>
      </c>
      <c r="C78" s="79">
        <v>420587.9</v>
      </c>
      <c r="D78" s="79">
        <v>363433.5</v>
      </c>
      <c r="E78" s="79">
        <f t="shared" si="5"/>
        <v>86.41083112471851</v>
      </c>
      <c r="F78" s="88">
        <v>0</v>
      </c>
      <c r="G78" s="88">
        <v>0</v>
      </c>
      <c r="H78" s="88">
        <v>0</v>
      </c>
      <c r="I78" s="89">
        <f t="shared" si="0"/>
        <v>420587.9</v>
      </c>
      <c r="J78" s="80">
        <f t="shared" si="0"/>
        <v>363433.5</v>
      </c>
      <c r="K78" s="90">
        <f t="shared" si="1"/>
        <v>86.41083112471851</v>
      </c>
    </row>
    <row r="79" spans="1:11" ht="15">
      <c r="A79" s="86" t="s">
        <v>42</v>
      </c>
      <c r="B79" s="87" t="s">
        <v>43</v>
      </c>
      <c r="C79" s="79">
        <f>1781101.7-C80-C81</f>
        <v>1077361.1</v>
      </c>
      <c r="D79" s="79">
        <f>1474557.2-D80-D81</f>
        <v>868317.8999999999</v>
      </c>
      <c r="E79" s="79">
        <f t="shared" si="5"/>
        <v>80.59673771403105</v>
      </c>
      <c r="F79" s="88">
        <v>0</v>
      </c>
      <c r="G79" s="88">
        <v>0</v>
      </c>
      <c r="H79" s="88">
        <v>0</v>
      </c>
      <c r="I79" s="89">
        <f t="shared" si="0"/>
        <v>1077361.1</v>
      </c>
      <c r="J79" s="80">
        <f t="shared" si="0"/>
        <v>868317.8999999999</v>
      </c>
      <c r="K79" s="90">
        <f t="shared" si="1"/>
        <v>80.59673771403105</v>
      </c>
    </row>
    <row r="80" spans="1:11" ht="15">
      <c r="A80" s="86" t="s">
        <v>42</v>
      </c>
      <c r="B80" s="87" t="s">
        <v>191</v>
      </c>
      <c r="C80" s="79">
        <v>41271</v>
      </c>
      <c r="D80" s="79">
        <v>31911.3</v>
      </c>
      <c r="E80" s="79">
        <f t="shared" si="5"/>
        <v>77.32136366940466</v>
      </c>
      <c r="F80" s="88">
        <v>0</v>
      </c>
      <c r="G80" s="88">
        <v>0</v>
      </c>
      <c r="H80" s="88">
        <v>0</v>
      </c>
      <c r="I80" s="89">
        <f t="shared" si="0"/>
        <v>41271</v>
      </c>
      <c r="J80" s="80">
        <f t="shared" si="0"/>
        <v>31911.3</v>
      </c>
      <c r="K80" s="90">
        <f t="shared" si="1"/>
        <v>77.32136366940466</v>
      </c>
    </row>
    <row r="81" spans="1:11" ht="120">
      <c r="A81" s="86" t="s">
        <v>42</v>
      </c>
      <c r="B81" s="87" t="s">
        <v>192</v>
      </c>
      <c r="C81" s="79">
        <v>662469.6</v>
      </c>
      <c r="D81" s="79">
        <v>574328</v>
      </c>
      <c r="E81" s="79">
        <f t="shared" si="5"/>
        <v>86.69499702325963</v>
      </c>
      <c r="F81" s="88">
        <v>0</v>
      </c>
      <c r="G81" s="88">
        <v>0</v>
      </c>
      <c r="H81" s="88">
        <v>0</v>
      </c>
      <c r="I81" s="89">
        <f t="shared" si="0"/>
        <v>662469.6</v>
      </c>
      <c r="J81" s="80">
        <f t="shared" si="0"/>
        <v>574328</v>
      </c>
      <c r="K81" s="90">
        <f t="shared" si="1"/>
        <v>86.69499702325963</v>
      </c>
    </row>
    <row r="82" spans="1:11" ht="15">
      <c r="A82" s="86" t="s">
        <v>44</v>
      </c>
      <c r="B82" s="87" t="s">
        <v>45</v>
      </c>
      <c r="C82" s="79">
        <v>22112</v>
      </c>
      <c r="D82" s="79">
        <v>21105.5</v>
      </c>
      <c r="E82" s="79">
        <f t="shared" si="5"/>
        <v>95.44817293777135</v>
      </c>
      <c r="F82" s="88">
        <v>0</v>
      </c>
      <c r="G82" s="88">
        <v>0</v>
      </c>
      <c r="H82" s="88">
        <v>0</v>
      </c>
      <c r="I82" s="89">
        <f t="shared" si="0"/>
        <v>22112</v>
      </c>
      <c r="J82" s="80">
        <f t="shared" si="0"/>
        <v>21105.5</v>
      </c>
      <c r="K82" s="90">
        <f t="shared" si="1"/>
        <v>95.44817293777135</v>
      </c>
    </row>
    <row r="83" spans="1:11" ht="15">
      <c r="A83" s="86" t="s">
        <v>46</v>
      </c>
      <c r="B83" s="87" t="s">
        <v>47</v>
      </c>
      <c r="C83" s="79">
        <v>54807.9</v>
      </c>
      <c r="D83" s="79">
        <v>49955.6</v>
      </c>
      <c r="E83" s="79">
        <f t="shared" si="5"/>
        <v>91.14671425104774</v>
      </c>
      <c r="F83" s="88">
        <v>0</v>
      </c>
      <c r="G83" s="88">
        <v>0</v>
      </c>
      <c r="H83" s="88">
        <v>0</v>
      </c>
      <c r="I83" s="89">
        <f t="shared" si="0"/>
        <v>54807.9</v>
      </c>
      <c r="J83" s="80">
        <f t="shared" si="0"/>
        <v>49955.6</v>
      </c>
      <c r="K83" s="90">
        <f t="shared" si="1"/>
        <v>91.14671425104774</v>
      </c>
    </row>
    <row r="84" spans="1:11" ht="15">
      <c r="A84" s="81" t="s">
        <v>48</v>
      </c>
      <c r="B84" s="82" t="s">
        <v>49</v>
      </c>
      <c r="C84" s="83">
        <f>SUM(C85:C90)</f>
        <v>266536.2</v>
      </c>
      <c r="D84" s="83">
        <f>SUM(D85:D90)</f>
        <v>178428.5</v>
      </c>
      <c r="E84" s="83">
        <f>D84/C84*100</f>
        <v>66.94343957781345</v>
      </c>
      <c r="F84" s="98">
        <f>SUM(F85:F90)</f>
        <v>94603.7</v>
      </c>
      <c r="G84" s="98">
        <f>SUM(G85:G90)</f>
        <v>66472.3</v>
      </c>
      <c r="H84" s="84">
        <f>G84/F84*100</f>
        <v>70.26395373542474</v>
      </c>
      <c r="I84" s="98">
        <f>SUM(I85:I90)</f>
        <v>359115.10000000003</v>
      </c>
      <c r="J84" s="98">
        <f>SUM(J85:J90)</f>
        <v>242876</v>
      </c>
      <c r="K84" s="85">
        <f t="shared" si="1"/>
        <v>67.6317982730328</v>
      </c>
    </row>
    <row r="85" spans="1:11" ht="15">
      <c r="A85" s="86" t="s">
        <v>50</v>
      </c>
      <c r="B85" s="87" t="s">
        <v>90</v>
      </c>
      <c r="C85" s="79">
        <f>258099.8-C86-C87</f>
        <v>64396</v>
      </c>
      <c r="D85" s="79">
        <f>170654.9-D86-D87</f>
        <v>43682.899999999994</v>
      </c>
      <c r="E85" s="79">
        <f t="shared" si="5"/>
        <v>67.83480340393812</v>
      </c>
      <c r="F85" s="88">
        <f>93507.2-F87-F88</f>
        <v>91570.2</v>
      </c>
      <c r="G85" s="88">
        <f>65877.3-G87-G88</f>
        <v>64324.8</v>
      </c>
      <c r="H85" s="88">
        <f>G85/F85*100</f>
        <v>70.24643388351232</v>
      </c>
      <c r="I85" s="89">
        <f>C85+F85-498.3</f>
        <v>155467.90000000002</v>
      </c>
      <c r="J85" s="80">
        <f>D85+G85-498.3</f>
        <v>107509.4</v>
      </c>
      <c r="K85" s="90">
        <f t="shared" si="1"/>
        <v>69.15215295247442</v>
      </c>
    </row>
    <row r="86" spans="1:11" ht="75">
      <c r="A86" s="104" t="s">
        <v>50</v>
      </c>
      <c r="B86" s="105" t="s">
        <v>215</v>
      </c>
      <c r="C86" s="79">
        <v>192722.3</v>
      </c>
      <c r="D86" s="79">
        <v>125990.5</v>
      </c>
      <c r="E86" s="79">
        <f t="shared" si="5"/>
        <v>65.37411602082375</v>
      </c>
      <c r="F86" s="88">
        <v>0</v>
      </c>
      <c r="G86" s="88">
        <v>0</v>
      </c>
      <c r="H86" s="88">
        <v>0</v>
      </c>
      <c r="I86" s="89">
        <f aca="true" t="shared" si="9" ref="I86:J105">C86+F86</f>
        <v>192722.3</v>
      </c>
      <c r="J86" s="80">
        <f t="shared" si="9"/>
        <v>125990.5</v>
      </c>
      <c r="K86" s="90">
        <f>J86/I86*100</f>
        <v>65.37411602082375</v>
      </c>
    </row>
    <row r="87" spans="1:11" ht="15">
      <c r="A87" s="104" t="s">
        <v>50</v>
      </c>
      <c r="B87" s="105" t="s">
        <v>232</v>
      </c>
      <c r="C87" s="79">
        <v>981.5</v>
      </c>
      <c r="D87" s="79">
        <v>981.5</v>
      </c>
      <c r="E87" s="79">
        <f t="shared" si="5"/>
        <v>100</v>
      </c>
      <c r="F87" s="88">
        <v>1117</v>
      </c>
      <c r="G87" s="88">
        <v>1053.5</v>
      </c>
      <c r="H87" s="88">
        <f>G87/F87*100</f>
        <v>94.31512981199643</v>
      </c>
      <c r="I87" s="89">
        <f>C87+F87-981.5</f>
        <v>1117</v>
      </c>
      <c r="J87" s="80">
        <f>D87+G87-981.5</f>
        <v>1053.5</v>
      </c>
      <c r="K87" s="90">
        <f>J87/I87*100</f>
        <v>94.31512981199643</v>
      </c>
    </row>
    <row r="88" spans="1:11" ht="150">
      <c r="A88" s="104" t="s">
        <v>50</v>
      </c>
      <c r="B88" s="87" t="s">
        <v>206</v>
      </c>
      <c r="C88" s="79">
        <v>0</v>
      </c>
      <c r="D88" s="79">
        <v>0</v>
      </c>
      <c r="E88" s="79">
        <v>0</v>
      </c>
      <c r="F88" s="88">
        <v>820</v>
      </c>
      <c r="G88" s="88">
        <v>499</v>
      </c>
      <c r="H88" s="88">
        <f>G88/F88*100</f>
        <v>60.853658536585364</v>
      </c>
      <c r="I88" s="89">
        <f t="shared" si="9"/>
        <v>820</v>
      </c>
      <c r="J88" s="80">
        <f t="shared" si="9"/>
        <v>499</v>
      </c>
      <c r="K88" s="90">
        <v>0</v>
      </c>
    </row>
    <row r="89" spans="1:11" ht="15">
      <c r="A89" s="86" t="s">
        <v>51</v>
      </c>
      <c r="B89" s="87" t="s">
        <v>52</v>
      </c>
      <c r="C89" s="79">
        <v>230</v>
      </c>
      <c r="D89" s="79">
        <v>230</v>
      </c>
      <c r="E89" s="79">
        <f t="shared" si="5"/>
        <v>100</v>
      </c>
      <c r="F89" s="88">
        <v>561.5</v>
      </c>
      <c r="G89" s="88">
        <v>268.4</v>
      </c>
      <c r="H89" s="88">
        <f>G89/F89*100</f>
        <v>47.80053428317007</v>
      </c>
      <c r="I89" s="89">
        <f t="shared" si="9"/>
        <v>791.5</v>
      </c>
      <c r="J89" s="80">
        <f t="shared" si="9"/>
        <v>498.4</v>
      </c>
      <c r="K89" s="90">
        <f aca="true" t="shared" si="10" ref="K89:K120">J89/I89*100</f>
        <v>62.96904611497157</v>
      </c>
    </row>
    <row r="90" spans="1:11" ht="30">
      <c r="A90" s="86" t="s">
        <v>53</v>
      </c>
      <c r="B90" s="87" t="s">
        <v>91</v>
      </c>
      <c r="C90" s="79">
        <v>8206.4</v>
      </c>
      <c r="D90" s="79">
        <v>7543.6</v>
      </c>
      <c r="E90" s="79">
        <f t="shared" si="5"/>
        <v>91.92337687658414</v>
      </c>
      <c r="F90" s="88">
        <v>535</v>
      </c>
      <c r="G90" s="88">
        <v>326.6</v>
      </c>
      <c r="H90" s="88">
        <f>G90/F90*100</f>
        <v>61.046728971962615</v>
      </c>
      <c r="I90" s="89">
        <f>C90+F90-545</f>
        <v>8196.4</v>
      </c>
      <c r="J90" s="80">
        <f>D90+G90-545</f>
        <v>7325.200000000001</v>
      </c>
      <c r="K90" s="90">
        <f t="shared" si="10"/>
        <v>89.37094334097898</v>
      </c>
    </row>
    <row r="91" spans="1:11" ht="15">
      <c r="A91" s="81" t="s">
        <v>54</v>
      </c>
      <c r="B91" s="82" t="s">
        <v>92</v>
      </c>
      <c r="C91" s="83">
        <f>C92+C93</f>
        <v>33906.3</v>
      </c>
      <c r="D91" s="83">
        <f>D92+D93</f>
        <v>1905.9</v>
      </c>
      <c r="E91" s="83">
        <f>D91/C91*100</f>
        <v>5.621079268454535</v>
      </c>
      <c r="F91" s="98">
        <v>0</v>
      </c>
      <c r="G91" s="98">
        <v>0</v>
      </c>
      <c r="H91" s="84"/>
      <c r="I91" s="98">
        <f>C91+F91</f>
        <v>33906.3</v>
      </c>
      <c r="J91" s="98">
        <f t="shared" si="9"/>
        <v>1905.9</v>
      </c>
      <c r="K91" s="85">
        <f t="shared" si="10"/>
        <v>5.621079268454535</v>
      </c>
    </row>
    <row r="92" spans="1:11" ht="15">
      <c r="A92" s="91" t="s">
        <v>104</v>
      </c>
      <c r="B92" s="87" t="s">
        <v>193</v>
      </c>
      <c r="C92" s="79">
        <v>129.9</v>
      </c>
      <c r="D92" s="79">
        <v>113.5</v>
      </c>
      <c r="E92" s="79">
        <f t="shared" si="5"/>
        <v>87.37490377213241</v>
      </c>
      <c r="F92" s="89"/>
      <c r="G92" s="89"/>
      <c r="H92" s="88"/>
      <c r="I92" s="89">
        <f t="shared" si="9"/>
        <v>129.9</v>
      </c>
      <c r="J92" s="80">
        <f t="shared" si="9"/>
        <v>113.5</v>
      </c>
      <c r="K92" s="90">
        <f t="shared" si="10"/>
        <v>87.37490377213241</v>
      </c>
    </row>
    <row r="93" spans="1:11" ht="45">
      <c r="A93" s="91" t="s">
        <v>104</v>
      </c>
      <c r="B93" s="105" t="s">
        <v>132</v>
      </c>
      <c r="C93" s="79">
        <v>33776.4</v>
      </c>
      <c r="D93" s="88">
        <v>1792.4</v>
      </c>
      <c r="E93" s="79">
        <f t="shared" si="5"/>
        <v>5.3066638244454705</v>
      </c>
      <c r="F93" s="88">
        <v>0</v>
      </c>
      <c r="G93" s="88">
        <v>0</v>
      </c>
      <c r="H93" s="88">
        <v>0</v>
      </c>
      <c r="I93" s="89">
        <f t="shared" si="9"/>
        <v>33776.4</v>
      </c>
      <c r="J93" s="80">
        <f t="shared" si="9"/>
        <v>1792.4</v>
      </c>
      <c r="K93" s="90">
        <f t="shared" si="10"/>
        <v>5.3066638244454705</v>
      </c>
    </row>
    <row r="94" spans="1:11" ht="15">
      <c r="A94" s="81">
        <v>10</v>
      </c>
      <c r="B94" s="82" t="s">
        <v>60</v>
      </c>
      <c r="C94" s="83">
        <f>SUM(C95:C107)</f>
        <v>215921.09999999998</v>
      </c>
      <c r="D94" s="83">
        <f>SUM(D95:D107)</f>
        <v>143596.89999999997</v>
      </c>
      <c r="E94" s="83">
        <f>D94/C94*100</f>
        <v>66.50433885340524</v>
      </c>
      <c r="F94" s="83">
        <f>SUM(F95:F105)</f>
        <v>318.6</v>
      </c>
      <c r="G94" s="83">
        <f>SUM(G95:G105)</f>
        <v>273.6</v>
      </c>
      <c r="H94" s="84">
        <f>G94/F94*100</f>
        <v>85.87570621468926</v>
      </c>
      <c r="I94" s="83">
        <f>SUM(I95:I107)</f>
        <v>216239.7</v>
      </c>
      <c r="J94" s="83">
        <f>SUM(J95:J107)</f>
        <v>143870.49999999997</v>
      </c>
      <c r="K94" s="85">
        <f t="shared" si="10"/>
        <v>66.53287994757667</v>
      </c>
    </row>
    <row r="95" spans="1:11" ht="15">
      <c r="A95" s="91">
        <v>1001</v>
      </c>
      <c r="B95" s="87" t="s">
        <v>61</v>
      </c>
      <c r="C95" s="79">
        <v>3425</v>
      </c>
      <c r="D95" s="95">
        <v>3104.1</v>
      </c>
      <c r="E95" s="79">
        <f t="shared" si="5"/>
        <v>90.63065693430656</v>
      </c>
      <c r="F95" s="88">
        <v>318.6</v>
      </c>
      <c r="G95" s="88">
        <v>273.6</v>
      </c>
      <c r="H95" s="88">
        <f>G95/F95*100</f>
        <v>85.87570621468926</v>
      </c>
      <c r="I95" s="89">
        <f t="shared" si="9"/>
        <v>3743.6</v>
      </c>
      <c r="J95" s="80">
        <f t="shared" si="9"/>
        <v>3377.7</v>
      </c>
      <c r="K95" s="90">
        <f t="shared" si="10"/>
        <v>90.225985682231</v>
      </c>
    </row>
    <row r="96" spans="1:11" ht="60">
      <c r="A96" s="91">
        <v>1003</v>
      </c>
      <c r="B96" s="87" t="s">
        <v>194</v>
      </c>
      <c r="C96" s="79">
        <v>0</v>
      </c>
      <c r="D96" s="79">
        <v>0</v>
      </c>
      <c r="E96" s="79"/>
      <c r="F96" s="88">
        <v>0</v>
      </c>
      <c r="G96" s="88">
        <v>0</v>
      </c>
      <c r="H96" s="88">
        <v>0</v>
      </c>
      <c r="I96" s="89">
        <f t="shared" si="9"/>
        <v>0</v>
      </c>
      <c r="J96" s="80">
        <f t="shared" si="9"/>
        <v>0</v>
      </c>
      <c r="K96" s="90">
        <v>0</v>
      </c>
    </row>
    <row r="97" spans="1:11" ht="135">
      <c r="A97" s="91">
        <v>1003</v>
      </c>
      <c r="B97" s="87" t="s">
        <v>216</v>
      </c>
      <c r="C97" s="79">
        <v>90</v>
      </c>
      <c r="D97" s="79">
        <v>51.5</v>
      </c>
      <c r="E97" s="79">
        <f t="shared" si="5"/>
        <v>57.22222222222222</v>
      </c>
      <c r="F97" s="88">
        <v>0</v>
      </c>
      <c r="G97" s="88">
        <v>0</v>
      </c>
      <c r="H97" s="88">
        <v>0</v>
      </c>
      <c r="I97" s="89">
        <f t="shared" si="9"/>
        <v>90</v>
      </c>
      <c r="J97" s="80">
        <f t="shared" si="9"/>
        <v>51.5</v>
      </c>
      <c r="K97" s="90">
        <f t="shared" si="10"/>
        <v>57.22222222222222</v>
      </c>
    </row>
    <row r="98" spans="1:11" ht="150">
      <c r="A98" s="91">
        <v>1003</v>
      </c>
      <c r="B98" s="87" t="s">
        <v>233</v>
      </c>
      <c r="C98" s="79">
        <v>904.9</v>
      </c>
      <c r="D98" s="79">
        <v>285.6</v>
      </c>
      <c r="E98" s="79">
        <f t="shared" si="5"/>
        <v>31.561498508122448</v>
      </c>
      <c r="F98" s="88"/>
      <c r="G98" s="88"/>
      <c r="H98" s="88"/>
      <c r="I98" s="89">
        <f t="shared" si="9"/>
        <v>904.9</v>
      </c>
      <c r="J98" s="80">
        <f t="shared" si="9"/>
        <v>285.6</v>
      </c>
      <c r="K98" s="90">
        <f t="shared" si="10"/>
        <v>31.561498508122448</v>
      </c>
    </row>
    <row r="99" spans="1:11" ht="60">
      <c r="A99" s="91">
        <v>1003</v>
      </c>
      <c r="B99" s="87" t="s">
        <v>235</v>
      </c>
      <c r="C99" s="79">
        <v>5875.6</v>
      </c>
      <c r="D99" s="79">
        <v>5860</v>
      </c>
      <c r="E99" s="79">
        <f t="shared" si="5"/>
        <v>99.73449520049016</v>
      </c>
      <c r="F99" s="88">
        <v>0</v>
      </c>
      <c r="G99" s="88">
        <v>0</v>
      </c>
      <c r="H99" s="88">
        <v>0</v>
      </c>
      <c r="I99" s="89">
        <f t="shared" si="9"/>
        <v>5875.6</v>
      </c>
      <c r="J99" s="80">
        <f t="shared" si="9"/>
        <v>5860</v>
      </c>
      <c r="K99" s="90">
        <f t="shared" si="10"/>
        <v>99.73449520049016</v>
      </c>
    </row>
    <row r="100" spans="1:11" ht="60">
      <c r="A100" s="91" t="s">
        <v>168</v>
      </c>
      <c r="B100" s="87" t="s">
        <v>207</v>
      </c>
      <c r="C100" s="79">
        <v>8301.6</v>
      </c>
      <c r="D100" s="79">
        <v>2570</v>
      </c>
      <c r="E100" s="79">
        <f t="shared" si="5"/>
        <v>30.957887636118336</v>
      </c>
      <c r="F100" s="88"/>
      <c r="G100" s="88"/>
      <c r="H100" s="88"/>
      <c r="I100" s="89">
        <f t="shared" si="9"/>
        <v>8301.6</v>
      </c>
      <c r="J100" s="80">
        <f t="shared" si="9"/>
        <v>2570</v>
      </c>
      <c r="K100" s="90">
        <f t="shared" si="10"/>
        <v>30.957887636118336</v>
      </c>
    </row>
    <row r="101" spans="1:11" ht="165">
      <c r="A101" s="91" t="s">
        <v>168</v>
      </c>
      <c r="B101" s="87" t="s">
        <v>236</v>
      </c>
      <c r="C101" s="79">
        <v>180</v>
      </c>
      <c r="D101" s="79">
        <v>102.8</v>
      </c>
      <c r="E101" s="79">
        <f t="shared" si="5"/>
        <v>57.111111111111114</v>
      </c>
      <c r="F101" s="88"/>
      <c r="G101" s="88"/>
      <c r="H101" s="88"/>
      <c r="I101" s="89">
        <f t="shared" si="9"/>
        <v>180</v>
      </c>
      <c r="J101" s="80">
        <f t="shared" si="9"/>
        <v>102.8</v>
      </c>
      <c r="K101" s="90">
        <f t="shared" si="10"/>
        <v>57.111111111111114</v>
      </c>
    </row>
    <row r="102" spans="1:11" ht="165">
      <c r="A102" s="91" t="s">
        <v>168</v>
      </c>
      <c r="B102" s="87" t="s">
        <v>234</v>
      </c>
      <c r="C102" s="79">
        <v>1529.4</v>
      </c>
      <c r="D102" s="79">
        <v>873.9</v>
      </c>
      <c r="E102" s="79">
        <f t="shared" si="5"/>
        <v>57.140054923499406</v>
      </c>
      <c r="F102" s="88"/>
      <c r="G102" s="88"/>
      <c r="H102" s="88"/>
      <c r="I102" s="89">
        <f t="shared" si="9"/>
        <v>1529.4</v>
      </c>
      <c r="J102" s="80">
        <f t="shared" si="9"/>
        <v>873.9</v>
      </c>
      <c r="K102" s="90">
        <f t="shared" si="10"/>
        <v>57.140054923499406</v>
      </c>
    </row>
    <row r="103" spans="1:11" ht="75">
      <c r="A103" s="91">
        <v>1004</v>
      </c>
      <c r="B103" s="87" t="s">
        <v>195</v>
      </c>
      <c r="C103" s="79">
        <v>14141</v>
      </c>
      <c r="D103" s="79">
        <v>11761.5</v>
      </c>
      <c r="E103" s="79">
        <f t="shared" si="5"/>
        <v>83.17304292482851</v>
      </c>
      <c r="F103" s="88">
        <v>0</v>
      </c>
      <c r="G103" s="88">
        <v>0</v>
      </c>
      <c r="H103" s="88">
        <v>0</v>
      </c>
      <c r="I103" s="89">
        <f t="shared" si="9"/>
        <v>14141</v>
      </c>
      <c r="J103" s="80">
        <f t="shared" si="9"/>
        <v>11761.5</v>
      </c>
      <c r="K103" s="90">
        <f t="shared" si="10"/>
        <v>83.17304292482851</v>
      </c>
    </row>
    <row r="104" spans="1:11" ht="45">
      <c r="A104" s="91">
        <v>1004</v>
      </c>
      <c r="B104" s="87" t="s">
        <v>196</v>
      </c>
      <c r="C104" s="79">
        <v>656</v>
      </c>
      <c r="D104" s="79">
        <v>656</v>
      </c>
      <c r="E104" s="79">
        <f aca="true" t="shared" si="11" ref="E104:E119">D104/C104*100</f>
        <v>100</v>
      </c>
      <c r="F104" s="88">
        <v>0</v>
      </c>
      <c r="G104" s="88">
        <v>0</v>
      </c>
      <c r="H104" s="88">
        <v>0</v>
      </c>
      <c r="I104" s="89">
        <f t="shared" si="9"/>
        <v>656</v>
      </c>
      <c r="J104" s="89">
        <f t="shared" si="9"/>
        <v>656</v>
      </c>
      <c r="K104" s="90">
        <f t="shared" si="10"/>
        <v>100</v>
      </c>
    </row>
    <row r="105" spans="1:11" ht="165">
      <c r="A105" s="91">
        <v>1004</v>
      </c>
      <c r="B105" s="87" t="s">
        <v>197</v>
      </c>
      <c r="C105" s="79">
        <v>117884.3</v>
      </c>
      <c r="D105" s="79">
        <v>96696.9</v>
      </c>
      <c r="E105" s="79">
        <f t="shared" si="11"/>
        <v>82.02695354682514</v>
      </c>
      <c r="F105" s="88">
        <v>0</v>
      </c>
      <c r="G105" s="88">
        <v>0</v>
      </c>
      <c r="H105" s="88">
        <v>0</v>
      </c>
      <c r="I105" s="89">
        <f t="shared" si="9"/>
        <v>117884.3</v>
      </c>
      <c r="J105" s="80">
        <f t="shared" si="9"/>
        <v>96696.9</v>
      </c>
      <c r="K105" s="90">
        <f t="shared" si="10"/>
        <v>82.02695354682514</v>
      </c>
    </row>
    <row r="106" spans="1:11" ht="39" customHeight="1">
      <c r="A106" s="91" t="s">
        <v>110</v>
      </c>
      <c r="B106" s="87" t="s">
        <v>217</v>
      </c>
      <c r="C106" s="79">
        <v>48249.4</v>
      </c>
      <c r="D106" s="79">
        <v>11442.8</v>
      </c>
      <c r="E106" s="79">
        <f>D106/C106*100</f>
        <v>23.71594258166941</v>
      </c>
      <c r="F106" s="88">
        <v>0</v>
      </c>
      <c r="G106" s="88">
        <v>0</v>
      </c>
      <c r="H106" s="88">
        <v>0</v>
      </c>
      <c r="I106" s="89">
        <f>C106+F106</f>
        <v>48249.4</v>
      </c>
      <c r="J106" s="80">
        <f>D106+G106</f>
        <v>11442.8</v>
      </c>
      <c r="K106" s="90">
        <f>J106/I106*100</f>
        <v>23.71594258166941</v>
      </c>
    </row>
    <row r="107" spans="1:11" ht="30">
      <c r="A107" s="91">
        <v>1006</v>
      </c>
      <c r="B107" s="87" t="s">
        <v>63</v>
      </c>
      <c r="C107" s="79">
        <v>14683.9</v>
      </c>
      <c r="D107" s="79">
        <v>10191.8</v>
      </c>
      <c r="E107" s="79">
        <f t="shared" si="11"/>
        <v>69.40799106504403</v>
      </c>
      <c r="F107" s="88">
        <v>0</v>
      </c>
      <c r="G107" s="88">
        <v>0</v>
      </c>
      <c r="H107" s="88">
        <v>0</v>
      </c>
      <c r="I107" s="89">
        <f>C107+F107</f>
        <v>14683.9</v>
      </c>
      <c r="J107" s="80">
        <f>D107+G107</f>
        <v>10191.8</v>
      </c>
      <c r="K107" s="90">
        <f t="shared" si="10"/>
        <v>69.40799106504403</v>
      </c>
    </row>
    <row r="108" spans="1:11" ht="13.5" customHeight="1">
      <c r="A108" s="101">
        <v>1100</v>
      </c>
      <c r="B108" s="82" t="s">
        <v>59</v>
      </c>
      <c r="C108" s="83">
        <f>SUM(C109:C110)</f>
        <v>85201.4</v>
      </c>
      <c r="D108" s="83">
        <f>SUM(D109:D110)</f>
        <v>59156.399999999994</v>
      </c>
      <c r="E108" s="83">
        <f>D108/C108*100</f>
        <v>69.43125347705555</v>
      </c>
      <c r="F108" s="98">
        <f>F109+F110</f>
        <v>23403.8</v>
      </c>
      <c r="G108" s="98">
        <f>G109+G110</f>
        <v>18478.5</v>
      </c>
      <c r="H108" s="84">
        <f>G108/F108*100</f>
        <v>78.95512694519694</v>
      </c>
      <c r="I108" s="98">
        <f>SUM(I109:I110)</f>
        <v>108380.2</v>
      </c>
      <c r="J108" s="98">
        <f>SUM(J109:J110)</f>
        <v>77409.9</v>
      </c>
      <c r="K108" s="85">
        <f t="shared" si="10"/>
        <v>71.42439301643658</v>
      </c>
    </row>
    <row r="109" spans="1:11" ht="15">
      <c r="A109" s="91">
        <v>1101</v>
      </c>
      <c r="B109" s="87" t="s">
        <v>83</v>
      </c>
      <c r="C109" s="79">
        <v>11925</v>
      </c>
      <c r="D109" s="79">
        <v>10023.7</v>
      </c>
      <c r="E109" s="79">
        <f t="shared" si="11"/>
        <v>84.05618448637317</v>
      </c>
      <c r="F109" s="88">
        <v>23335.8</v>
      </c>
      <c r="G109" s="88">
        <v>18435.5</v>
      </c>
      <c r="H109" s="88">
        <f>G109/F109*100</f>
        <v>79.00093418695738</v>
      </c>
      <c r="I109" s="89">
        <f>C109+F109-225</f>
        <v>35035.8</v>
      </c>
      <c r="J109" s="89">
        <f>D109+G109-225</f>
        <v>28234.2</v>
      </c>
      <c r="K109" s="90">
        <f t="shared" si="10"/>
        <v>80.58671416094394</v>
      </c>
    </row>
    <row r="110" spans="1:11" ht="15">
      <c r="A110" s="91">
        <v>1102</v>
      </c>
      <c r="B110" s="87" t="s">
        <v>84</v>
      </c>
      <c r="C110" s="79">
        <v>73276.4</v>
      </c>
      <c r="D110" s="79">
        <v>49132.7</v>
      </c>
      <c r="E110" s="79">
        <f t="shared" si="11"/>
        <v>67.05119247124586</v>
      </c>
      <c r="F110" s="88">
        <v>68</v>
      </c>
      <c r="G110" s="88">
        <v>43</v>
      </c>
      <c r="H110" s="88">
        <f>G110/F110*100</f>
        <v>63.23529411764706</v>
      </c>
      <c r="I110" s="89">
        <f>C110+F110</f>
        <v>73344.4</v>
      </c>
      <c r="J110" s="89">
        <f>D110+G110</f>
        <v>49175.7</v>
      </c>
      <c r="K110" s="90">
        <f t="shared" si="10"/>
        <v>67.04765462666543</v>
      </c>
    </row>
    <row r="111" spans="1:11" ht="15">
      <c r="A111" s="101">
        <v>1200</v>
      </c>
      <c r="B111" s="82" t="s">
        <v>85</v>
      </c>
      <c r="C111" s="83">
        <f>C113+C112</f>
        <v>9403</v>
      </c>
      <c r="D111" s="83">
        <f>D113+D112</f>
        <v>8768.8</v>
      </c>
      <c r="E111" s="111">
        <f>D111/C111*100</f>
        <v>93.25534403913643</v>
      </c>
      <c r="F111" s="83">
        <f>F113+F112</f>
        <v>0</v>
      </c>
      <c r="G111" s="83">
        <f>G113+G112</f>
        <v>0</v>
      </c>
      <c r="H111" s="92">
        <f>H113</f>
        <v>0</v>
      </c>
      <c r="I111" s="83">
        <f aca="true" t="shared" si="12" ref="I111:J115">C111+F111</f>
        <v>9403</v>
      </c>
      <c r="J111" s="83">
        <f t="shared" si="12"/>
        <v>8768.8</v>
      </c>
      <c r="K111" s="93">
        <f t="shared" si="10"/>
        <v>93.25534403913643</v>
      </c>
    </row>
    <row r="112" spans="1:11" ht="12.75" customHeight="1">
      <c r="A112" s="91" t="s">
        <v>114</v>
      </c>
      <c r="B112" s="87" t="s">
        <v>115</v>
      </c>
      <c r="C112" s="79">
        <v>3703</v>
      </c>
      <c r="D112" s="79">
        <v>3542.1</v>
      </c>
      <c r="E112" s="79">
        <f>D112/C112*100</f>
        <v>95.65487442614096</v>
      </c>
      <c r="F112" s="88">
        <v>0</v>
      </c>
      <c r="G112" s="88">
        <v>0</v>
      </c>
      <c r="H112" s="88">
        <v>0</v>
      </c>
      <c r="I112" s="89">
        <f t="shared" si="12"/>
        <v>3703</v>
      </c>
      <c r="J112" s="89">
        <f t="shared" si="12"/>
        <v>3542.1</v>
      </c>
      <c r="K112" s="90">
        <f>J112/I112*100</f>
        <v>95.65487442614096</v>
      </c>
    </row>
    <row r="113" spans="1:11" ht="12.75" customHeight="1">
      <c r="A113" s="91">
        <v>1202</v>
      </c>
      <c r="B113" s="87" t="s">
        <v>101</v>
      </c>
      <c r="C113" s="79">
        <v>5700</v>
      </c>
      <c r="D113" s="79">
        <v>5226.7</v>
      </c>
      <c r="E113" s="79">
        <f t="shared" si="11"/>
        <v>91.69649122807017</v>
      </c>
      <c r="F113" s="88">
        <v>0</v>
      </c>
      <c r="G113" s="88">
        <v>0</v>
      </c>
      <c r="H113" s="88">
        <v>0</v>
      </c>
      <c r="I113" s="89">
        <f t="shared" si="12"/>
        <v>5700</v>
      </c>
      <c r="J113" s="89">
        <f t="shared" si="12"/>
        <v>5226.7</v>
      </c>
      <c r="K113" s="90">
        <f t="shared" si="10"/>
        <v>91.69649122807017</v>
      </c>
    </row>
    <row r="114" spans="1:11" ht="15" customHeight="1">
      <c r="A114" s="101">
        <v>1300</v>
      </c>
      <c r="B114" s="82" t="s">
        <v>86</v>
      </c>
      <c r="C114" s="83">
        <f aca="true" t="shared" si="13" ref="C114:H114">C115</f>
        <v>370</v>
      </c>
      <c r="D114" s="83">
        <f t="shared" si="13"/>
        <v>246.6</v>
      </c>
      <c r="E114" s="83">
        <f t="shared" si="13"/>
        <v>66.64864864864865</v>
      </c>
      <c r="F114" s="83">
        <f t="shared" si="13"/>
        <v>0</v>
      </c>
      <c r="G114" s="83">
        <f t="shared" si="13"/>
        <v>0</v>
      </c>
      <c r="H114" s="92">
        <f t="shared" si="13"/>
        <v>0</v>
      </c>
      <c r="I114" s="83">
        <f t="shared" si="12"/>
        <v>370</v>
      </c>
      <c r="J114" s="83">
        <f t="shared" si="12"/>
        <v>246.6</v>
      </c>
      <c r="K114" s="93">
        <f t="shared" si="10"/>
        <v>66.64864864864865</v>
      </c>
    </row>
    <row r="115" spans="1:11" ht="12.75" customHeight="1">
      <c r="A115" s="91">
        <v>1301</v>
      </c>
      <c r="B115" s="87" t="s">
        <v>87</v>
      </c>
      <c r="C115" s="79">
        <v>370</v>
      </c>
      <c r="D115" s="79">
        <v>246.6</v>
      </c>
      <c r="E115" s="79">
        <f t="shared" si="11"/>
        <v>66.64864864864865</v>
      </c>
      <c r="F115" s="88"/>
      <c r="G115" s="88">
        <v>0</v>
      </c>
      <c r="H115" s="88">
        <v>0</v>
      </c>
      <c r="I115" s="89">
        <f t="shared" si="12"/>
        <v>370</v>
      </c>
      <c r="J115" s="89">
        <f t="shared" si="12"/>
        <v>246.6</v>
      </c>
      <c r="K115" s="90">
        <f t="shared" si="10"/>
        <v>66.64864864864865</v>
      </c>
    </row>
    <row r="116" spans="1:11" ht="15" customHeight="1">
      <c r="A116" s="101">
        <v>1400</v>
      </c>
      <c r="B116" s="82" t="s">
        <v>64</v>
      </c>
      <c r="C116" s="83">
        <f>SUM(C117:C119)</f>
        <v>317659.3</v>
      </c>
      <c r="D116" s="83">
        <f>SUM(D117:D119)</f>
        <v>293742.2</v>
      </c>
      <c r="E116" s="83">
        <f>D116/C116*100</f>
        <v>92.47083274438998</v>
      </c>
      <c r="F116" s="98">
        <f>F117+F118+F119</f>
        <v>16741</v>
      </c>
      <c r="G116" s="98">
        <f>SUM(G117:G119)</f>
        <v>16699.5</v>
      </c>
      <c r="H116" s="98">
        <f>G116/F116*100</f>
        <v>99.75210560898392</v>
      </c>
      <c r="I116" s="98">
        <v>0</v>
      </c>
      <c r="J116" s="98">
        <v>0</v>
      </c>
      <c r="K116" s="85">
        <v>0</v>
      </c>
    </row>
    <row r="117" spans="1:11" ht="12.75" customHeight="1">
      <c r="A117" s="91">
        <v>1401</v>
      </c>
      <c r="B117" s="87" t="s">
        <v>81</v>
      </c>
      <c r="C117" s="79">
        <v>118984.4</v>
      </c>
      <c r="D117" s="79">
        <v>111052.1</v>
      </c>
      <c r="E117" s="79">
        <f t="shared" si="11"/>
        <v>93.33332773035794</v>
      </c>
      <c r="F117" s="88">
        <v>0</v>
      </c>
      <c r="G117" s="88">
        <v>0</v>
      </c>
      <c r="H117" s="88">
        <v>0</v>
      </c>
      <c r="I117" s="89">
        <v>0</v>
      </c>
      <c r="J117" s="80">
        <v>0</v>
      </c>
      <c r="K117" s="90">
        <v>0</v>
      </c>
    </row>
    <row r="118" spans="1:11" ht="12.75" customHeight="1">
      <c r="A118" s="91">
        <v>1402</v>
      </c>
      <c r="B118" s="87" t="s">
        <v>82</v>
      </c>
      <c r="C118" s="79">
        <v>195974.9</v>
      </c>
      <c r="D118" s="79">
        <v>179990.1</v>
      </c>
      <c r="E118" s="79">
        <f t="shared" si="11"/>
        <v>91.84344525753043</v>
      </c>
      <c r="F118" s="88">
        <v>0</v>
      </c>
      <c r="G118" s="88">
        <v>0</v>
      </c>
      <c r="H118" s="88">
        <v>0</v>
      </c>
      <c r="I118" s="89">
        <v>0</v>
      </c>
      <c r="J118" s="80">
        <v>0</v>
      </c>
      <c r="K118" s="90">
        <v>0</v>
      </c>
    </row>
    <row r="119" spans="1:11" ht="12.75" customHeight="1">
      <c r="A119" s="91">
        <v>1403</v>
      </c>
      <c r="B119" s="87" t="s">
        <v>95</v>
      </c>
      <c r="C119" s="79">
        <v>2700</v>
      </c>
      <c r="D119" s="79">
        <v>2700</v>
      </c>
      <c r="E119" s="79">
        <f t="shared" si="11"/>
        <v>100</v>
      </c>
      <c r="F119" s="88">
        <v>16741</v>
      </c>
      <c r="G119" s="88">
        <v>16699.5</v>
      </c>
      <c r="H119" s="88">
        <f>G119/F119*100</f>
        <v>99.75210560898392</v>
      </c>
      <c r="I119" s="89">
        <v>0</v>
      </c>
      <c r="J119" s="80">
        <v>0</v>
      </c>
      <c r="K119" s="90">
        <v>0</v>
      </c>
    </row>
    <row r="120" spans="1:11" ht="12.75" customHeight="1" thickBot="1">
      <c r="A120" s="234" t="s">
        <v>65</v>
      </c>
      <c r="B120" s="235"/>
      <c r="C120" s="106">
        <f>C9+C18+C20+C25+C48+C75+C77+C84+C91+C94+C108+C111+C114+C116</f>
        <v>4433813.1</v>
      </c>
      <c r="D120" s="106">
        <f>D116+D114+D111+D108+D94+D91+D84+D77+D75+D48+D25+D20+D18+D9</f>
        <v>3435315.3000000003</v>
      </c>
      <c r="E120" s="106">
        <f>D120/C120*100</f>
        <v>77.47993031100026</v>
      </c>
      <c r="F120" s="106">
        <f>F9+F18+F20+F25+F48+F75+F77+F84+F91+F94+F108+F111+F114+F116</f>
        <v>563717.2999999999</v>
      </c>
      <c r="G120" s="106">
        <f>G116+G114+G111+G94+G91+G84+G77+G48+G25+G21+G18+G9+G20+G108</f>
        <v>416916.39999999997</v>
      </c>
      <c r="H120" s="107">
        <f>G120/F120*100</f>
        <v>73.95841851935359</v>
      </c>
      <c r="I120" s="106">
        <f>I116+I114+I111+I108+I94+I91+I84+I77+I75+I48+I25+I20+I18+I9</f>
        <v>4577072.7</v>
      </c>
      <c r="J120" s="106">
        <f>J116+J114+J111+J108+J94+J91+J84+J77+J75+J48+J25+J20+J18+J9</f>
        <v>3500638.3</v>
      </c>
      <c r="K120" s="108">
        <f t="shared" si="10"/>
        <v>76.48203403017828</v>
      </c>
    </row>
    <row r="121" spans="1:11" ht="12.75" customHeight="1">
      <c r="A121" s="9"/>
      <c r="B121" s="5"/>
      <c r="C121" s="53"/>
      <c r="D121" s="31"/>
      <c r="E121" s="41"/>
      <c r="F121" s="21"/>
      <c r="G121" s="33"/>
      <c r="H121" s="33"/>
      <c r="I121" s="45"/>
      <c r="J121" s="45"/>
      <c r="K121" s="45"/>
    </row>
    <row r="122" spans="1:11" ht="12.75" customHeight="1">
      <c r="A122" s="10"/>
      <c r="B122" s="6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 customHeight="1">
      <c r="A124" s="236" t="s">
        <v>124</v>
      </c>
      <c r="B124" s="236"/>
      <c r="C124" s="236"/>
      <c r="D124" s="60"/>
      <c r="E124" s="61"/>
      <c r="F124" s="61"/>
      <c r="G124" s="33"/>
      <c r="H124" s="33"/>
      <c r="I124" s="45"/>
      <c r="J124" s="45"/>
      <c r="K124" s="45"/>
    </row>
    <row r="125" spans="1:11" ht="12.75" customHeight="1">
      <c r="A125" s="236" t="s">
        <v>125</v>
      </c>
      <c r="B125" s="236"/>
      <c r="C125" s="236"/>
      <c r="D125" s="62"/>
      <c r="E125" s="237" t="s">
        <v>66</v>
      </c>
      <c r="F125" s="237"/>
      <c r="G125" s="33"/>
      <c r="H125" s="33"/>
      <c r="I125" s="44"/>
      <c r="J125" s="45"/>
      <c r="K125" s="45"/>
    </row>
    <row r="126" spans="1:11" ht="12.75" customHeight="1">
      <c r="A126" s="63"/>
      <c r="B126" s="64"/>
      <c r="C126" s="65"/>
      <c r="D126" s="66"/>
      <c r="E126" s="67"/>
      <c r="F126" s="68"/>
      <c r="G126" s="33"/>
      <c r="H126" s="33"/>
      <c r="I126" s="44"/>
      <c r="J126" s="45"/>
      <c r="K126" s="45"/>
    </row>
    <row r="127" spans="1:11" ht="12.75" customHeight="1">
      <c r="A127" s="236" t="s">
        <v>222</v>
      </c>
      <c r="B127" s="236"/>
      <c r="C127" s="236"/>
      <c r="D127" s="69"/>
      <c r="E127" s="237" t="s">
        <v>123</v>
      </c>
      <c r="F127" s="237"/>
      <c r="G127" s="33"/>
      <c r="H127" s="33"/>
      <c r="I127" s="44"/>
      <c r="J127" s="45"/>
      <c r="K127" s="45"/>
    </row>
    <row r="128" spans="1:11" ht="12.75" customHeight="1">
      <c r="A128" s="63"/>
      <c r="B128" s="70"/>
      <c r="C128" s="71"/>
      <c r="D128" s="72"/>
      <c r="E128" s="67"/>
      <c r="F128" s="68"/>
      <c r="G128" s="33"/>
      <c r="H128" s="33"/>
      <c r="I128" s="44"/>
      <c r="J128" s="45"/>
      <c r="K128" s="45"/>
    </row>
    <row r="129" spans="1:11" ht="12.75" customHeight="1">
      <c r="A129" s="236" t="s">
        <v>154</v>
      </c>
      <c r="B129" s="236"/>
      <c r="C129" s="236"/>
      <c r="D129" s="69"/>
      <c r="E129" s="238" t="s">
        <v>223</v>
      </c>
      <c r="F129" s="238"/>
      <c r="G129" s="33"/>
      <c r="H129" s="33"/>
      <c r="I129" s="44"/>
      <c r="J129" s="45"/>
      <c r="K129" s="45"/>
    </row>
    <row r="130" spans="1:11" ht="12.75" customHeight="1">
      <c r="A130" s="73"/>
      <c r="B130" s="74"/>
      <c r="C130" s="75"/>
      <c r="D130" s="60"/>
      <c r="E130" s="60"/>
      <c r="F130" s="61"/>
      <c r="G130" s="33"/>
      <c r="H130" s="33"/>
      <c r="I130" s="45"/>
      <c r="J130" s="45"/>
      <c r="K130" s="45"/>
    </row>
    <row r="131" spans="1:6" ht="12.75">
      <c r="A131" s="76"/>
      <c r="B131" s="76"/>
      <c r="C131" s="77" t="s">
        <v>156</v>
      </c>
      <c r="D131" s="76" t="s">
        <v>157</v>
      </c>
      <c r="E131" s="78" t="s">
        <v>158</v>
      </c>
      <c r="F131" s="76"/>
    </row>
  </sheetData>
  <sheetProtection/>
  <mergeCells count="35">
    <mergeCell ref="A20:A21"/>
    <mergeCell ref="B20:B21"/>
    <mergeCell ref="C20:C21"/>
    <mergeCell ref="D20:D21"/>
    <mergeCell ref="I4:I5"/>
    <mergeCell ref="G20:G21"/>
    <mergeCell ref="H20:H21"/>
    <mergeCell ref="F20:F21"/>
    <mergeCell ref="A1:K1"/>
    <mergeCell ref="A3:A8"/>
    <mergeCell ref="B3:B5"/>
    <mergeCell ref="C3:E3"/>
    <mergeCell ref="F3:H3"/>
    <mergeCell ref="K4:K5"/>
    <mergeCell ref="C4:C5"/>
    <mergeCell ref="D4:D5"/>
    <mergeCell ref="B6:K8"/>
    <mergeCell ref="J4:J5"/>
    <mergeCell ref="I3:K3"/>
    <mergeCell ref="G4:G5"/>
    <mergeCell ref="E4:E5"/>
    <mergeCell ref="F4:F5"/>
    <mergeCell ref="I20:I21"/>
    <mergeCell ref="H4:H5"/>
    <mergeCell ref="J20:J21"/>
    <mergeCell ref="E20:E21"/>
    <mergeCell ref="K20:K21"/>
    <mergeCell ref="A120:B120"/>
    <mergeCell ref="A124:C124"/>
    <mergeCell ref="E125:F125"/>
    <mergeCell ref="A127:C127"/>
    <mergeCell ref="E127:F127"/>
    <mergeCell ref="A129:C129"/>
    <mergeCell ref="E129:F129"/>
    <mergeCell ref="A125:C12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2015-01-20T12:49:56Z</dcterms:modified>
  <cp:category/>
  <cp:version/>
  <cp:contentType/>
  <cp:contentStatus/>
</cp:coreProperties>
</file>