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2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<sst xmlns="http://schemas.openxmlformats.org/spreadsheetml/2006/main" count="821" uniqueCount="316">
  <si>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</si>
  <si>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</si>
  <si>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</si>
  <si>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</si>
  <si>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</si>
  <si>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</si>
  <si>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</si>
  <si>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</si>
  <si>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</si>
  <si>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</si>
  <si>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</si>
  <si>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</si>
  <si>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</si>
  <si>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</si>
  <si>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</si>
  <si>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</si>
  <si>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</si>
  <si>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</si>
  <si>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</si>
  <si>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</si>
  <si>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</si>
  <si>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</si>
  <si>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</si>
  <si>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</si>
  <si>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</si>
  <si>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</si>
  <si>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</si>
  <si>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</si>
  <si>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</si>
  <si>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</si>
  <si>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</si>
  <si>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</si>
  <si>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</si>
  <si>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</si>
  <si>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</si>
  <si>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</si>
  <si>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</si>
  <si>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</si>
  <si>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</si>
  <si>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</si>
  <si>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</si>
  <si>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</si>
  <si>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</si>
  <si>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</si>
  <si>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</si>
  <si>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</si>
  <si>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</si>
  <si>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</si>
  <si>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</si>
  <si>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</si>
  <si>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</si>
  <si>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</si>
  <si>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</si>
  <si>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</si>
  <si>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</si>
  <si>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</si>
  <si>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</si>
  <si>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</si>
  <si>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</si>
  <si>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</si>
  <si>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</si>
  <si>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</si>
  <si>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</si>
  <si>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</si>
  <si>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</si>
  <si>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</si>
  <si>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</si>
  <si>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</si>
  <si>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</si>
  <si>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</si>
  <si>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</si>
  <si>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</si>
  <si>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</si>
  <si>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</si>
  <si>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</si>
  <si>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</si>
  <si>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</si>
  <si>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</si>
  <si>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</si>
  <si>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</si>
  <si>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</si>
  <si>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</si>
  <si>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</si>
  <si>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</si>
  <si>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</si>
  <si>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</si>
  <si>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</si>
  <si>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</si>
  <si>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</si>
  <si>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</si>
  <si>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</si>
  <si>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</si>
  <si>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</si>
  <si>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</si>
  <si>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</si>
  <si>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</si>
  <si>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</si>
  <si>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</si>
  <si>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</si>
  <si>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</si>
  <si>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</si>
  <si>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</si>
  <si>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</si>
  <si>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</si>
  <si>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</si>
  <si>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</si>
  <si>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</si>
  <si>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</si>
  <si>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</si>
  <si>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</si>
  <si>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</si>
  <si>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</si>
  <si>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</si>
  <si>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</si>
  <si>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</si>
  <si>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</si>
  <si>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</si>
  <si>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</si>
  <si>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</si>
  <si>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</si>
  <si>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</si>
  <si>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</si>
  <si>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</si>
  <si>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</si>
  <si>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</si>
  <si>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</si>
  <si>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</si>
  <si>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</si>
  <si>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</si>
  <si>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</si>
  <si>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</si>
  <si>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</si>
  <si>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</si>
  <si>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</si>
  <si>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</si>
  <si>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</si>
  <si>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</si>
  <si>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</si>
  <si>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</si>
  <si>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</si>
  <si>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</si>
  <si>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</si>
  <si>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</si>
  <si>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</si>
  <si>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</si>
  <si>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</si>
  <si>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</si>
  <si>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</si>
  <si>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</si>
  <si>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</si>
  <si>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</si>
  <si>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</si>
  <si>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</si>
  <si>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</si>
  <si>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</si>
  <si>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</si>
  <si>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</si>
  <si>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</si>
  <si>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</si>
  <si>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</si>
  <si>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</si>
  <si>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</si>
  <si>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</si>
  <si>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</si>
  <si>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</si>
  <si>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</si>
  <si>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</si>
  <si>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</si>
  <si>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</si>
  <si>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</si>
  <si>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</si>
  <si>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</si>
  <si>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</si>
  <si>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</si>
  <si>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</si>
  <si>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</si>
  <si>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</si>
  <si>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</si>
  <si>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</si>
  <si>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</si>
  <si>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</si>
  <si>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</si>
  <si>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</si>
  <si>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</si>
  <si>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</si>
  <si>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</si>
  <si>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</si>
  <si>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</si>
  <si>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</si>
  <si>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</si>
  <si>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</si>
  <si>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</si>
  <si>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</si>
  <si>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</si>
  <si>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</si>
  <si>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</si>
  <si>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</si>
  <si>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</si>
  <si>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</si>
  <si>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</si>
  <si>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</si>
  <si>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</si>
  <si>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</si>
  <si>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</si>
  <si>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</si>
  <si>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</si>
  <si>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</si>
  <si>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</si>
  <si>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</si>
  <si>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</si>
  <si>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</si>
  <si>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</si>
  <si>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</si>
  <si>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</si>
  <si>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</si>
  <si>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</si>
  <si>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</si>
  <si>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</si>
  <si>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</si>
  <si>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</si>
  <si>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</si>
  <si>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</si>
  <si>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</si>
  <si>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</si>
  <si>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</si>
  <si>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</si>
  <si>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</si>
  <si>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</si>
  <si>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</si>
  <si>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</si>
  <si>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</si>
  <si>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</si>
  <si>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</si>
  <si>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</si>
  <si>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</si>
  <si>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</si>
  <si>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</si>
  <si>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</si>
  <si>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</si>
  <si>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</si>
  <si>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</si>
  <si>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 об  исполнении  консолидированного  бюджета  района  по  расходам на 1 марта 2013 года</t>
  </si>
  <si>
    <t>исполнение на 01.03.2014</t>
  </si>
  <si>
    <t>исполнения на 01.03.2014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</si>
  <si>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</si>
  <si>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</si>
  <si>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</si>
  <si>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</si>
  <si>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</si>
  <si>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</si>
  <si>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Муниципальная  программа" Развитие транспортной  системы муниципального  образования Октябрьский  район на 2014-2016  годы" окружные средства и доля (11.1.5419, 11.1.5641)</t>
  </si>
  <si>
    <t>Строительство и реконструкция, капитальный ремонт, ремонт  объектов муниципальной собственности  муниципальной программы"Осуществление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</si>
  <si>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Содержание автомобильных дорог общего пользования (40.3.0602)</t>
  </si>
  <si>
    <t>Мороприятия по землеустройству и землепользованию (40.3.2137)</t>
  </si>
  <si>
    <t>Реализация мероприятий муниципальной  программы "Управление  мунициапальной  собственностью Октябрьского района на 2014 – 2020 годы" земля (18.0.2137)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</si>
  <si>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</si>
  <si>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</si>
  <si>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Реализация  мероприятий  муниципальной  программы"Осуществление поселком городского  типа фукнций  административного  центра  муниципального  образования Октябрський  район на 2014-2016 годы " (15.0.2120)</t>
  </si>
  <si>
    <t>Создание условий для обеспечения качественными коммунальными услугами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годы"(10.1.5411)</t>
  </si>
  <si>
    <t>Подпрограмма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 (09.5.5410)</t>
  </si>
  <si>
    <t>Субвенции на реализацию муниципальной  программы "Развитие агропромышленного комплекса  муниципального  образования  Октябрьский  район  на 2014-2020 годы " (05.0.5514)</t>
  </si>
  <si>
    <t>Капитальный ремонт жилого фонда (40.6.2120)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</si>
  <si>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 (09.5.2119)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</si>
  <si>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 и доля</t>
  </si>
  <si>
    <t>Субсидии на реализацию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Октябрьском районе на 2014-2016 годы" (10.2.5642)</t>
  </si>
  <si>
    <t>Реализация мероприятий  муниципальной  программы "О защите   населения и территории Октябрьского  района от чрезвычайных  ситуаций природного  и  техногенного  характера на 2014-2016 годы " (14.0.2123, 14.0.2124)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</si>
  <si>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(10.3.7808)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</si>
  <si>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(10.3.7809)(теплоснабжение).</t>
  </si>
  <si>
    <t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(10.3.5411) 01.40.28, 01.30.40 централизов.электроснабжение округ и доля</t>
  </si>
  <si>
    <t xml:space="preserve"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модернизация ЖКХ 01.40.01 и доля </t>
  </si>
  <si>
    <t xml:space="preserve"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01.40.36(инженерные сети). </t>
  </si>
  <si>
    <t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годы"(10.3.5521), 01.51.22</t>
  </si>
  <si>
    <t>Подпрограмма "Создание условий для обеспечения качественными коммунальными услугами" программы "Развитие жилищно-коммунального комплекса и повышение энергетической эффективности в Октябрьском районе на 2014-2016 годы" (10.1.2120)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</si>
  <si>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(10.1.5643), ОЗП, 01.40.50</t>
  </si>
  <si>
    <t>Мероприятия в области коммунального хозяйства</t>
  </si>
  <si>
    <t>Реализация мероприятий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(10.2.2120)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</si>
  <si>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</si>
  <si>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</si>
  <si>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(20.2.5645)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</si>
  <si>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</si>
  <si>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</si>
  <si>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</si>
  <si>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</si>
  <si>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Субсидии на реализацию подпрограммы "Обеспечение прав граждан на доступ к культурным ценностям и информации" муниципальной  программы"Культура Октябрьского  района на 2014-2020 годы" (03.1.5408)</t>
  </si>
  <si>
    <t>Подпрограмма "Библиотечное дело" 03.1.5408</t>
  </si>
  <si>
    <t>Центральный аппарат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</si>
  <si>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</si>
  <si>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(09.1.2119)(молодая семья)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</si>
  <si>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(11.5.5135) 01.20.04</t>
  </si>
  <si>
    <t>Подпрограмма "Ликвидация приспособленных для проживания строений, расположенных в местах их сосредоточения в муниципальном образовании Октябрьский район" (09.3.5410)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</si>
  <si>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(11.6.5440)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</si>
  <si>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</si>
  <si>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</si>
  <si>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</si>
  <si>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ХМАО-Югры на 2014-2020 годы" (03.4.5512)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</si>
  <si>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договарам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(03.4.5511)</t>
  </si>
  <si>
    <t>Главный специалист отдела доходов</t>
  </si>
  <si>
    <t>Бакшеева Л.А.</t>
  </si>
  <si>
    <t>(тыс.руб.)</t>
  </si>
  <si>
    <t>План на 2014 год</t>
  </si>
  <si>
    <t>План                 на 1 квартал 2014 года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</si>
  <si>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</si>
  <si>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</si>
  <si>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</si>
  <si>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</si>
  <si>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</si>
  <si>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</si>
  <si>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</si>
  <si>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</si>
  <si>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</si>
  <si>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1 квартал 2014 года </t>
  </si>
  <si>
    <t xml:space="preserve">% исп-ия к плану на 2014 год </t>
  </si>
  <si>
    <t>00010300000000000000</t>
  </si>
  <si>
    <t>Акцизы</t>
  </si>
  <si>
    <t>Отчет об исполнении консолидированного бюджета Октябрьского района по состоянию на 01.03.2014</t>
  </si>
  <si>
    <t>Исполнение на 01.03.2014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</si>
</sst>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59" fillId="0" borderId="0" xfId="0" applyNumberFormat="1" applyFont="1" applyFill="1" applyAlignment="1">
      <alignment horizontal="center" vertical="center" wrapText="1"/>
    </xf>
    <xf numFmtId="164" fontId="59" fillId="0" borderId="0" xfId="53" applyNumberFormat="1" applyFont="1" applyFill="1" applyAlignment="1">
      <alignment horizontal="center" vertical="center" wrapText="1"/>
      <protection/>
    </xf>
    <xf numFmtId="164" fontId="59" fillId="0" borderId="0" xfId="53" applyNumberFormat="1" applyFont="1" applyFill="1" applyBorder="1" applyAlignment="1">
      <alignment horizontal="center" vertical="center" wrapText="1"/>
      <protection/>
    </xf>
    <xf numFmtId="164" fontId="59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0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165" fontId="13" fillId="0" borderId="10" xfId="0" applyNumberFormat="1" applyFont="1" applyFill="1" applyBorder="1" applyAlignment="1">
      <alignment horizontal="right" vertical="top"/>
    </xf>
    <xf numFmtId="165" fontId="13" fillId="0" borderId="10" xfId="0" applyNumberFormat="1" applyFont="1" applyFill="1" applyBorder="1" applyAlignment="1">
      <alignment vertical="top"/>
    </xf>
    <xf numFmtId="165" fontId="13" fillId="0" borderId="20" xfId="0" applyNumberFormat="1" applyFont="1" applyFill="1" applyBorder="1" applyAlignment="1">
      <alignment horizontal="right" vertical="top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vertical="top"/>
    </xf>
    <xf numFmtId="164" fontId="19" fillId="0" borderId="10" xfId="53" applyNumberFormat="1" applyFont="1" applyFill="1" applyBorder="1" applyAlignment="1">
      <alignment horizontal="center" vertical="center" wrapText="1"/>
      <protection/>
    </xf>
    <xf numFmtId="164" fontId="20" fillId="0" borderId="10" xfId="53" applyNumberFormat="1" applyFont="1" applyFill="1" applyBorder="1" applyAlignment="1">
      <alignment horizontal="center" vertical="center" wrapText="1"/>
      <protection/>
    </xf>
    <xf numFmtId="164" fontId="19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49" fontId="21" fillId="33" borderId="11" xfId="53" applyNumberFormat="1" applyFont="1" applyFill="1" applyBorder="1" applyAlignment="1" quotePrefix="1">
      <alignment horizontal="center" vertical="center" wrapText="1"/>
      <protection/>
    </xf>
    <xf numFmtId="0" fontId="21" fillId="33" borderId="10" xfId="53" applyNumberFormat="1" applyFont="1" applyFill="1" applyBorder="1" applyAlignment="1">
      <alignment horizontal="left" vertical="center" wrapText="1"/>
      <protection/>
    </xf>
    <xf numFmtId="164" fontId="20" fillId="33" borderId="10" xfId="53" applyNumberFormat="1" applyFont="1" applyFill="1" applyBorder="1" applyAlignment="1">
      <alignment horizontal="center" vertical="center" wrapText="1"/>
      <protection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49" fontId="18" fillId="0" borderId="11" xfId="53" applyNumberFormat="1" applyFont="1" applyFill="1" applyBorder="1" applyAlignment="1" quotePrefix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left" vertical="center" wrapText="1"/>
      <protection/>
    </xf>
    <xf numFmtId="164" fontId="19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164" fontId="19" fillId="33" borderId="10" xfId="53" applyNumberFormat="1" applyFont="1" applyFill="1" applyBorder="1" applyAlignment="1">
      <alignment horizontal="center" vertical="center" wrapText="1"/>
      <protection/>
    </xf>
    <xf numFmtId="164" fontId="20" fillId="33" borderId="15" xfId="53" applyNumberFormat="1" applyFont="1" applyFill="1" applyBorder="1" applyAlignment="1">
      <alignment horizontal="center" vertical="center" wrapText="1"/>
      <protection/>
    </xf>
    <xf numFmtId="164" fontId="19" fillId="34" borderId="10" xfId="0" applyNumberFormat="1" applyFont="1" applyFill="1" applyBorder="1" applyAlignment="1">
      <alignment horizontal="center" vertical="center" wrapText="1"/>
    </xf>
    <xf numFmtId="0" fontId="18" fillId="34" borderId="10" xfId="53" applyNumberFormat="1" applyFont="1" applyFill="1" applyBorder="1" applyAlignment="1">
      <alignment horizontal="left" vertical="center" wrapText="1"/>
      <protection/>
    </xf>
    <xf numFmtId="164" fontId="19" fillId="35" borderId="10" xfId="53" applyNumberFormat="1" applyFont="1" applyFill="1" applyBorder="1" applyAlignment="1">
      <alignment horizontal="center" vertical="center" wrapText="1"/>
      <protection/>
    </xf>
    <xf numFmtId="164" fontId="19" fillId="35" borderId="10" xfId="0" applyNumberFormat="1" applyFont="1" applyFill="1" applyBorder="1" applyAlignment="1">
      <alignment horizontal="center" vertical="center" wrapText="1"/>
    </xf>
    <xf numFmtId="0" fontId="19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20" fillId="33" borderId="10" xfId="0" applyNumberFormat="1" applyFont="1" applyFill="1" applyBorder="1" applyAlignment="1">
      <alignment horizontal="center" vertical="center" wrapText="1"/>
    </xf>
    <xf numFmtId="49" fontId="18" fillId="35" borderId="11" xfId="53" applyNumberFormat="1" applyFont="1" applyFill="1" applyBorder="1" applyAlignment="1">
      <alignment horizontal="center" vertical="center" wrapText="1"/>
      <protection/>
    </xf>
    <xf numFmtId="0" fontId="18" fillId="35" borderId="10" xfId="53" applyNumberFormat="1" applyFont="1" applyFill="1" applyBorder="1" applyAlignment="1">
      <alignment horizontal="left" vertical="center" wrapText="1"/>
      <protection/>
    </xf>
    <xf numFmtId="164" fontId="61" fillId="35" borderId="10" xfId="53" applyNumberFormat="1" applyFont="1" applyFill="1" applyBorder="1" applyAlignment="1">
      <alignment horizontal="center" vertical="center" wrapText="1"/>
      <protection/>
    </xf>
    <xf numFmtId="49" fontId="21" fillId="33" borderId="11" xfId="53" applyNumberFormat="1" applyFont="1" applyFill="1" applyBorder="1" applyAlignment="1">
      <alignment horizontal="center" vertical="center" wrapText="1"/>
      <protection/>
    </xf>
    <xf numFmtId="0" fontId="21" fillId="33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left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9" fillId="0" borderId="14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64" fontId="62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64" fontId="62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6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2" xfId="53" applyNumberFormat="1" applyFont="1" applyFill="1" applyBorder="1" applyAlignment="1">
      <alignment horizontal="center"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4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64" fontId="19" fillId="0" borderId="0" xfId="53" applyNumberFormat="1" applyFont="1" applyFill="1" applyBorder="1" applyAlignment="1">
      <alignment horizontal="left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164" fontId="19" fillId="0" borderId="10" xfId="53" applyNumberFormat="1" applyFont="1" applyFill="1" applyBorder="1" applyAlignment="1">
      <alignment horizontal="center" vertical="center" wrapText="1"/>
      <protection/>
    </xf>
    <xf numFmtId="164" fontId="19" fillId="0" borderId="10" xfId="0" applyNumberFormat="1" applyFont="1" applyBorder="1" applyAlignment="1">
      <alignment horizontal="center" vertical="center" wrapText="1"/>
    </xf>
    <xf numFmtId="164" fontId="20" fillId="33" borderId="10" xfId="53" applyNumberFormat="1" applyFont="1" applyFill="1" applyBorder="1" applyAlignment="1">
      <alignment horizontal="center" vertical="center" wrapText="1"/>
      <protection/>
    </xf>
    <xf numFmtId="164" fontId="20" fillId="0" borderId="15" xfId="53" applyNumberFormat="1" applyFont="1" applyBorder="1" applyAlignment="1">
      <alignment horizontal="center" vertical="center" wrapText="1"/>
      <protection/>
    </xf>
    <xf numFmtId="164" fontId="20" fillId="0" borderId="15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9" fontId="18" fillId="0" borderId="21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0" fontId="18" fillId="0" borderId="22" xfId="53" applyNumberFormat="1" applyFont="1" applyBorder="1" applyAlignment="1">
      <alignment horizontal="center" vertical="center" wrapText="1"/>
      <protection/>
    </xf>
    <xf numFmtId="0" fontId="18" fillId="0" borderId="10" xfId="53" applyNumberFormat="1" applyFont="1" applyBorder="1" applyAlignment="1">
      <alignment horizontal="center" vertical="center" wrapText="1"/>
      <protection/>
    </xf>
    <xf numFmtId="164" fontId="19" fillId="0" borderId="22" xfId="53" applyNumberFormat="1" applyFont="1" applyFill="1" applyBorder="1" applyAlignment="1">
      <alignment horizontal="center" vertical="center" wrapText="1"/>
      <protection/>
    </xf>
    <xf numFmtId="164" fontId="19" fillId="0" borderId="22" xfId="0" applyNumberFormat="1" applyFont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164" fontId="19" fillId="0" borderId="10" xfId="53" applyNumberFormat="1" applyFont="1" applyBorder="1" applyAlignment="1">
      <alignment horizontal="center" vertical="center" wrapText="1"/>
      <protection/>
    </xf>
    <xf numFmtId="164" fontId="20" fillId="0" borderId="10" xfId="53" applyNumberFormat="1" applyFont="1" applyFill="1" applyBorder="1" applyAlignment="1">
      <alignment horizontal="center" vertical="center" wrapText="1"/>
      <protection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0" xfId="53" applyNumberFormat="1" applyFont="1" applyBorder="1" applyAlignment="1">
      <alignment horizontal="center" vertical="center" wrapText="1"/>
      <protection/>
    </xf>
    <xf numFmtId="49" fontId="21" fillId="33" borderId="11" xfId="53" applyNumberFormat="1" applyFont="1" applyFill="1" applyBorder="1" applyAlignment="1" quotePrefix="1">
      <alignment horizontal="center" vertical="center" wrapText="1"/>
      <protection/>
    </xf>
    <xf numFmtId="0" fontId="21" fillId="33" borderId="10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0" fontId="14" fillId="35" borderId="17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/>
    </xf>
    <xf numFmtId="0" fontId="14" fillId="35" borderId="19" xfId="0" applyFont="1" applyFill="1" applyBorder="1" applyAlignment="1">
      <alignment horizontal="center" vertical="top" wrapText="1"/>
    </xf>
    <xf numFmtId="0" fontId="14" fillId="35" borderId="19" xfId="0" applyFont="1" applyFill="1" applyBorder="1" applyAlignment="1">
      <alignment horizontal="center" vertical="top"/>
    </xf>
    <xf numFmtId="0" fontId="14" fillId="35" borderId="20" xfId="0" applyFont="1" applyFill="1" applyBorder="1" applyAlignment="1">
      <alignment horizontal="center" vertical="top" wrapText="1"/>
    </xf>
    <xf numFmtId="0" fontId="14" fillId="35" borderId="20" xfId="0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 wrapText="1"/>
    </xf>
    <xf numFmtId="165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/>
    </xf>
    <xf numFmtId="165" fontId="16" fillId="0" borderId="10" xfId="0" applyNumberFormat="1" applyFont="1" applyFill="1" applyBorder="1" applyAlignment="1">
      <alignment horizontal="right" vertical="top" wrapText="1"/>
    </xf>
    <xf numFmtId="165" fontId="14" fillId="0" borderId="10" xfId="0" applyNumberFormat="1" applyFont="1" applyFill="1" applyBorder="1" applyAlignment="1">
      <alignment horizontal="right" vertical="top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/>
    </xf>
    <xf numFmtId="165" fontId="17" fillId="0" borderId="10" xfId="0" applyNumberFormat="1" applyFont="1" applyFill="1" applyBorder="1" applyAlignment="1">
      <alignment vertical="top"/>
    </xf>
    <xf numFmtId="165" fontId="17" fillId="0" borderId="10" xfId="0" applyNumberFormat="1" applyFont="1" applyFill="1" applyBorder="1" applyAlignment="1">
      <alignment vertical="top" wrapText="1" shrinkToFit="1"/>
    </xf>
    <xf numFmtId="165" fontId="13" fillId="0" borderId="0" xfId="0" applyNumberFormat="1" applyFont="1" applyFill="1" applyAlignment="1">
      <alignment vertical="top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25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Fill="1" applyBorder="1" applyAlignment="1">
      <alignment horizontal="center" vertical="top" wrapText="1"/>
    </xf>
    <xf numFmtId="165" fontId="13" fillId="0" borderId="17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vertical="top" wrapText="1"/>
    </xf>
    <xf numFmtId="165" fontId="17" fillId="0" borderId="20" xfId="0" applyNumberFormat="1" applyFont="1" applyFill="1" applyBorder="1" applyAlignment="1">
      <alignment vertical="top" wrapText="1"/>
    </xf>
    <xf numFmtId="165" fontId="13" fillId="0" borderId="20" xfId="0" applyNumberFormat="1" applyFont="1" applyFill="1" applyBorder="1" applyAlignment="1">
      <alignment vertical="top"/>
    </xf>
    <xf numFmtId="165" fontId="17" fillId="0" borderId="14" xfId="0" applyNumberFormat="1" applyFont="1" applyFill="1" applyBorder="1" applyAlignment="1">
      <alignment vertical="top" wrapText="1"/>
    </xf>
    <xf numFmtId="165" fontId="17" fillId="0" borderId="10" xfId="0" applyNumberFormat="1" applyFont="1" applyFill="1" applyBorder="1" applyAlignment="1">
      <alignment horizontal="right" vertical="top" wrapText="1"/>
    </xf>
    <xf numFmtId="165" fontId="14" fillId="0" borderId="18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165" fontId="14" fillId="0" borderId="25" xfId="0" applyNumberFormat="1" applyFont="1" applyFill="1" applyBorder="1" applyAlignment="1">
      <alignment horizontal="center" vertical="top"/>
    </xf>
    <xf numFmtId="165" fontId="14" fillId="0" borderId="26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65" fontId="17" fillId="0" borderId="10" xfId="0" applyNumberFormat="1" applyFont="1" applyFill="1" applyBorder="1" applyAlignment="1">
      <alignment horizontal="right" vertical="top" wrapText="1" shrinkToFit="1"/>
    </xf>
    <xf numFmtId="49" fontId="17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65" fontId="14" fillId="0" borderId="17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vertical="top"/>
    </xf>
    <xf numFmtId="165" fontId="17" fillId="0" borderId="20" xfId="0" applyNumberFormat="1" applyFont="1" applyFill="1" applyBorder="1" applyAlignment="1">
      <alignment horizontal="right" vertical="top" wrapText="1"/>
    </xf>
    <xf numFmtId="165" fontId="17" fillId="0" borderId="27" xfId="0" applyNumberFormat="1" applyFont="1" applyFill="1" applyBorder="1" applyAlignment="1">
      <alignment vertical="top" wrapText="1"/>
    </xf>
    <xf numFmtId="165" fontId="16" fillId="0" borderId="27" xfId="0" applyNumberFormat="1" applyFont="1" applyFill="1" applyBorder="1" applyAlignment="1">
      <alignment horizontal="right" vertical="top" wrapText="1"/>
    </xf>
    <xf numFmtId="165" fontId="17" fillId="0" borderId="10" xfId="0" applyNumberFormat="1" applyFont="1" applyFill="1" applyBorder="1" applyAlignment="1">
      <alignment horizontal="right" vertical="top"/>
    </xf>
    <xf numFmtId="165" fontId="17" fillId="0" borderId="27" xfId="0" applyNumberFormat="1" applyFont="1" applyFill="1" applyBorder="1" applyAlignment="1">
      <alignment horizontal="right" vertical="top" wrapText="1"/>
    </xf>
    <xf numFmtId="49" fontId="13" fillId="0" borderId="0" xfId="0" applyNumberFormat="1" applyFont="1" applyFill="1" applyBorder="1" applyAlignment="1">
      <alignment horizontal="center" vertical="top"/>
    </xf>
    <xf numFmtId="165" fontId="17" fillId="0" borderId="14" xfId="0" applyNumberFormat="1" applyFont="1" applyFill="1" applyBorder="1" applyAlignment="1">
      <alignment horizontal="right" vertical="top" wrapText="1"/>
    </xf>
    <xf numFmtId="165" fontId="16" fillId="0" borderId="10" xfId="0" applyNumberFormat="1" applyFont="1" applyFill="1" applyBorder="1" applyAlignment="1">
      <alignment vertical="top" wrapText="1"/>
    </xf>
    <xf numFmtId="44" fontId="17" fillId="0" borderId="16" xfId="42" applyFont="1" applyFill="1" applyBorder="1" applyAlignment="1">
      <alignment horizontal="center" vertical="top" wrapText="1"/>
    </xf>
    <xf numFmtId="44" fontId="17" fillId="0" borderId="25" xfId="42" applyFont="1" applyFill="1" applyBorder="1" applyAlignment="1">
      <alignment horizontal="center" vertical="top" wrapText="1"/>
    </xf>
    <xf numFmtId="44" fontId="17" fillId="0" borderId="26" xfId="42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left"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166" fontId="13" fillId="0" borderId="10" xfId="0" applyNumberFormat="1" applyFont="1" applyFill="1" applyBorder="1" applyAlignment="1">
      <alignment vertical="top"/>
    </xf>
    <xf numFmtId="49" fontId="17" fillId="0" borderId="17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165" fontId="17" fillId="0" borderId="10" xfId="0" applyNumberFormat="1" applyFont="1" applyFill="1" applyBorder="1" applyAlignment="1">
      <alignment horizontal="right"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65" fontId="0" fillId="0" borderId="0" xfId="0" applyNumberFormat="1" applyFill="1" applyAlignment="1">
      <alignment/>
    </xf>
    <xf numFmtId="0" fontId="15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39" t="s">
        <v>170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40" t="s">
        <v>98</v>
      </c>
      <c r="B3" s="142" t="s">
        <v>97</v>
      </c>
      <c r="C3" s="144" t="s">
        <v>113</v>
      </c>
      <c r="D3" s="144"/>
      <c r="E3" s="144"/>
      <c r="F3" s="145" t="s">
        <v>112</v>
      </c>
      <c r="G3" s="145"/>
      <c r="H3" s="145"/>
      <c r="I3" s="146" t="s">
        <v>111</v>
      </c>
      <c r="J3" s="146"/>
      <c r="K3" s="147"/>
    </row>
    <row r="4" spans="1:11" ht="12.75">
      <c r="A4" s="141"/>
      <c r="B4" s="143"/>
      <c r="C4" s="131" t="s">
        <v>78</v>
      </c>
      <c r="D4" s="131" t="s">
        <v>171</v>
      </c>
      <c r="E4" s="131" t="s">
        <v>77</v>
      </c>
      <c r="F4" s="131" t="s">
        <v>78</v>
      </c>
      <c r="G4" s="148" t="s">
        <v>171</v>
      </c>
      <c r="H4" s="148" t="s">
        <v>77</v>
      </c>
      <c r="I4" s="149" t="s">
        <v>78</v>
      </c>
      <c r="J4" s="151" t="s">
        <v>173</v>
      </c>
      <c r="K4" s="134" t="s">
        <v>77</v>
      </c>
    </row>
    <row r="5" spans="1:11" ht="19.5" customHeight="1">
      <c r="A5" s="141"/>
      <c r="B5" s="143"/>
      <c r="C5" s="132"/>
      <c r="D5" s="131"/>
      <c r="E5" s="138"/>
      <c r="F5" s="132"/>
      <c r="G5" s="148"/>
      <c r="H5" s="132"/>
      <c r="I5" s="150"/>
      <c r="J5" s="151"/>
      <c r="K5" s="135"/>
    </row>
    <row r="6" spans="1:11" ht="12.75">
      <c r="A6" s="141"/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12.75">
      <c r="A7" s="141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ht="12.75">
      <c r="A8" s="141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54" t="s">
        <v>20</v>
      </c>
      <c r="B20" s="155" t="s">
        <v>102</v>
      </c>
      <c r="C20" s="133">
        <f>C23+C24+C22</f>
        <v>25046.9</v>
      </c>
      <c r="D20" s="133">
        <f>D23+D24+D22</f>
        <v>0</v>
      </c>
      <c r="E20" s="133">
        <f>D20/C20*100</f>
        <v>0</v>
      </c>
      <c r="F20" s="133">
        <f>F23+F24+F22</f>
        <v>9535.5</v>
      </c>
      <c r="G20" s="133">
        <f>G23+G24+G22</f>
        <v>0</v>
      </c>
      <c r="H20" s="133">
        <f>G20/F20*100</f>
        <v>0</v>
      </c>
      <c r="I20" s="133">
        <f>I23+I24+I22</f>
        <v>32921.4</v>
      </c>
      <c r="J20" s="133">
        <f>SUM(J22:J24)</f>
        <v>0</v>
      </c>
      <c r="K20" s="133">
        <f>J20/I20*100</f>
        <v>0</v>
      </c>
    </row>
    <row r="21" spans="1:11" ht="12.75">
      <c r="A21" s="154"/>
      <c r="B21" s="155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52" t="s">
        <v>65</v>
      </c>
      <c r="B118" s="153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56" t="s">
        <v>124</v>
      </c>
      <c r="B124" s="156"/>
      <c r="C124" s="156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56" t="s">
        <v>125</v>
      </c>
      <c r="B125" s="156"/>
      <c r="C125" s="156"/>
      <c r="D125" s="42"/>
      <c r="E125" s="157" t="s">
        <v>66</v>
      </c>
      <c r="F125" s="157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56" t="s">
        <v>151</v>
      </c>
      <c r="B127" s="156"/>
      <c r="C127" s="156"/>
      <c r="D127" s="34"/>
      <c r="E127" s="157" t="s">
        <v>123</v>
      </c>
      <c r="F127" s="157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56" t="s">
        <v>154</v>
      </c>
      <c r="B129" s="156"/>
      <c r="C129" s="156"/>
      <c r="D129" s="34"/>
      <c r="E129" s="158" t="s">
        <v>155</v>
      </c>
      <c r="F129" s="158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1">
      <selection activeCell="A1" sqref="A1:Q212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4.625" style="0" customWidth="1"/>
    <col min="5" max="5" width="13.125" style="0" hidden="1" customWidth="1"/>
    <col min="6" max="6" width="10.00390625" style="0" customWidth="1"/>
    <col min="7" max="7" width="8.375" style="0" hidden="1" customWidth="1"/>
    <col min="8" max="8" width="8.75390625" style="0" hidden="1" customWidth="1"/>
    <col min="9" max="9" width="10.00390625" style="0" hidden="1" customWidth="1"/>
    <col min="10" max="10" width="11.00390625" style="0" customWidth="1"/>
    <col min="11" max="11" width="11.00390625" style="0" hidden="1" customWidth="1"/>
    <col min="12" max="12" width="11.125" style="0" hidden="1" customWidth="1"/>
    <col min="13" max="13" width="0.2421875" style="0" hidden="1" customWidth="1"/>
    <col min="14" max="14" width="9.125" style="0" hidden="1" customWidth="1"/>
    <col min="15" max="15" width="10.00390625" style="0" hidden="1" customWidth="1"/>
    <col min="16" max="16" width="10.00390625" style="0" customWidth="1"/>
  </cols>
  <sheetData>
    <row r="1" spans="1:17" ht="23.25" customHeight="1">
      <c r="A1" s="159" t="s">
        <v>314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84"/>
      <c r="N1" s="184"/>
      <c r="O1" s="184"/>
      <c r="P1" s="184"/>
      <c r="Q1" s="184"/>
    </row>
    <row r="2" spans="1:17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84"/>
      <c r="N2" s="184"/>
      <c r="O2" s="184"/>
      <c r="P2" s="184"/>
      <c r="Q2" s="184"/>
    </row>
    <row r="3" spans="1:17" ht="12.75">
      <c r="A3" s="60"/>
      <c r="B3" s="60"/>
      <c r="C3" s="61"/>
      <c r="D3" s="61"/>
      <c r="E3" s="61"/>
      <c r="F3" s="61"/>
      <c r="G3" s="61"/>
      <c r="H3" s="62"/>
      <c r="I3" s="62"/>
      <c r="J3" s="185" t="s">
        <v>298</v>
      </c>
      <c r="K3" s="62"/>
      <c r="L3" s="62"/>
      <c r="M3" s="184"/>
      <c r="N3" s="184"/>
      <c r="O3" s="184"/>
      <c r="P3" s="184"/>
      <c r="Q3" s="184"/>
    </row>
    <row r="4" spans="1:17" ht="24" customHeight="1">
      <c r="A4" s="63" t="s">
        <v>174</v>
      </c>
      <c r="B4" s="63"/>
      <c r="C4" s="64"/>
      <c r="D4" s="186" t="s">
        <v>299</v>
      </c>
      <c r="E4" s="186" t="s">
        <v>300</v>
      </c>
      <c r="F4" s="187" t="s">
        <v>301</v>
      </c>
      <c r="G4" s="187" t="s">
        <v>302</v>
      </c>
      <c r="H4" s="187" t="s">
        <v>303</v>
      </c>
      <c r="I4" s="187" t="s">
        <v>304</v>
      </c>
      <c r="J4" s="186" t="s">
        <v>315</v>
      </c>
      <c r="K4" s="186" t="s">
        <v>305</v>
      </c>
      <c r="L4" s="186" t="s">
        <v>306</v>
      </c>
      <c r="M4" s="186" t="s">
        <v>307</v>
      </c>
      <c r="N4" s="186" t="s">
        <v>308</v>
      </c>
      <c r="O4" s="186" t="s">
        <v>309</v>
      </c>
      <c r="P4" s="186" t="s">
        <v>310</v>
      </c>
      <c r="Q4" s="186" t="s">
        <v>311</v>
      </c>
    </row>
    <row r="5" spans="1:17" ht="23.25" customHeight="1">
      <c r="A5" s="65" t="s">
        <v>175</v>
      </c>
      <c r="B5" s="65"/>
      <c r="C5" s="66" t="s">
        <v>176</v>
      </c>
      <c r="D5" s="188"/>
      <c r="E5" s="188"/>
      <c r="F5" s="189"/>
      <c r="G5" s="189"/>
      <c r="H5" s="189"/>
      <c r="I5" s="189"/>
      <c r="J5" s="188"/>
      <c r="K5" s="188"/>
      <c r="L5" s="188"/>
      <c r="M5" s="188"/>
      <c r="N5" s="188"/>
      <c r="O5" s="188"/>
      <c r="P5" s="188"/>
      <c r="Q5" s="188"/>
    </row>
    <row r="6" spans="1:17" ht="25.5" customHeight="1">
      <c r="A6" s="65"/>
      <c r="B6" s="65"/>
      <c r="C6" s="66"/>
      <c r="D6" s="190"/>
      <c r="E6" s="190"/>
      <c r="F6" s="191"/>
      <c r="G6" s="191"/>
      <c r="H6" s="191"/>
      <c r="I6" s="191"/>
      <c r="J6" s="190"/>
      <c r="K6" s="190"/>
      <c r="L6" s="190"/>
      <c r="M6" s="190"/>
      <c r="N6" s="190"/>
      <c r="O6" s="190"/>
      <c r="P6" s="190"/>
      <c r="Q6" s="190"/>
    </row>
    <row r="7" spans="1:17" ht="12.75">
      <c r="A7" s="255" t="s">
        <v>177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184"/>
      <c r="Q7" s="184"/>
    </row>
    <row r="8" spans="1:17" ht="12.75">
      <c r="A8" s="192" t="s">
        <v>178</v>
      </c>
      <c r="B8" s="192"/>
      <c r="C8" s="193" t="s">
        <v>179</v>
      </c>
      <c r="D8" s="194">
        <f aca="true" t="shared" si="0" ref="D8:J8">D9+D11+D12+D13+D15+D16+D18+D20+D14+D21+D17+D19+D10</f>
        <v>864828</v>
      </c>
      <c r="E8" s="194">
        <f t="shared" si="0"/>
        <v>202970.19999999998</v>
      </c>
      <c r="F8" s="194">
        <f t="shared" si="0"/>
        <v>202970.19999999998</v>
      </c>
      <c r="G8" s="194">
        <f t="shared" si="0"/>
        <v>221867.90000000002</v>
      </c>
      <c r="H8" s="194">
        <f t="shared" si="0"/>
        <v>206248.7</v>
      </c>
      <c r="I8" s="194">
        <f t="shared" si="0"/>
        <v>233741.19999999995</v>
      </c>
      <c r="J8" s="194">
        <f t="shared" si="0"/>
        <v>132397</v>
      </c>
      <c r="K8" s="194" t="e">
        <f>K9+K11+K12+K13+K15+K16+K18+K20+K14+K21+K17+K19</f>
        <v>#REF!</v>
      </c>
      <c r="L8" s="194">
        <f aca="true" t="shared" si="1" ref="L8:L20">J8/H8*100</f>
        <v>64.19288945821235</v>
      </c>
      <c r="M8" s="195"/>
      <c r="N8" s="195"/>
      <c r="O8" s="194">
        <f>J8*100/I8</f>
        <v>56.64256023328366</v>
      </c>
      <c r="P8" s="194">
        <f>J8*100/E8</f>
        <v>65.2297726464279</v>
      </c>
      <c r="Q8" s="80">
        <f>J8*100/D8</f>
        <v>15.309055673498083</v>
      </c>
    </row>
    <row r="9" spans="1:17" ht="12.75">
      <c r="A9" s="77" t="s">
        <v>180</v>
      </c>
      <c r="B9" s="77"/>
      <c r="C9" s="196" t="s">
        <v>181</v>
      </c>
      <c r="D9" s="197">
        <f>F9+G9+H9+I9</f>
        <v>686798.8</v>
      </c>
      <c r="E9" s="197">
        <f>F9</f>
        <v>158666.3</v>
      </c>
      <c r="F9" s="197">
        <v>158666.3</v>
      </c>
      <c r="G9" s="197">
        <v>177600.7</v>
      </c>
      <c r="H9" s="72">
        <v>161953.5</v>
      </c>
      <c r="I9" s="73">
        <v>188578.3</v>
      </c>
      <c r="J9" s="73">
        <v>101761.6</v>
      </c>
      <c r="K9" s="74" t="e">
        <f>J9/#REF!*100</f>
        <v>#REF!</v>
      </c>
      <c r="L9" s="74">
        <f t="shared" si="1"/>
        <v>62.833838107851946</v>
      </c>
      <c r="M9" s="195"/>
      <c r="N9" s="195"/>
      <c r="O9" s="72">
        <f aca="true" t="shared" si="2" ref="O9:O74">J9*100/I9</f>
        <v>53.96251848701574</v>
      </c>
      <c r="P9" s="74">
        <f aca="true" t="shared" si="3" ref="P9:P71">J9*100/E9</f>
        <v>64.13561039741899</v>
      </c>
      <c r="Q9" s="73">
        <f aca="true" t="shared" si="4" ref="Q9:Q71">J9*100/D9</f>
        <v>14.816799330458934</v>
      </c>
    </row>
    <row r="10" spans="1:17" ht="12.75">
      <c r="A10" s="67" t="s">
        <v>312</v>
      </c>
      <c r="B10" s="67"/>
      <c r="C10" s="196" t="s">
        <v>313</v>
      </c>
      <c r="D10" s="197">
        <f aca="true" t="shared" si="5" ref="D10:D26">F10+G10+H10+I10</f>
        <v>40154.200000000004</v>
      </c>
      <c r="E10" s="197">
        <f aca="true" t="shared" si="6" ref="E10:E26">F10</f>
        <v>8828.2</v>
      </c>
      <c r="F10" s="197">
        <v>8828.2</v>
      </c>
      <c r="G10" s="197">
        <v>9979.2</v>
      </c>
      <c r="H10" s="72">
        <v>9979.2</v>
      </c>
      <c r="I10" s="73">
        <v>11367.6</v>
      </c>
      <c r="J10" s="73">
        <v>5570.5</v>
      </c>
      <c r="K10" s="74"/>
      <c r="L10" s="74"/>
      <c r="M10" s="195"/>
      <c r="N10" s="195"/>
      <c r="O10" s="72"/>
      <c r="P10" s="74">
        <f t="shared" si="3"/>
        <v>63.09893296481729</v>
      </c>
      <c r="Q10" s="73">
        <f t="shared" si="4"/>
        <v>13.87277046983877</v>
      </c>
    </row>
    <row r="11" spans="1:17" ht="12.75">
      <c r="A11" s="67" t="s">
        <v>182</v>
      </c>
      <c r="B11" s="67"/>
      <c r="C11" s="196" t="s">
        <v>183</v>
      </c>
      <c r="D11" s="197">
        <f t="shared" si="5"/>
        <v>34182.799999999996</v>
      </c>
      <c r="E11" s="197">
        <f t="shared" si="6"/>
        <v>8529.8</v>
      </c>
      <c r="F11" s="197">
        <v>8529.8</v>
      </c>
      <c r="G11" s="197">
        <v>8499.8</v>
      </c>
      <c r="H11" s="72">
        <v>8529.3</v>
      </c>
      <c r="I11" s="73">
        <v>8623.9</v>
      </c>
      <c r="J11" s="73">
        <v>4803.9</v>
      </c>
      <c r="K11" s="74" t="e">
        <f>J11/#REF!*100</f>
        <v>#REF!</v>
      </c>
      <c r="L11" s="74">
        <f t="shared" si="1"/>
        <v>56.322324223558795</v>
      </c>
      <c r="M11" s="195"/>
      <c r="N11" s="195"/>
      <c r="O11" s="72">
        <f t="shared" si="2"/>
        <v>55.70449564582149</v>
      </c>
      <c r="P11" s="74">
        <f t="shared" si="3"/>
        <v>56.31902272034514</v>
      </c>
      <c r="Q11" s="73">
        <f t="shared" si="4"/>
        <v>14.053559099898195</v>
      </c>
    </row>
    <row r="12" spans="1:17" ht="12.75">
      <c r="A12" s="67" t="s">
        <v>184</v>
      </c>
      <c r="B12" s="67"/>
      <c r="C12" s="196" t="s">
        <v>185</v>
      </c>
      <c r="D12" s="197">
        <f t="shared" si="5"/>
        <v>3099.9999999999995</v>
      </c>
      <c r="E12" s="197">
        <f t="shared" si="6"/>
        <v>707.8</v>
      </c>
      <c r="F12" s="197">
        <v>707.8</v>
      </c>
      <c r="G12" s="197">
        <v>707.8</v>
      </c>
      <c r="H12" s="72">
        <v>707.8</v>
      </c>
      <c r="I12" s="73">
        <v>976.6</v>
      </c>
      <c r="J12" s="73">
        <v>970.1</v>
      </c>
      <c r="K12" s="74" t="e">
        <f>J12/#REF!*100</f>
        <v>#REF!</v>
      </c>
      <c r="L12" s="74">
        <f t="shared" si="1"/>
        <v>137.05849109918057</v>
      </c>
      <c r="M12" s="195"/>
      <c r="N12" s="195"/>
      <c r="O12" s="72">
        <f t="shared" si="2"/>
        <v>99.33442555805857</v>
      </c>
      <c r="P12" s="74">
        <f t="shared" si="3"/>
        <v>137.05849109918057</v>
      </c>
      <c r="Q12" s="73">
        <f t="shared" si="4"/>
        <v>31.293548387096777</v>
      </c>
    </row>
    <row r="13" spans="1:17" ht="12.75">
      <c r="A13" s="67" t="s">
        <v>186</v>
      </c>
      <c r="B13" s="67"/>
      <c r="C13" s="196" t="s">
        <v>187</v>
      </c>
      <c r="D13" s="197">
        <f t="shared" si="5"/>
        <v>3230</v>
      </c>
      <c r="E13" s="197">
        <f t="shared" si="6"/>
        <v>739.5</v>
      </c>
      <c r="F13" s="197">
        <v>739.5</v>
      </c>
      <c r="G13" s="197">
        <v>937.5</v>
      </c>
      <c r="H13" s="72">
        <v>937.5</v>
      </c>
      <c r="I13" s="73">
        <v>615.5</v>
      </c>
      <c r="J13" s="73">
        <v>458.6</v>
      </c>
      <c r="K13" s="74" t="e">
        <f>J13/#REF!*100</f>
        <v>#REF!</v>
      </c>
      <c r="L13" s="74">
        <f t="shared" si="1"/>
        <v>48.91733333333333</v>
      </c>
      <c r="M13" s="195"/>
      <c r="N13" s="195"/>
      <c r="O13" s="72">
        <f t="shared" si="2"/>
        <v>74.50852965069049</v>
      </c>
      <c r="P13" s="74">
        <f t="shared" si="3"/>
        <v>62.01487491548343</v>
      </c>
      <c r="Q13" s="73">
        <f t="shared" si="4"/>
        <v>14.198142414860682</v>
      </c>
    </row>
    <row r="14" spans="1:17" ht="24">
      <c r="A14" s="67" t="s">
        <v>188</v>
      </c>
      <c r="B14" s="67"/>
      <c r="C14" s="196" t="s">
        <v>189</v>
      </c>
      <c r="D14" s="197">
        <f t="shared" si="5"/>
        <v>0</v>
      </c>
      <c r="E14" s="197">
        <f t="shared" si="6"/>
        <v>0</v>
      </c>
      <c r="F14" s="197"/>
      <c r="G14" s="197"/>
      <c r="H14" s="72"/>
      <c r="I14" s="73"/>
      <c r="J14" s="73"/>
      <c r="K14" s="74" t="e">
        <f>J14/#REF!*100</f>
        <v>#REF!</v>
      </c>
      <c r="L14" s="74"/>
      <c r="M14" s="195"/>
      <c r="N14" s="195"/>
      <c r="O14" s="72" t="e">
        <f t="shared" si="2"/>
        <v>#DIV/0!</v>
      </c>
      <c r="P14" s="74"/>
      <c r="Q14" s="73"/>
    </row>
    <row r="15" spans="1:17" ht="24">
      <c r="A15" s="68" t="s">
        <v>190</v>
      </c>
      <c r="B15" s="68"/>
      <c r="C15" s="196" t="s">
        <v>191</v>
      </c>
      <c r="D15" s="197">
        <f t="shared" si="5"/>
        <v>65808</v>
      </c>
      <c r="E15" s="197">
        <f t="shared" si="6"/>
        <v>16362.9</v>
      </c>
      <c r="F15" s="197">
        <v>16362.9</v>
      </c>
      <c r="G15" s="197">
        <v>16364.9</v>
      </c>
      <c r="H15" s="72">
        <v>16713.4</v>
      </c>
      <c r="I15" s="73">
        <v>16366.8</v>
      </c>
      <c r="J15" s="73">
        <v>1883.2</v>
      </c>
      <c r="K15" s="74" t="e">
        <f>J15/#REF!*100</f>
        <v>#REF!</v>
      </c>
      <c r="L15" s="74">
        <f t="shared" si="1"/>
        <v>11.267605633802816</v>
      </c>
      <c r="M15" s="195"/>
      <c r="N15" s="195"/>
      <c r="O15" s="72">
        <f t="shared" si="2"/>
        <v>11.50621990859545</v>
      </c>
      <c r="P15" s="74">
        <f t="shared" si="3"/>
        <v>11.508962347750094</v>
      </c>
      <c r="Q15" s="73">
        <f t="shared" si="4"/>
        <v>2.861658157062971</v>
      </c>
    </row>
    <row r="16" spans="1:17" ht="12.75">
      <c r="A16" s="198" t="s">
        <v>192</v>
      </c>
      <c r="B16" s="198"/>
      <c r="C16" s="196" t="s">
        <v>193</v>
      </c>
      <c r="D16" s="197">
        <f t="shared" si="5"/>
        <v>13832.499999999998</v>
      </c>
      <c r="E16" s="197">
        <f t="shared" si="6"/>
        <v>3453.2</v>
      </c>
      <c r="F16" s="197">
        <v>3453.2</v>
      </c>
      <c r="G16" s="197">
        <v>3453.2</v>
      </c>
      <c r="H16" s="72">
        <v>3453.2</v>
      </c>
      <c r="I16" s="73">
        <v>3472.9</v>
      </c>
      <c r="J16" s="73">
        <v>10217.8</v>
      </c>
      <c r="K16" s="74" t="e">
        <f>J16/#REF!*100</f>
        <v>#REF!</v>
      </c>
      <c r="L16" s="74">
        <f t="shared" si="1"/>
        <v>295.893663848025</v>
      </c>
      <c r="M16" s="195"/>
      <c r="N16" s="195"/>
      <c r="O16" s="72">
        <f t="shared" si="2"/>
        <v>294.21520919116585</v>
      </c>
      <c r="P16" s="74">
        <f t="shared" si="3"/>
        <v>295.893663848025</v>
      </c>
      <c r="Q16" s="73">
        <f t="shared" si="4"/>
        <v>73.86806434122538</v>
      </c>
    </row>
    <row r="17" spans="1:17" ht="24">
      <c r="A17" s="199" t="s">
        <v>194</v>
      </c>
      <c r="B17" s="199"/>
      <c r="C17" s="196" t="s">
        <v>195</v>
      </c>
      <c r="D17" s="197">
        <f t="shared" si="5"/>
        <v>5475</v>
      </c>
      <c r="E17" s="197">
        <f t="shared" si="6"/>
        <v>2507.4</v>
      </c>
      <c r="F17" s="197">
        <f>802.4+1705</f>
        <v>2507.4</v>
      </c>
      <c r="G17" s="197">
        <v>923.1</v>
      </c>
      <c r="H17" s="72">
        <v>923.1</v>
      </c>
      <c r="I17" s="73">
        <v>1121.4</v>
      </c>
      <c r="J17" s="73">
        <v>3240</v>
      </c>
      <c r="K17" s="74" t="e">
        <f>J17/#REF!*100</f>
        <v>#REF!</v>
      </c>
      <c r="L17" s="74">
        <f t="shared" si="1"/>
        <v>350.99122521936954</v>
      </c>
      <c r="M17" s="195"/>
      <c r="N17" s="195"/>
      <c r="O17" s="72">
        <f t="shared" si="2"/>
        <v>288.9245585874799</v>
      </c>
      <c r="P17" s="74">
        <f t="shared" si="3"/>
        <v>129.21751615218952</v>
      </c>
      <c r="Q17" s="73">
        <f t="shared" si="4"/>
        <v>59.178082191780824</v>
      </c>
    </row>
    <row r="18" spans="1:17" ht="24">
      <c r="A18" s="199" t="s">
        <v>196</v>
      </c>
      <c r="B18" s="199"/>
      <c r="C18" s="196" t="s">
        <v>197</v>
      </c>
      <c r="D18" s="197">
        <f t="shared" si="5"/>
        <v>9360</v>
      </c>
      <c r="E18" s="197">
        <f t="shared" si="6"/>
        <v>2581.7</v>
      </c>
      <c r="F18" s="197">
        <v>2581.7</v>
      </c>
      <c r="G18" s="197">
        <v>2640</v>
      </c>
      <c r="H18" s="72">
        <v>2290</v>
      </c>
      <c r="I18" s="73">
        <v>1848.3</v>
      </c>
      <c r="J18" s="73">
        <v>2615.7</v>
      </c>
      <c r="K18" s="74" t="e">
        <f>J18/#REF!*100</f>
        <v>#REF!</v>
      </c>
      <c r="L18" s="74">
        <f t="shared" si="1"/>
        <v>114.22270742358079</v>
      </c>
      <c r="M18" s="195"/>
      <c r="N18" s="195"/>
      <c r="O18" s="72">
        <f t="shared" si="2"/>
        <v>141.51923389060215</v>
      </c>
      <c r="P18" s="74">
        <f t="shared" si="3"/>
        <v>101.31696169190843</v>
      </c>
      <c r="Q18" s="73">
        <f t="shared" si="4"/>
        <v>27.945512820512818</v>
      </c>
    </row>
    <row r="19" spans="1:17" ht="12.75">
      <c r="A19" s="199" t="s">
        <v>198</v>
      </c>
      <c r="B19" s="199"/>
      <c r="C19" s="196" t="s">
        <v>199</v>
      </c>
      <c r="D19" s="197">
        <f t="shared" si="5"/>
        <v>20</v>
      </c>
      <c r="E19" s="197">
        <f t="shared" si="6"/>
        <v>2</v>
      </c>
      <c r="F19" s="197">
        <v>2</v>
      </c>
      <c r="G19" s="197">
        <v>6</v>
      </c>
      <c r="H19" s="72">
        <v>6</v>
      </c>
      <c r="I19" s="73">
        <v>6</v>
      </c>
      <c r="J19" s="73">
        <v>2</v>
      </c>
      <c r="K19" s="74" t="e">
        <f>J19/#REF!*100</f>
        <v>#REF!</v>
      </c>
      <c r="L19" s="74">
        <f t="shared" si="1"/>
        <v>33.33333333333333</v>
      </c>
      <c r="M19" s="195"/>
      <c r="N19" s="195"/>
      <c r="O19" s="72">
        <f t="shared" si="2"/>
        <v>33.333333333333336</v>
      </c>
      <c r="P19" s="74">
        <f t="shared" si="3"/>
        <v>100</v>
      </c>
      <c r="Q19" s="73">
        <f t="shared" si="4"/>
        <v>10</v>
      </c>
    </row>
    <row r="20" spans="1:17" ht="12.75">
      <c r="A20" s="77" t="s">
        <v>200</v>
      </c>
      <c r="B20" s="77"/>
      <c r="C20" s="196" t="s">
        <v>201</v>
      </c>
      <c r="D20" s="197">
        <f t="shared" si="5"/>
        <v>2866.7000000000003</v>
      </c>
      <c r="E20" s="197">
        <f t="shared" si="6"/>
        <v>591.4</v>
      </c>
      <c r="F20" s="197">
        <v>591.4</v>
      </c>
      <c r="G20" s="197">
        <v>755.7</v>
      </c>
      <c r="H20" s="72">
        <v>755.7</v>
      </c>
      <c r="I20" s="73">
        <v>763.9</v>
      </c>
      <c r="J20" s="73">
        <v>648.2</v>
      </c>
      <c r="K20" s="74" t="e">
        <f>J20/#REF!*100</f>
        <v>#REF!</v>
      </c>
      <c r="L20" s="74">
        <f t="shared" si="1"/>
        <v>85.77477835119757</v>
      </c>
      <c r="M20" s="195"/>
      <c r="N20" s="195"/>
      <c r="O20" s="72">
        <f t="shared" si="2"/>
        <v>84.85403848671294</v>
      </c>
      <c r="P20" s="74">
        <f t="shared" si="3"/>
        <v>109.60432871153198</v>
      </c>
      <c r="Q20" s="73">
        <f t="shared" si="4"/>
        <v>22.61136498412809</v>
      </c>
    </row>
    <row r="21" spans="1:17" ht="12.75">
      <c r="A21" s="200" t="s">
        <v>202</v>
      </c>
      <c r="B21" s="201"/>
      <c r="C21" s="71" t="s">
        <v>203</v>
      </c>
      <c r="D21" s="197">
        <f t="shared" si="5"/>
        <v>0</v>
      </c>
      <c r="E21" s="197">
        <f t="shared" si="6"/>
        <v>0</v>
      </c>
      <c r="F21" s="197"/>
      <c r="G21" s="197"/>
      <c r="H21" s="72"/>
      <c r="I21" s="73"/>
      <c r="J21" s="73">
        <v>225.4</v>
      </c>
      <c r="K21" s="74"/>
      <c r="L21" s="74"/>
      <c r="M21" s="195"/>
      <c r="N21" s="195"/>
      <c r="O21" s="72"/>
      <c r="P21" s="74"/>
      <c r="Q21" s="73"/>
    </row>
    <row r="22" spans="1:17" ht="12.75">
      <c r="A22" s="192" t="s">
        <v>206</v>
      </c>
      <c r="B22" s="192"/>
      <c r="C22" s="202" t="s">
        <v>207</v>
      </c>
      <c r="D22" s="203">
        <f aca="true" t="shared" si="7" ref="D22:J22">D23+D24+D26+D25</f>
        <v>2969362.4</v>
      </c>
      <c r="E22" s="203">
        <f t="shared" si="7"/>
        <v>303704.4</v>
      </c>
      <c r="F22" s="203">
        <f t="shared" si="7"/>
        <v>303704.4</v>
      </c>
      <c r="G22" s="203">
        <f t="shared" si="7"/>
        <v>750610.9</v>
      </c>
      <c r="H22" s="203">
        <f t="shared" si="7"/>
        <v>716628.1</v>
      </c>
      <c r="I22" s="203">
        <f t="shared" si="7"/>
        <v>1198419</v>
      </c>
      <c r="J22" s="203">
        <f t="shared" si="7"/>
        <v>-46908.399999999965</v>
      </c>
      <c r="K22" s="194" t="e">
        <f>J22/#REF!*100</f>
        <v>#REF!</v>
      </c>
      <c r="L22" s="194">
        <f aca="true" t="shared" si="8" ref="L22:L27">J22/H22*100</f>
        <v>-6.54571039008936</v>
      </c>
      <c r="M22" s="195"/>
      <c r="N22" s="195"/>
      <c r="O22" s="204">
        <f t="shared" si="2"/>
        <v>-3.914190279025947</v>
      </c>
      <c r="P22" s="194">
        <f t="shared" si="3"/>
        <v>-15.445413369052263</v>
      </c>
      <c r="Q22" s="80">
        <f t="shared" si="4"/>
        <v>-1.5797465476090073</v>
      </c>
    </row>
    <row r="23" spans="1:17" ht="24">
      <c r="A23" s="69" t="s">
        <v>208</v>
      </c>
      <c r="B23" s="67"/>
      <c r="C23" s="205" t="s">
        <v>209</v>
      </c>
      <c r="D23" s="197">
        <f t="shared" si="5"/>
        <v>3041794.3</v>
      </c>
      <c r="E23" s="197">
        <f t="shared" si="6"/>
        <v>395336.3</v>
      </c>
      <c r="F23" s="197">
        <f>373119+22217.3</f>
        <v>395336.3</v>
      </c>
      <c r="G23" s="197">
        <v>744010.9</v>
      </c>
      <c r="H23" s="73">
        <v>710028.1</v>
      </c>
      <c r="I23" s="73">
        <v>1192419</v>
      </c>
      <c r="J23" s="73">
        <v>276058.7</v>
      </c>
      <c r="K23" s="74" t="e">
        <f>J23/#REF!*100</f>
        <v>#REF!</v>
      </c>
      <c r="L23" s="74">
        <f t="shared" si="8"/>
        <v>38.879968271678266</v>
      </c>
      <c r="M23" s="195"/>
      <c r="N23" s="195"/>
      <c r="O23" s="72">
        <f t="shared" si="2"/>
        <v>23.151149050795066</v>
      </c>
      <c r="P23" s="74">
        <f t="shared" si="3"/>
        <v>69.8288267482647</v>
      </c>
      <c r="Q23" s="73">
        <f t="shared" si="4"/>
        <v>9.075521641946663</v>
      </c>
    </row>
    <row r="24" spans="1:17" ht="12.75">
      <c r="A24" s="69" t="s">
        <v>210</v>
      </c>
      <c r="B24" s="69"/>
      <c r="C24" s="206" t="s">
        <v>211</v>
      </c>
      <c r="D24" s="197">
        <f t="shared" si="5"/>
        <v>20000</v>
      </c>
      <c r="E24" s="197">
        <f t="shared" si="6"/>
        <v>800</v>
      </c>
      <c r="F24" s="207">
        <v>800</v>
      </c>
      <c r="G24" s="207">
        <v>6600</v>
      </c>
      <c r="H24" s="73">
        <v>6600</v>
      </c>
      <c r="I24" s="73">
        <v>6000</v>
      </c>
      <c r="J24" s="73"/>
      <c r="K24" s="74" t="e">
        <f>J24/#REF!*100</f>
        <v>#REF!</v>
      </c>
      <c r="L24" s="74">
        <f t="shared" si="8"/>
        <v>0</v>
      </c>
      <c r="M24" s="195"/>
      <c r="N24" s="195"/>
      <c r="O24" s="72">
        <f t="shared" si="2"/>
        <v>0</v>
      </c>
      <c r="P24" s="74">
        <f t="shared" si="3"/>
        <v>0</v>
      </c>
      <c r="Q24" s="73">
        <f t="shared" si="4"/>
        <v>0</v>
      </c>
    </row>
    <row r="25" spans="1:17" ht="63" customHeight="1">
      <c r="A25" s="69" t="s">
        <v>212</v>
      </c>
      <c r="B25" s="70" t="s">
        <v>213</v>
      </c>
      <c r="C25" s="71" t="s">
        <v>213</v>
      </c>
      <c r="D25" s="197">
        <f t="shared" si="5"/>
        <v>0</v>
      </c>
      <c r="E25" s="197">
        <f t="shared" si="6"/>
        <v>0</v>
      </c>
      <c r="F25" s="197"/>
      <c r="G25" s="197"/>
      <c r="H25" s="73"/>
      <c r="I25" s="73"/>
      <c r="J25" s="73"/>
      <c r="K25" s="74" t="e">
        <f>J25/#REF!*100</f>
        <v>#REF!</v>
      </c>
      <c r="L25" s="74"/>
      <c r="M25" s="195"/>
      <c r="N25" s="195"/>
      <c r="O25" s="72" t="e">
        <f t="shared" si="2"/>
        <v>#DIV/0!</v>
      </c>
      <c r="P25" s="74"/>
      <c r="Q25" s="73"/>
    </row>
    <row r="26" spans="1:17" ht="40.5" customHeight="1">
      <c r="A26" s="69" t="s">
        <v>214</v>
      </c>
      <c r="B26" s="75"/>
      <c r="C26" s="76" t="s">
        <v>215</v>
      </c>
      <c r="D26" s="197">
        <f t="shared" si="5"/>
        <v>-92431.9</v>
      </c>
      <c r="E26" s="197">
        <f t="shared" si="6"/>
        <v>-92431.9</v>
      </c>
      <c r="F26" s="208">
        <v>-92431.9</v>
      </c>
      <c r="G26" s="208"/>
      <c r="H26" s="73"/>
      <c r="I26" s="73"/>
      <c r="J26" s="73">
        <v>-322967.1</v>
      </c>
      <c r="K26" s="74" t="e">
        <f>J26/#REF!*100</f>
        <v>#REF!</v>
      </c>
      <c r="L26" s="74"/>
      <c r="M26" s="195"/>
      <c r="N26" s="195"/>
      <c r="O26" s="72" t="e">
        <f t="shared" si="2"/>
        <v>#DIV/0!</v>
      </c>
      <c r="P26" s="74">
        <f t="shared" si="3"/>
        <v>349.4108635655006</v>
      </c>
      <c r="Q26" s="73">
        <f t="shared" si="4"/>
        <v>349.4108635655006</v>
      </c>
    </row>
    <row r="27" spans="1:17" ht="12.75">
      <c r="A27" s="77"/>
      <c r="B27" s="78"/>
      <c r="C27" s="79" t="s">
        <v>216</v>
      </c>
      <c r="D27" s="80">
        <f aca="true" t="shared" si="9" ref="D27:J27">D22+D8</f>
        <v>3834190.4</v>
      </c>
      <c r="E27" s="80">
        <f t="shared" si="9"/>
        <v>506674.6</v>
      </c>
      <c r="F27" s="80">
        <f t="shared" si="9"/>
        <v>506674.6</v>
      </c>
      <c r="G27" s="80">
        <f t="shared" si="9"/>
        <v>972478.8</v>
      </c>
      <c r="H27" s="80">
        <f t="shared" si="9"/>
        <v>922876.8</v>
      </c>
      <c r="I27" s="80">
        <f t="shared" si="9"/>
        <v>1432160.2</v>
      </c>
      <c r="J27" s="80">
        <f t="shared" si="9"/>
        <v>85488.60000000003</v>
      </c>
      <c r="K27" s="194" t="e">
        <f>J27/#REF!*100</f>
        <v>#REF!</v>
      </c>
      <c r="L27" s="194">
        <f t="shared" si="8"/>
        <v>9.263273277646597</v>
      </c>
      <c r="M27" s="195"/>
      <c r="N27" s="209" t="e">
        <f>I27+#REF!+#REF!</f>
        <v>#REF!</v>
      </c>
      <c r="O27" s="204">
        <f t="shared" si="2"/>
        <v>5.969206517539032</v>
      </c>
      <c r="P27" s="194">
        <f t="shared" si="3"/>
        <v>16.872485812393208</v>
      </c>
      <c r="Q27" s="80">
        <f t="shared" si="4"/>
        <v>2.2296388828264773</v>
      </c>
    </row>
    <row r="28" spans="1:17" ht="12.75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195"/>
      <c r="N28" s="195"/>
      <c r="O28" s="213"/>
      <c r="P28" s="194"/>
      <c r="Q28" s="80"/>
    </row>
    <row r="29" spans="1:17" ht="12.75">
      <c r="A29" s="214" t="s">
        <v>217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194"/>
      <c r="Q29" s="80"/>
    </row>
    <row r="30" spans="1:17" ht="12.75">
      <c r="A30" s="192" t="s">
        <v>178</v>
      </c>
      <c r="B30" s="192"/>
      <c r="C30" s="193" t="s">
        <v>179</v>
      </c>
      <c r="D30" s="194">
        <f>D31+D32+D34+D35+D33</f>
        <v>15647.5</v>
      </c>
      <c r="E30" s="194">
        <f>E31+E32+E34+E35+E33</f>
        <v>3911.6999999999994</v>
      </c>
      <c r="F30" s="194">
        <f>F31+F32+F34+F35+F33</f>
        <v>3911.6999999999994</v>
      </c>
      <c r="G30" s="194">
        <f>G31+G32+G34+G35+G33</f>
        <v>3912.0000000000005</v>
      </c>
      <c r="H30" s="194">
        <f>H31+H32+H34+H35+H33</f>
        <v>3911.6999999999994</v>
      </c>
      <c r="I30" s="194">
        <f>I31+I32+I33+I34+I35+I36</f>
        <v>3912.1000000000004</v>
      </c>
      <c r="J30" s="194">
        <f>J31+J32+J34+J35+J33+J36</f>
        <v>1645.1000000000001</v>
      </c>
      <c r="K30" s="194" t="e">
        <f>J30/#REF!*100</f>
        <v>#REF!</v>
      </c>
      <c r="L30" s="194">
        <f aca="true" t="shared" si="10" ref="L30:L35">J30/H30*100</f>
        <v>42.05588363115782</v>
      </c>
      <c r="M30" s="195"/>
      <c r="N30" s="195"/>
      <c r="O30" s="194">
        <f t="shared" si="2"/>
        <v>42.051583548477794</v>
      </c>
      <c r="P30" s="194">
        <f t="shared" si="3"/>
        <v>42.05588363115781</v>
      </c>
      <c r="Q30" s="80">
        <f t="shared" si="4"/>
        <v>10.51350055919476</v>
      </c>
    </row>
    <row r="31" spans="1:17" ht="12.75">
      <c r="A31" s="67" t="s">
        <v>180</v>
      </c>
      <c r="B31" s="67"/>
      <c r="C31" s="215" t="s">
        <v>181</v>
      </c>
      <c r="D31" s="197">
        <f>F31+G31+H31+I31</f>
        <v>14175</v>
      </c>
      <c r="E31" s="197">
        <f>F31</f>
        <v>3543.7</v>
      </c>
      <c r="F31" s="216">
        <v>3543.7</v>
      </c>
      <c r="G31" s="216">
        <v>3543.8</v>
      </c>
      <c r="H31" s="72">
        <v>3543.7</v>
      </c>
      <c r="I31" s="73">
        <v>3543.8</v>
      </c>
      <c r="J31" s="217">
        <v>1530.5</v>
      </c>
      <c r="K31" s="74" t="e">
        <f>J31/#REF!*100</f>
        <v>#REF!</v>
      </c>
      <c r="L31" s="74">
        <f t="shared" si="10"/>
        <v>43.18932189519429</v>
      </c>
      <c r="M31" s="195"/>
      <c r="N31" s="195"/>
      <c r="O31" s="72">
        <f t="shared" si="2"/>
        <v>43.188103166092894</v>
      </c>
      <c r="P31" s="74">
        <f t="shared" si="3"/>
        <v>43.18932189519429</v>
      </c>
      <c r="Q31" s="73">
        <f t="shared" si="4"/>
        <v>10.797178130511464</v>
      </c>
    </row>
    <row r="32" spans="1:17" ht="12.75">
      <c r="A32" s="67" t="s">
        <v>184</v>
      </c>
      <c r="B32" s="67"/>
      <c r="C32" s="196" t="s">
        <v>185</v>
      </c>
      <c r="D32" s="197">
        <f>F32+G32+H32+I32</f>
        <v>432</v>
      </c>
      <c r="E32" s="197">
        <f>F32</f>
        <v>108</v>
      </c>
      <c r="F32" s="197">
        <v>108</v>
      </c>
      <c r="G32" s="197">
        <v>108</v>
      </c>
      <c r="H32" s="72">
        <v>108</v>
      </c>
      <c r="I32" s="73">
        <v>108</v>
      </c>
      <c r="J32" s="73">
        <v>31.9</v>
      </c>
      <c r="K32" s="74" t="e">
        <f>J32/#REF!*100</f>
        <v>#REF!</v>
      </c>
      <c r="L32" s="74">
        <f t="shared" si="10"/>
        <v>29.537037037037035</v>
      </c>
      <c r="M32" s="195"/>
      <c r="N32" s="195"/>
      <c r="O32" s="72">
        <f t="shared" si="2"/>
        <v>29.537037037037038</v>
      </c>
      <c r="P32" s="74">
        <f t="shared" si="3"/>
        <v>29.537037037037038</v>
      </c>
      <c r="Q32" s="73">
        <f t="shared" si="4"/>
        <v>7.3842592592592595</v>
      </c>
    </row>
    <row r="33" spans="1:17" ht="12.75">
      <c r="A33" s="67" t="s">
        <v>186</v>
      </c>
      <c r="B33" s="67"/>
      <c r="C33" s="196" t="s">
        <v>187</v>
      </c>
      <c r="D33" s="197">
        <f>F33+G33+H33+I33</f>
        <v>23</v>
      </c>
      <c r="E33" s="197">
        <f>F33</f>
        <v>5.7</v>
      </c>
      <c r="F33" s="197">
        <v>5.7</v>
      </c>
      <c r="G33" s="197">
        <v>5.8</v>
      </c>
      <c r="H33" s="72">
        <v>5.7</v>
      </c>
      <c r="I33" s="73">
        <v>5.8</v>
      </c>
      <c r="J33" s="73">
        <v>1</v>
      </c>
      <c r="K33" s="74" t="e">
        <f>J33/#REF!*100</f>
        <v>#REF!</v>
      </c>
      <c r="L33" s="74">
        <f t="shared" si="10"/>
        <v>17.543859649122805</v>
      </c>
      <c r="M33" s="195"/>
      <c r="N33" s="195"/>
      <c r="O33" s="72">
        <f t="shared" si="2"/>
        <v>17.24137931034483</v>
      </c>
      <c r="P33" s="74">
        <f t="shared" si="3"/>
        <v>17.543859649122805</v>
      </c>
      <c r="Q33" s="73">
        <f t="shared" si="4"/>
        <v>4.3478260869565215</v>
      </c>
    </row>
    <row r="34" spans="1:17" ht="24">
      <c r="A34" s="68" t="s">
        <v>190</v>
      </c>
      <c r="B34" s="68"/>
      <c r="C34" s="196" t="s">
        <v>191</v>
      </c>
      <c r="D34" s="197">
        <f>F34+G34+H34+I34</f>
        <v>925</v>
      </c>
      <c r="E34" s="197">
        <f>F34</f>
        <v>231.2</v>
      </c>
      <c r="F34" s="197">
        <v>231.2</v>
      </c>
      <c r="G34" s="197">
        <v>231.3</v>
      </c>
      <c r="H34" s="72">
        <v>231.2</v>
      </c>
      <c r="I34" s="73">
        <v>231.3</v>
      </c>
      <c r="J34" s="73">
        <v>77.3</v>
      </c>
      <c r="K34" s="74" t="e">
        <f>J34/#REF!*100</f>
        <v>#REF!</v>
      </c>
      <c r="L34" s="74">
        <f t="shared" si="10"/>
        <v>33.43425605536332</v>
      </c>
      <c r="M34" s="195"/>
      <c r="N34" s="195"/>
      <c r="O34" s="72">
        <f t="shared" si="2"/>
        <v>33.419801124081275</v>
      </c>
      <c r="P34" s="74">
        <f t="shared" si="3"/>
        <v>33.43425605536332</v>
      </c>
      <c r="Q34" s="73">
        <f t="shared" si="4"/>
        <v>8.356756756756758</v>
      </c>
    </row>
    <row r="35" spans="1:17" ht="24">
      <c r="A35" s="198" t="s">
        <v>196</v>
      </c>
      <c r="B35" s="198"/>
      <c r="C35" s="196" t="s">
        <v>197</v>
      </c>
      <c r="D35" s="197">
        <f>F35+G35+H35+I35</f>
        <v>92.50000000000001</v>
      </c>
      <c r="E35" s="197">
        <f>F35</f>
        <v>23.1</v>
      </c>
      <c r="F35" s="197">
        <v>23.1</v>
      </c>
      <c r="G35" s="197">
        <v>23.1</v>
      </c>
      <c r="H35" s="72">
        <v>23.1</v>
      </c>
      <c r="I35" s="73">
        <v>23.2</v>
      </c>
      <c r="J35" s="73">
        <v>4.4</v>
      </c>
      <c r="K35" s="74" t="e">
        <f>J35/#REF!*100</f>
        <v>#REF!</v>
      </c>
      <c r="L35" s="74">
        <f t="shared" si="10"/>
        <v>19.04761904761905</v>
      </c>
      <c r="M35" s="195"/>
      <c r="N35" s="195"/>
      <c r="O35" s="72">
        <f t="shared" si="2"/>
        <v>18.965517241379313</v>
      </c>
      <c r="P35" s="74">
        <f t="shared" si="3"/>
        <v>19.047619047619047</v>
      </c>
      <c r="Q35" s="73">
        <f t="shared" si="4"/>
        <v>4.756756756756757</v>
      </c>
    </row>
    <row r="36" spans="1:17" ht="12.75">
      <c r="A36" s="200" t="s">
        <v>202</v>
      </c>
      <c r="B36" s="201"/>
      <c r="C36" s="71" t="s">
        <v>203</v>
      </c>
      <c r="D36" s="71"/>
      <c r="E36" s="218"/>
      <c r="F36" s="218"/>
      <c r="G36" s="218"/>
      <c r="H36" s="72"/>
      <c r="I36" s="73"/>
      <c r="J36" s="73"/>
      <c r="K36" s="74"/>
      <c r="L36" s="74"/>
      <c r="M36" s="195"/>
      <c r="N36" s="195"/>
      <c r="O36" s="72" t="e">
        <f t="shared" si="2"/>
        <v>#DIV/0!</v>
      </c>
      <c r="P36" s="194" t="e">
        <f t="shared" si="3"/>
        <v>#DIV/0!</v>
      </c>
      <c r="Q36" s="80" t="e">
        <f t="shared" si="4"/>
        <v>#DIV/0!</v>
      </c>
    </row>
    <row r="37" spans="1:17" ht="12.75">
      <c r="A37" s="192" t="s">
        <v>206</v>
      </c>
      <c r="B37" s="192"/>
      <c r="C37" s="202" t="s">
        <v>207</v>
      </c>
      <c r="D37" s="203">
        <f aca="true" t="shared" si="11" ref="D37:K37">D38</f>
        <v>6945.299999999999</v>
      </c>
      <c r="E37" s="203">
        <f t="shared" si="11"/>
        <v>1738.6999999999998</v>
      </c>
      <c r="F37" s="203">
        <f t="shared" si="11"/>
        <v>1738.6999999999998</v>
      </c>
      <c r="G37" s="203">
        <f t="shared" si="11"/>
        <v>1735.5</v>
      </c>
      <c r="H37" s="203">
        <f t="shared" si="11"/>
        <v>1735.6</v>
      </c>
      <c r="I37" s="203">
        <f t="shared" si="11"/>
        <v>1735.5</v>
      </c>
      <c r="J37" s="203">
        <f t="shared" si="11"/>
        <v>679.2</v>
      </c>
      <c r="K37" s="203" t="e">
        <f t="shared" si="11"/>
        <v>#REF!</v>
      </c>
      <c r="L37" s="194">
        <f>J37/H37*100</f>
        <v>39.133440884996546</v>
      </c>
      <c r="M37" s="195"/>
      <c r="N37" s="195"/>
      <c r="O37" s="204">
        <f t="shared" si="2"/>
        <v>39.13569576490925</v>
      </c>
      <c r="P37" s="194">
        <f t="shared" si="3"/>
        <v>39.06366825789383</v>
      </c>
      <c r="Q37" s="80">
        <f t="shared" si="4"/>
        <v>9.779275193296186</v>
      </c>
    </row>
    <row r="38" spans="1:17" ht="24">
      <c r="A38" s="69" t="s">
        <v>208</v>
      </c>
      <c r="B38" s="67"/>
      <c r="C38" s="205" t="s">
        <v>209</v>
      </c>
      <c r="D38" s="197">
        <f>F38+G38+H38+I38</f>
        <v>6945.299999999999</v>
      </c>
      <c r="E38" s="197">
        <f>F38</f>
        <v>1738.6999999999998</v>
      </c>
      <c r="F38" s="219">
        <f>1735.6+3.1</f>
        <v>1738.6999999999998</v>
      </c>
      <c r="G38" s="219">
        <v>1735.5</v>
      </c>
      <c r="H38" s="72">
        <v>1735.6</v>
      </c>
      <c r="I38" s="219">
        <v>1735.5</v>
      </c>
      <c r="J38" s="73">
        <v>679.2</v>
      </c>
      <c r="K38" s="74" t="e">
        <f>J38/#REF!*100</f>
        <v>#REF!</v>
      </c>
      <c r="L38" s="74">
        <f>J38/H38*100</f>
        <v>39.133440884996546</v>
      </c>
      <c r="M38" s="195"/>
      <c r="N38" s="195"/>
      <c r="O38" s="72">
        <f t="shared" si="2"/>
        <v>39.13569576490925</v>
      </c>
      <c r="P38" s="74">
        <f t="shared" si="3"/>
        <v>39.06366825789383</v>
      </c>
      <c r="Q38" s="73">
        <f t="shared" si="4"/>
        <v>9.779275193296186</v>
      </c>
    </row>
    <row r="39" spans="1:17" ht="12.75">
      <c r="A39" s="77"/>
      <c r="B39" s="78"/>
      <c r="C39" s="79" t="s">
        <v>216</v>
      </c>
      <c r="D39" s="80">
        <f aca="true" t="shared" si="12" ref="D39:J39">D37+D30</f>
        <v>22592.8</v>
      </c>
      <c r="E39" s="80">
        <f t="shared" si="12"/>
        <v>5650.4</v>
      </c>
      <c r="F39" s="80">
        <f t="shared" si="12"/>
        <v>5650.4</v>
      </c>
      <c r="G39" s="80">
        <f t="shared" si="12"/>
        <v>5647.5</v>
      </c>
      <c r="H39" s="80">
        <f t="shared" si="12"/>
        <v>5647.299999999999</v>
      </c>
      <c r="I39" s="80">
        <f t="shared" si="12"/>
        <v>5647.6</v>
      </c>
      <c r="J39" s="80">
        <f t="shared" si="12"/>
        <v>2324.3</v>
      </c>
      <c r="K39" s="194" t="e">
        <f>J39/#REF!*100</f>
        <v>#REF!</v>
      </c>
      <c r="L39" s="194">
        <f>J39/H39*100</f>
        <v>41.15772138898235</v>
      </c>
      <c r="M39" s="195"/>
      <c r="N39" s="209" t="e">
        <f>I39+#REF!+#REF!</f>
        <v>#REF!</v>
      </c>
      <c r="O39" s="204">
        <f t="shared" si="2"/>
        <v>41.15553509455344</v>
      </c>
      <c r="P39" s="194">
        <f t="shared" si="3"/>
        <v>41.13514087498231</v>
      </c>
      <c r="Q39" s="80">
        <f t="shared" si="4"/>
        <v>10.287790800609045</v>
      </c>
    </row>
    <row r="40" spans="1:17" ht="12.75">
      <c r="A40" s="220"/>
      <c r="B40" s="221"/>
      <c r="C40" s="222"/>
      <c r="D40" s="222"/>
      <c r="E40" s="222"/>
      <c r="F40" s="222"/>
      <c r="G40" s="222"/>
      <c r="H40" s="222"/>
      <c r="I40" s="222"/>
      <c r="J40" s="222"/>
      <c r="K40" s="222"/>
      <c r="L40" s="223"/>
      <c r="M40" s="195"/>
      <c r="N40" s="195"/>
      <c r="O40" s="213"/>
      <c r="P40" s="194"/>
      <c r="Q40" s="80"/>
    </row>
    <row r="41" spans="1:17" ht="12.75">
      <c r="A41" s="214" t="s">
        <v>218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194"/>
      <c r="Q41" s="80"/>
    </row>
    <row r="42" spans="1:17" ht="12.75">
      <c r="A42" s="192" t="s">
        <v>178</v>
      </c>
      <c r="B42" s="192"/>
      <c r="C42" s="193" t="s">
        <v>179</v>
      </c>
      <c r="D42" s="194">
        <f aca="true" t="shared" si="13" ref="D42:J42">D43+D45+D47+D48+D49+D50+D46+D44</f>
        <v>13722</v>
      </c>
      <c r="E42" s="194">
        <f t="shared" si="13"/>
        <v>2836.3</v>
      </c>
      <c r="F42" s="194">
        <f t="shared" si="13"/>
        <v>2836.3</v>
      </c>
      <c r="G42" s="194">
        <f t="shared" si="13"/>
        <v>3304.7000000000003</v>
      </c>
      <c r="H42" s="194">
        <f t="shared" si="13"/>
        <v>3304.7000000000003</v>
      </c>
      <c r="I42" s="194">
        <f t="shared" si="13"/>
        <v>4276.299999999999</v>
      </c>
      <c r="J42" s="194">
        <f t="shared" si="13"/>
        <v>2183.3999999999996</v>
      </c>
      <c r="K42" s="194" t="e">
        <f>J42/#REF!*100</f>
        <v>#REF!</v>
      </c>
      <c r="L42" s="194">
        <f>J42/H42*100</f>
        <v>66.06953732562712</v>
      </c>
      <c r="M42" s="195"/>
      <c r="N42" s="195"/>
      <c r="O42" s="194">
        <f t="shared" si="2"/>
        <v>51.05815775319786</v>
      </c>
      <c r="P42" s="194">
        <f t="shared" si="3"/>
        <v>76.98057328209285</v>
      </c>
      <c r="Q42" s="80">
        <f t="shared" si="4"/>
        <v>15.911674682990816</v>
      </c>
    </row>
    <row r="43" spans="1:17" ht="12.75">
      <c r="A43" s="77" t="s">
        <v>180</v>
      </c>
      <c r="B43" s="67"/>
      <c r="C43" s="215" t="s">
        <v>181</v>
      </c>
      <c r="D43" s="197">
        <f aca="true" t="shared" si="14" ref="D43:D54">F43+G43+H43+I43</f>
        <v>11550</v>
      </c>
      <c r="E43" s="197">
        <f aca="true" t="shared" si="15" ref="E43:E54">F43</f>
        <v>2342.8</v>
      </c>
      <c r="F43" s="197">
        <v>2342.8</v>
      </c>
      <c r="G43" s="197">
        <v>2759.4</v>
      </c>
      <c r="H43" s="72">
        <v>2759.4</v>
      </c>
      <c r="I43" s="73">
        <v>3688.4</v>
      </c>
      <c r="J43" s="217">
        <v>1759.6</v>
      </c>
      <c r="K43" s="74" t="e">
        <f>J43/#REF!*100</f>
        <v>#REF!</v>
      </c>
      <c r="L43" s="74">
        <f>J43/H43*100</f>
        <v>63.7674856852939</v>
      </c>
      <c r="M43" s="195"/>
      <c r="N43" s="195"/>
      <c r="O43" s="72">
        <f t="shared" si="2"/>
        <v>47.70632252467194</v>
      </c>
      <c r="P43" s="74">
        <f t="shared" si="3"/>
        <v>75.10670991975414</v>
      </c>
      <c r="Q43" s="73">
        <f t="shared" si="4"/>
        <v>15.234632034632035</v>
      </c>
    </row>
    <row r="44" spans="1:17" ht="12.75">
      <c r="A44" s="67" t="s">
        <v>182</v>
      </c>
      <c r="B44" s="67"/>
      <c r="C44" s="196" t="s">
        <v>183</v>
      </c>
      <c r="D44" s="197">
        <f t="shared" si="14"/>
        <v>8.5</v>
      </c>
      <c r="E44" s="197">
        <f t="shared" si="15"/>
        <v>1.5</v>
      </c>
      <c r="F44" s="197">
        <v>1.5</v>
      </c>
      <c r="G44" s="197">
        <v>2.3</v>
      </c>
      <c r="H44" s="72">
        <v>2.3</v>
      </c>
      <c r="I44" s="73">
        <v>2.4</v>
      </c>
      <c r="J44" s="217">
        <v>9</v>
      </c>
      <c r="K44" s="74" t="e">
        <f>J44/#REF!*100</f>
        <v>#REF!</v>
      </c>
      <c r="L44" s="74">
        <f>J44/H44*100</f>
        <v>391.304347826087</v>
      </c>
      <c r="M44" s="195"/>
      <c r="N44" s="195"/>
      <c r="O44" s="72">
        <f t="shared" si="2"/>
        <v>375</v>
      </c>
      <c r="P44" s="74">
        <f t="shared" si="3"/>
        <v>600</v>
      </c>
      <c r="Q44" s="73">
        <f t="shared" si="4"/>
        <v>105.88235294117646</v>
      </c>
    </row>
    <row r="45" spans="1:17" ht="12.75">
      <c r="A45" s="67" t="s">
        <v>184</v>
      </c>
      <c r="B45" s="67"/>
      <c r="C45" s="196" t="s">
        <v>185</v>
      </c>
      <c r="D45" s="197">
        <f t="shared" si="14"/>
        <v>1780</v>
      </c>
      <c r="E45" s="197">
        <f t="shared" si="15"/>
        <v>411</v>
      </c>
      <c r="F45" s="197">
        <v>411</v>
      </c>
      <c r="G45" s="197">
        <v>444</v>
      </c>
      <c r="H45" s="72">
        <v>444</v>
      </c>
      <c r="I45" s="73">
        <v>481</v>
      </c>
      <c r="J45" s="73">
        <v>139.8</v>
      </c>
      <c r="K45" s="74" t="e">
        <f>J45/#REF!*100</f>
        <v>#REF!</v>
      </c>
      <c r="L45" s="74">
        <f>J45/H45*100</f>
        <v>31.486486486486488</v>
      </c>
      <c r="M45" s="195"/>
      <c r="N45" s="195"/>
      <c r="O45" s="72">
        <f t="shared" si="2"/>
        <v>29.064449064449068</v>
      </c>
      <c r="P45" s="74">
        <f t="shared" si="3"/>
        <v>34.01459854014599</v>
      </c>
      <c r="Q45" s="73">
        <f t="shared" si="4"/>
        <v>7.853932584269664</v>
      </c>
    </row>
    <row r="46" spans="1:17" ht="12.75">
      <c r="A46" s="67" t="s">
        <v>186</v>
      </c>
      <c r="B46" s="67"/>
      <c r="C46" s="196" t="s">
        <v>187</v>
      </c>
      <c r="D46" s="197">
        <f t="shared" si="14"/>
        <v>0</v>
      </c>
      <c r="E46" s="197">
        <f t="shared" si="15"/>
        <v>0</v>
      </c>
      <c r="F46" s="197"/>
      <c r="G46" s="197"/>
      <c r="H46" s="72"/>
      <c r="I46" s="73"/>
      <c r="J46" s="73"/>
      <c r="K46" s="74"/>
      <c r="L46" s="74"/>
      <c r="M46" s="195"/>
      <c r="N46" s="195"/>
      <c r="O46" s="72" t="e">
        <f t="shared" si="2"/>
        <v>#DIV/0!</v>
      </c>
      <c r="P46" s="74" t="e">
        <f t="shared" si="3"/>
        <v>#DIV/0!</v>
      </c>
      <c r="Q46" s="73" t="e">
        <f t="shared" si="4"/>
        <v>#DIV/0!</v>
      </c>
    </row>
    <row r="47" spans="1:17" ht="24">
      <c r="A47" s="68" t="s">
        <v>190</v>
      </c>
      <c r="B47" s="68"/>
      <c r="C47" s="196" t="s">
        <v>191</v>
      </c>
      <c r="D47" s="197">
        <f t="shared" si="14"/>
        <v>233.5</v>
      </c>
      <c r="E47" s="197">
        <f t="shared" si="15"/>
        <v>46</v>
      </c>
      <c r="F47" s="197">
        <v>46</v>
      </c>
      <c r="G47" s="197">
        <v>61.5</v>
      </c>
      <c r="H47" s="72">
        <v>61.5</v>
      </c>
      <c r="I47" s="73">
        <v>64.5</v>
      </c>
      <c r="J47" s="73">
        <v>218.9</v>
      </c>
      <c r="K47" s="74" t="e">
        <f>J47/#REF!*100</f>
        <v>#REF!</v>
      </c>
      <c r="L47" s="74">
        <f>J47/H47*100</f>
        <v>355.9349593495935</v>
      </c>
      <c r="M47" s="195"/>
      <c r="N47" s="195"/>
      <c r="O47" s="72">
        <f t="shared" si="2"/>
        <v>339.37984496124034</v>
      </c>
      <c r="P47" s="74">
        <f t="shared" si="3"/>
        <v>475.8695652173913</v>
      </c>
      <c r="Q47" s="73">
        <f t="shared" si="4"/>
        <v>93.7473233404711</v>
      </c>
    </row>
    <row r="48" spans="1:17" ht="24">
      <c r="A48" s="199" t="s">
        <v>196</v>
      </c>
      <c r="B48" s="199"/>
      <c r="C48" s="196" t="s">
        <v>197</v>
      </c>
      <c r="D48" s="197">
        <f t="shared" si="14"/>
        <v>150</v>
      </c>
      <c r="E48" s="197">
        <f t="shared" si="15"/>
        <v>35</v>
      </c>
      <c r="F48" s="197">
        <v>35</v>
      </c>
      <c r="G48" s="197">
        <v>37.5</v>
      </c>
      <c r="H48" s="72">
        <v>37.5</v>
      </c>
      <c r="I48" s="73">
        <v>40</v>
      </c>
      <c r="J48" s="73">
        <v>56.1</v>
      </c>
      <c r="K48" s="74" t="e">
        <f>J48/#REF!*100</f>
        <v>#REF!</v>
      </c>
      <c r="L48" s="74">
        <f>J48/H48*100</f>
        <v>149.6</v>
      </c>
      <c r="M48" s="195"/>
      <c r="N48" s="195"/>
      <c r="O48" s="72">
        <f t="shared" si="2"/>
        <v>140.25</v>
      </c>
      <c r="P48" s="74">
        <f t="shared" si="3"/>
        <v>160.28571428571428</v>
      </c>
      <c r="Q48" s="73">
        <f t="shared" si="4"/>
        <v>37.4</v>
      </c>
    </row>
    <row r="49" spans="1:17" ht="12.75">
      <c r="A49" s="77" t="s">
        <v>200</v>
      </c>
      <c r="B49" s="77"/>
      <c r="C49" s="196" t="s">
        <v>201</v>
      </c>
      <c r="D49" s="197">
        <f t="shared" si="14"/>
        <v>0</v>
      </c>
      <c r="E49" s="197">
        <f t="shared" si="15"/>
        <v>0</v>
      </c>
      <c r="F49" s="197"/>
      <c r="G49" s="197"/>
      <c r="H49" s="72"/>
      <c r="I49" s="73"/>
      <c r="J49" s="73"/>
      <c r="K49" s="74" t="e">
        <f>J49/#REF!*100</f>
        <v>#REF!</v>
      </c>
      <c r="L49" s="74"/>
      <c r="M49" s="195"/>
      <c r="N49" s="195"/>
      <c r="O49" s="72" t="e">
        <f t="shared" si="2"/>
        <v>#DIV/0!</v>
      </c>
      <c r="P49" s="74"/>
      <c r="Q49" s="73"/>
    </row>
    <row r="50" spans="1:17" ht="12.75">
      <c r="A50" s="224" t="s">
        <v>202</v>
      </c>
      <c r="B50" s="201"/>
      <c r="C50" s="71" t="s">
        <v>203</v>
      </c>
      <c r="D50" s="197">
        <f t="shared" si="14"/>
        <v>0</v>
      </c>
      <c r="E50" s="197">
        <f t="shared" si="15"/>
        <v>0</v>
      </c>
      <c r="F50" s="197"/>
      <c r="G50" s="197"/>
      <c r="H50" s="72"/>
      <c r="I50" s="73"/>
      <c r="J50" s="73"/>
      <c r="K50" s="74"/>
      <c r="L50" s="74"/>
      <c r="M50" s="195"/>
      <c r="N50" s="195"/>
      <c r="O50" s="72"/>
      <c r="P50" s="74"/>
      <c r="Q50" s="73"/>
    </row>
    <row r="51" spans="1:17" ht="12.75">
      <c r="A51" s="225" t="s">
        <v>206</v>
      </c>
      <c r="B51" s="225"/>
      <c r="C51" s="202" t="s">
        <v>207</v>
      </c>
      <c r="D51" s="203">
        <f>D52+D54+D53</f>
        <v>36077.9</v>
      </c>
      <c r="E51" s="203">
        <f aca="true" t="shared" si="16" ref="E51:O51">E52+E54+E53</f>
        <v>14324.5</v>
      </c>
      <c r="F51" s="203">
        <f t="shared" si="16"/>
        <v>14324.5</v>
      </c>
      <c r="G51" s="203">
        <f t="shared" si="16"/>
        <v>7251.1</v>
      </c>
      <c r="H51" s="203">
        <f t="shared" si="16"/>
        <v>7251.1</v>
      </c>
      <c r="I51" s="203">
        <f t="shared" si="16"/>
        <v>7251.2</v>
      </c>
      <c r="J51" s="203">
        <f t="shared" si="16"/>
        <v>2811.6</v>
      </c>
      <c r="K51" s="203" t="e">
        <f t="shared" si="16"/>
        <v>#REF!</v>
      </c>
      <c r="L51" s="203">
        <f t="shared" si="16"/>
        <v>38.77480658107045</v>
      </c>
      <c r="M51" s="203">
        <f t="shared" si="16"/>
        <v>0.1</v>
      </c>
      <c r="N51" s="203">
        <f t="shared" si="16"/>
        <v>0</v>
      </c>
      <c r="O51" s="203" t="e">
        <f t="shared" si="16"/>
        <v>#DIV/0!</v>
      </c>
      <c r="P51" s="194">
        <f t="shared" si="3"/>
        <v>19.62791022374254</v>
      </c>
      <c r="Q51" s="80">
        <f t="shared" si="4"/>
        <v>7.793136518478071</v>
      </c>
    </row>
    <row r="52" spans="1:17" ht="24">
      <c r="A52" s="69" t="s">
        <v>208</v>
      </c>
      <c r="B52" s="67"/>
      <c r="C52" s="205" t="s">
        <v>209</v>
      </c>
      <c r="D52" s="197">
        <f t="shared" si="14"/>
        <v>29507.7</v>
      </c>
      <c r="E52" s="197">
        <f t="shared" si="15"/>
        <v>7754.3</v>
      </c>
      <c r="F52" s="219">
        <f>7251.1+503.2</f>
        <v>7754.3</v>
      </c>
      <c r="G52" s="219">
        <v>7251.1</v>
      </c>
      <c r="H52" s="72">
        <v>7251.1</v>
      </c>
      <c r="I52" s="72">
        <v>7251.2</v>
      </c>
      <c r="J52" s="73">
        <v>2811.6</v>
      </c>
      <c r="K52" s="74" t="e">
        <f>J52/#REF!*100</f>
        <v>#REF!</v>
      </c>
      <c r="L52" s="74">
        <f>J52/H52*100</f>
        <v>38.77480658107045</v>
      </c>
      <c r="M52" s="195">
        <v>0.1</v>
      </c>
      <c r="N52" s="195"/>
      <c r="O52" s="72">
        <f t="shared" si="2"/>
        <v>38.7742718446602</v>
      </c>
      <c r="P52" s="74">
        <f t="shared" si="3"/>
        <v>36.25859200701546</v>
      </c>
      <c r="Q52" s="73">
        <f t="shared" si="4"/>
        <v>9.528360394066633</v>
      </c>
    </row>
    <row r="53" spans="1:17" ht="12.75">
      <c r="A53" s="69" t="s">
        <v>210</v>
      </c>
      <c r="B53" s="69"/>
      <c r="C53" s="206" t="s">
        <v>211</v>
      </c>
      <c r="D53" s="197">
        <f>F53+G53+H53+I53</f>
        <v>6570.2</v>
      </c>
      <c r="E53" s="197">
        <f t="shared" si="15"/>
        <v>6570.2</v>
      </c>
      <c r="F53" s="219">
        <v>6570.2</v>
      </c>
      <c r="G53" s="219"/>
      <c r="H53" s="72"/>
      <c r="I53" s="213"/>
      <c r="J53" s="73"/>
      <c r="K53" s="74"/>
      <c r="L53" s="74"/>
      <c r="M53" s="195"/>
      <c r="N53" s="195"/>
      <c r="O53" s="72"/>
      <c r="P53" s="74">
        <f t="shared" si="3"/>
        <v>0</v>
      </c>
      <c r="Q53" s="73">
        <f t="shared" si="4"/>
        <v>0</v>
      </c>
    </row>
    <row r="54" spans="1:17" ht="36">
      <c r="A54" s="69" t="s">
        <v>214</v>
      </c>
      <c r="B54" s="75"/>
      <c r="C54" s="76" t="s">
        <v>215</v>
      </c>
      <c r="D54" s="197">
        <f t="shared" si="14"/>
        <v>0</v>
      </c>
      <c r="E54" s="197">
        <f t="shared" si="15"/>
        <v>0</v>
      </c>
      <c r="F54" s="226"/>
      <c r="G54" s="226"/>
      <c r="H54" s="72"/>
      <c r="I54" s="213"/>
      <c r="J54" s="73"/>
      <c r="K54" s="74" t="e">
        <f>J54/#REF!*100</f>
        <v>#REF!</v>
      </c>
      <c r="L54" s="74"/>
      <c r="M54" s="195"/>
      <c r="N54" s="195"/>
      <c r="O54" s="72" t="e">
        <f t="shared" si="2"/>
        <v>#DIV/0!</v>
      </c>
      <c r="P54" s="74"/>
      <c r="Q54" s="73"/>
    </row>
    <row r="55" spans="1:17" ht="12.75">
      <c r="A55" s="68"/>
      <c r="B55" s="227"/>
      <c r="C55" s="228" t="s">
        <v>216</v>
      </c>
      <c r="D55" s="229">
        <f aca="true" t="shared" si="17" ref="D55:J55">D51+D42</f>
        <v>49799.9</v>
      </c>
      <c r="E55" s="229">
        <f t="shared" si="17"/>
        <v>17160.8</v>
      </c>
      <c r="F55" s="229">
        <f t="shared" si="17"/>
        <v>17160.8</v>
      </c>
      <c r="G55" s="229">
        <f t="shared" si="17"/>
        <v>10555.800000000001</v>
      </c>
      <c r="H55" s="229">
        <f t="shared" si="17"/>
        <v>10555.800000000001</v>
      </c>
      <c r="I55" s="229">
        <f t="shared" si="17"/>
        <v>11527.5</v>
      </c>
      <c r="J55" s="229">
        <f t="shared" si="17"/>
        <v>4995</v>
      </c>
      <c r="K55" s="194" t="e">
        <f>J55/#REF!*100</f>
        <v>#REF!</v>
      </c>
      <c r="L55" s="194">
        <f>J55/H55*100</f>
        <v>47.319956801000394</v>
      </c>
      <c r="M55" s="195"/>
      <c r="N55" s="209" t="e">
        <f>I55+#REF!+#REF!</f>
        <v>#REF!</v>
      </c>
      <c r="O55" s="204">
        <f t="shared" si="2"/>
        <v>43.331164606376056</v>
      </c>
      <c r="P55" s="194">
        <f t="shared" si="3"/>
        <v>29.107034637079856</v>
      </c>
      <c r="Q55" s="80">
        <f t="shared" si="4"/>
        <v>10.030140622772334</v>
      </c>
    </row>
    <row r="56" spans="1:17" ht="12.75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2"/>
      <c r="M56" s="195"/>
      <c r="N56" s="195"/>
      <c r="O56" s="213"/>
      <c r="P56" s="194"/>
      <c r="Q56" s="80"/>
    </row>
    <row r="57" spans="1:17" ht="12.75">
      <c r="A57" s="214" t="s">
        <v>219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194"/>
      <c r="Q57" s="80"/>
    </row>
    <row r="58" spans="1:17" ht="12.75">
      <c r="A58" s="225" t="s">
        <v>178</v>
      </c>
      <c r="B58" s="225"/>
      <c r="C58" s="230" t="s">
        <v>179</v>
      </c>
      <c r="D58" s="204">
        <f aca="true" t="shared" si="18" ref="D58:J58">D59+D61+D63+D65+D62+D67+D66+D60+D64</f>
        <v>32089</v>
      </c>
      <c r="E58" s="204">
        <f t="shared" si="18"/>
        <v>7963.099999999999</v>
      </c>
      <c r="F58" s="204">
        <f t="shared" si="18"/>
        <v>7963.099999999999</v>
      </c>
      <c r="G58" s="204">
        <f t="shared" si="18"/>
        <v>7959.3</v>
      </c>
      <c r="H58" s="204">
        <f t="shared" si="18"/>
        <v>8039.099999999999</v>
      </c>
      <c r="I58" s="204">
        <f t="shared" si="18"/>
        <v>8127.500000000001</v>
      </c>
      <c r="J58" s="204">
        <f t="shared" si="18"/>
        <v>4087.5000000000005</v>
      </c>
      <c r="K58" s="204" t="e">
        <f>J58/#REF!*100</f>
        <v>#REF!</v>
      </c>
      <c r="L58" s="204">
        <f aca="true" t="shared" si="19" ref="L58:L65">J58/H58*100</f>
        <v>50.845243870582536</v>
      </c>
      <c r="M58" s="231"/>
      <c r="N58" s="231"/>
      <c r="O58" s="204">
        <f t="shared" si="2"/>
        <v>50.29221777914488</v>
      </c>
      <c r="P58" s="194">
        <f t="shared" si="3"/>
        <v>51.330511986537914</v>
      </c>
      <c r="Q58" s="80">
        <f t="shared" si="4"/>
        <v>12.738009909937986</v>
      </c>
    </row>
    <row r="59" spans="1:17" ht="12.75">
      <c r="A59" s="67" t="s">
        <v>180</v>
      </c>
      <c r="B59" s="67"/>
      <c r="C59" s="215" t="s">
        <v>181</v>
      </c>
      <c r="D59" s="197">
        <f>F59+G59+H59+I59</f>
        <v>18270</v>
      </c>
      <c r="E59" s="197">
        <f aca="true" t="shared" si="20" ref="E59:E70">F59</f>
        <v>4567.5</v>
      </c>
      <c r="F59" s="232">
        <v>4567.5</v>
      </c>
      <c r="G59" s="232">
        <v>4567.4</v>
      </c>
      <c r="H59" s="74">
        <v>4567.5</v>
      </c>
      <c r="I59" s="74">
        <v>4567.6</v>
      </c>
      <c r="J59" s="74">
        <v>2000.7</v>
      </c>
      <c r="K59" s="74" t="e">
        <f>J59/#REF!*100</f>
        <v>#REF!</v>
      </c>
      <c r="L59" s="74">
        <f t="shared" si="19"/>
        <v>43.802955665024626</v>
      </c>
      <c r="M59" s="195"/>
      <c r="N59" s="195"/>
      <c r="O59" s="74">
        <f t="shared" si="2"/>
        <v>43.80199667221297</v>
      </c>
      <c r="P59" s="74">
        <f t="shared" si="3"/>
        <v>43.80295566502463</v>
      </c>
      <c r="Q59" s="73">
        <f t="shared" si="4"/>
        <v>10.950738916256158</v>
      </c>
    </row>
    <row r="60" spans="1:17" ht="12.75">
      <c r="A60" s="67" t="s">
        <v>182</v>
      </c>
      <c r="B60" s="67"/>
      <c r="C60" s="196" t="s">
        <v>183</v>
      </c>
      <c r="D60" s="197">
        <f aca="true" t="shared" si="21" ref="D60:D70">F60+G60+H60+I60</f>
        <v>35</v>
      </c>
      <c r="E60" s="197">
        <f t="shared" si="20"/>
        <v>8.7</v>
      </c>
      <c r="F60" s="219">
        <v>8.7</v>
      </c>
      <c r="G60" s="219">
        <v>8.8</v>
      </c>
      <c r="H60" s="72">
        <v>8.7</v>
      </c>
      <c r="I60" s="72">
        <v>8.8</v>
      </c>
      <c r="J60" s="72"/>
      <c r="K60" s="74" t="e">
        <f>J60/#REF!*100</f>
        <v>#REF!</v>
      </c>
      <c r="L60" s="74">
        <f t="shared" si="19"/>
        <v>0</v>
      </c>
      <c r="M60" s="195"/>
      <c r="N60" s="195"/>
      <c r="O60" s="72">
        <f t="shared" si="2"/>
        <v>0</v>
      </c>
      <c r="P60" s="74">
        <f t="shared" si="3"/>
        <v>0</v>
      </c>
      <c r="Q60" s="73">
        <f t="shared" si="4"/>
        <v>0</v>
      </c>
    </row>
    <row r="61" spans="1:17" ht="12.75">
      <c r="A61" s="67" t="s">
        <v>184</v>
      </c>
      <c r="B61" s="67"/>
      <c r="C61" s="196" t="s">
        <v>185</v>
      </c>
      <c r="D61" s="197">
        <f t="shared" si="21"/>
        <v>8443</v>
      </c>
      <c r="E61" s="197">
        <f t="shared" si="20"/>
        <v>2051.7</v>
      </c>
      <c r="F61" s="219">
        <v>2051.7</v>
      </c>
      <c r="G61" s="219">
        <v>2047.8</v>
      </c>
      <c r="H61" s="72">
        <v>2127.7</v>
      </c>
      <c r="I61" s="72">
        <v>2215.8</v>
      </c>
      <c r="J61" s="72">
        <v>1499.9</v>
      </c>
      <c r="K61" s="74" t="e">
        <f>J61/#REF!*100</f>
        <v>#REF!</v>
      </c>
      <c r="L61" s="74">
        <f t="shared" si="19"/>
        <v>70.49396061474833</v>
      </c>
      <c r="M61" s="195"/>
      <c r="N61" s="195"/>
      <c r="O61" s="72">
        <f t="shared" si="2"/>
        <v>67.6911273580648</v>
      </c>
      <c r="P61" s="74">
        <f t="shared" si="3"/>
        <v>73.10522980942633</v>
      </c>
      <c r="Q61" s="73">
        <f t="shared" si="4"/>
        <v>17.765012436337795</v>
      </c>
    </row>
    <row r="62" spans="1:17" ht="12.75">
      <c r="A62" s="67" t="s">
        <v>186</v>
      </c>
      <c r="B62" s="67"/>
      <c r="C62" s="196" t="s">
        <v>187</v>
      </c>
      <c r="D62" s="197">
        <f t="shared" si="21"/>
        <v>0</v>
      </c>
      <c r="E62" s="197">
        <f t="shared" si="20"/>
        <v>0</v>
      </c>
      <c r="F62" s="219"/>
      <c r="G62" s="219"/>
      <c r="H62" s="72"/>
      <c r="I62" s="72"/>
      <c r="J62" s="72">
        <v>1</v>
      </c>
      <c r="K62" s="74"/>
      <c r="L62" s="74" t="e">
        <f t="shared" si="19"/>
        <v>#DIV/0!</v>
      </c>
      <c r="M62" s="195"/>
      <c r="N62" s="195"/>
      <c r="O62" s="72" t="e">
        <f t="shared" si="2"/>
        <v>#DIV/0!</v>
      </c>
      <c r="P62" s="74"/>
      <c r="Q62" s="73"/>
    </row>
    <row r="63" spans="1:17" ht="24">
      <c r="A63" s="68" t="s">
        <v>190</v>
      </c>
      <c r="B63" s="68"/>
      <c r="C63" s="196" t="s">
        <v>191</v>
      </c>
      <c r="D63" s="197">
        <f t="shared" si="21"/>
        <v>5035</v>
      </c>
      <c r="E63" s="197">
        <f t="shared" si="20"/>
        <v>1258.7</v>
      </c>
      <c r="F63" s="219">
        <v>1258.7</v>
      </c>
      <c r="G63" s="219">
        <v>1258.8</v>
      </c>
      <c r="H63" s="72">
        <v>1258.7</v>
      </c>
      <c r="I63" s="72">
        <v>1258.8</v>
      </c>
      <c r="J63" s="72">
        <v>191.6</v>
      </c>
      <c r="K63" s="74" t="e">
        <f>J63/#REF!*100</f>
        <v>#REF!</v>
      </c>
      <c r="L63" s="74">
        <f t="shared" si="19"/>
        <v>15.2220545006753</v>
      </c>
      <c r="M63" s="195"/>
      <c r="N63" s="195"/>
      <c r="O63" s="72">
        <f t="shared" si="2"/>
        <v>15.220845249443915</v>
      </c>
      <c r="P63" s="74">
        <f t="shared" si="3"/>
        <v>15.222054500675299</v>
      </c>
      <c r="Q63" s="73">
        <f t="shared" si="4"/>
        <v>3.8053624627606752</v>
      </c>
    </row>
    <row r="64" spans="1:17" ht="24">
      <c r="A64" s="199" t="s">
        <v>194</v>
      </c>
      <c r="B64" s="199"/>
      <c r="C64" s="196" t="s">
        <v>195</v>
      </c>
      <c r="D64" s="197">
        <f t="shared" si="21"/>
        <v>0</v>
      </c>
      <c r="E64" s="197">
        <f t="shared" si="20"/>
        <v>0</v>
      </c>
      <c r="F64" s="219"/>
      <c r="G64" s="219"/>
      <c r="H64" s="72"/>
      <c r="I64" s="72"/>
      <c r="J64" s="72"/>
      <c r="K64" s="74" t="e">
        <f>J64/#REF!*100</f>
        <v>#REF!</v>
      </c>
      <c r="L64" s="74"/>
      <c r="M64" s="195"/>
      <c r="N64" s="195"/>
      <c r="O64" s="72" t="e">
        <f t="shared" si="2"/>
        <v>#DIV/0!</v>
      </c>
      <c r="P64" s="74"/>
      <c r="Q64" s="73"/>
    </row>
    <row r="65" spans="1:17" ht="24">
      <c r="A65" s="198" t="s">
        <v>196</v>
      </c>
      <c r="B65" s="198"/>
      <c r="C65" s="196" t="s">
        <v>197</v>
      </c>
      <c r="D65" s="197">
        <f t="shared" si="21"/>
        <v>306</v>
      </c>
      <c r="E65" s="197">
        <f t="shared" si="20"/>
        <v>76.5</v>
      </c>
      <c r="F65" s="219">
        <v>76.5</v>
      </c>
      <c r="G65" s="219">
        <v>76.5</v>
      </c>
      <c r="H65" s="72">
        <v>76.5</v>
      </c>
      <c r="I65" s="72">
        <v>76.5</v>
      </c>
      <c r="J65" s="72">
        <v>49.8</v>
      </c>
      <c r="K65" s="74" t="e">
        <f>J65/#REF!*100</f>
        <v>#REF!</v>
      </c>
      <c r="L65" s="74">
        <f t="shared" si="19"/>
        <v>65.09803921568627</v>
      </c>
      <c r="M65" s="195"/>
      <c r="N65" s="195"/>
      <c r="O65" s="72">
        <f t="shared" si="2"/>
        <v>65.09803921568627</v>
      </c>
      <c r="P65" s="74">
        <f t="shared" si="3"/>
        <v>65.09803921568627</v>
      </c>
      <c r="Q65" s="73">
        <f t="shared" si="4"/>
        <v>16.274509803921568</v>
      </c>
    </row>
    <row r="66" spans="1:17" ht="12.75">
      <c r="A66" s="77" t="s">
        <v>200</v>
      </c>
      <c r="B66" s="77"/>
      <c r="C66" s="196" t="s">
        <v>201</v>
      </c>
      <c r="D66" s="197">
        <f t="shared" si="21"/>
        <v>0</v>
      </c>
      <c r="E66" s="197">
        <f t="shared" si="20"/>
        <v>0</v>
      </c>
      <c r="F66" s="219"/>
      <c r="G66" s="219"/>
      <c r="H66" s="72"/>
      <c r="I66" s="72"/>
      <c r="J66" s="72"/>
      <c r="K66" s="74"/>
      <c r="L66" s="74"/>
      <c r="M66" s="195"/>
      <c r="N66" s="195"/>
      <c r="O66" s="72" t="e">
        <f t="shared" si="2"/>
        <v>#DIV/0!</v>
      </c>
      <c r="P66" s="74"/>
      <c r="Q66" s="73"/>
    </row>
    <row r="67" spans="1:17" ht="12.75">
      <c r="A67" s="200" t="s">
        <v>202</v>
      </c>
      <c r="B67" s="201"/>
      <c r="C67" s="71" t="s">
        <v>203</v>
      </c>
      <c r="D67" s="197">
        <f t="shared" si="21"/>
        <v>0</v>
      </c>
      <c r="E67" s="197">
        <f t="shared" si="20"/>
        <v>0</v>
      </c>
      <c r="F67" s="219"/>
      <c r="G67" s="219"/>
      <c r="H67" s="72"/>
      <c r="I67" s="72"/>
      <c r="J67" s="72">
        <v>344.5</v>
      </c>
      <c r="K67" s="74"/>
      <c r="L67" s="74"/>
      <c r="M67" s="195"/>
      <c r="N67" s="195"/>
      <c r="O67" s="72" t="e">
        <f t="shared" si="2"/>
        <v>#DIV/0!</v>
      </c>
      <c r="P67" s="74"/>
      <c r="Q67" s="73"/>
    </row>
    <row r="68" spans="1:17" ht="12.75">
      <c r="A68" s="192" t="s">
        <v>206</v>
      </c>
      <c r="B68" s="192"/>
      <c r="C68" s="202" t="s">
        <v>207</v>
      </c>
      <c r="D68" s="203">
        <f aca="true" t="shared" si="22" ref="D68:J68">D69+D70</f>
        <v>37009.2</v>
      </c>
      <c r="E68" s="203">
        <f t="shared" si="22"/>
        <v>11774.5</v>
      </c>
      <c r="F68" s="203">
        <f t="shared" si="22"/>
        <v>11774.5</v>
      </c>
      <c r="G68" s="203">
        <f t="shared" si="22"/>
        <v>8411.6</v>
      </c>
      <c r="H68" s="203">
        <f t="shared" si="22"/>
        <v>8411.5</v>
      </c>
      <c r="I68" s="203">
        <f t="shared" si="22"/>
        <v>8411.6</v>
      </c>
      <c r="J68" s="203">
        <f t="shared" si="22"/>
        <v>6371.2</v>
      </c>
      <c r="K68" s="194" t="e">
        <f>J68/#REF!*100</f>
        <v>#REF!</v>
      </c>
      <c r="L68" s="194">
        <f>J68/H68*100</f>
        <v>75.74392201153182</v>
      </c>
      <c r="M68" s="195"/>
      <c r="N68" s="195"/>
      <c r="O68" s="204">
        <f t="shared" si="2"/>
        <v>75.74302154168053</v>
      </c>
      <c r="P68" s="194">
        <f t="shared" si="3"/>
        <v>54.11015329737993</v>
      </c>
      <c r="Q68" s="80">
        <f t="shared" si="4"/>
        <v>17.21517892848265</v>
      </c>
    </row>
    <row r="69" spans="1:17" ht="24">
      <c r="A69" s="69" t="s">
        <v>208</v>
      </c>
      <c r="B69" s="67"/>
      <c r="C69" s="205" t="s">
        <v>209</v>
      </c>
      <c r="D69" s="197">
        <f t="shared" si="21"/>
        <v>37009.2</v>
      </c>
      <c r="E69" s="197">
        <f t="shared" si="20"/>
        <v>11774.5</v>
      </c>
      <c r="F69" s="219">
        <f>8411.5+3363</f>
        <v>11774.5</v>
      </c>
      <c r="G69" s="219">
        <v>8411.6</v>
      </c>
      <c r="H69" s="72">
        <v>8411.5</v>
      </c>
      <c r="I69" s="73">
        <v>8411.6</v>
      </c>
      <c r="J69" s="73">
        <v>6371.2</v>
      </c>
      <c r="K69" s="74" t="e">
        <f>J69/#REF!*100</f>
        <v>#REF!</v>
      </c>
      <c r="L69" s="74">
        <f>J69/H69*100</f>
        <v>75.74392201153182</v>
      </c>
      <c r="M69" s="195"/>
      <c r="N69" s="195"/>
      <c r="O69" s="72">
        <f t="shared" si="2"/>
        <v>75.74302154168053</v>
      </c>
      <c r="P69" s="74">
        <f t="shared" si="3"/>
        <v>54.11015329737993</v>
      </c>
      <c r="Q69" s="73">
        <f t="shared" si="4"/>
        <v>17.21517892848265</v>
      </c>
    </row>
    <row r="70" spans="1:17" ht="36">
      <c r="A70" s="69" t="s">
        <v>214</v>
      </c>
      <c r="B70" s="75"/>
      <c r="C70" s="76" t="s">
        <v>215</v>
      </c>
      <c r="D70" s="197">
        <f t="shared" si="21"/>
        <v>0</v>
      </c>
      <c r="E70" s="197">
        <f t="shared" si="20"/>
        <v>0</v>
      </c>
      <c r="F70" s="226"/>
      <c r="G70" s="226"/>
      <c r="H70" s="72"/>
      <c r="I70" s="73"/>
      <c r="J70" s="73"/>
      <c r="K70" s="74" t="e">
        <f>J70/#REF!*100</f>
        <v>#REF!</v>
      </c>
      <c r="L70" s="74"/>
      <c r="M70" s="195"/>
      <c r="N70" s="195"/>
      <c r="O70" s="72" t="e">
        <f t="shared" si="2"/>
        <v>#DIV/0!</v>
      </c>
      <c r="P70" s="194"/>
      <c r="Q70" s="80"/>
    </row>
    <row r="71" spans="1:17" ht="12.75">
      <c r="A71" s="77"/>
      <c r="B71" s="78"/>
      <c r="C71" s="79" t="s">
        <v>216</v>
      </c>
      <c r="D71" s="80">
        <f aca="true" t="shared" si="23" ref="D71:K71">D68+D58</f>
        <v>69098.2</v>
      </c>
      <c r="E71" s="80">
        <f t="shared" si="23"/>
        <v>19737.6</v>
      </c>
      <c r="F71" s="80">
        <f t="shared" si="23"/>
        <v>19737.6</v>
      </c>
      <c r="G71" s="80">
        <f t="shared" si="23"/>
        <v>16370.900000000001</v>
      </c>
      <c r="H71" s="80">
        <f t="shared" si="23"/>
        <v>16450.6</v>
      </c>
      <c r="I71" s="80">
        <f t="shared" si="23"/>
        <v>16539.100000000002</v>
      </c>
      <c r="J71" s="80">
        <f t="shared" si="23"/>
        <v>10458.7</v>
      </c>
      <c r="K71" s="80" t="e">
        <f t="shared" si="23"/>
        <v>#REF!</v>
      </c>
      <c r="L71" s="194">
        <f>J71/H71*100</f>
        <v>63.57640450804227</v>
      </c>
      <c r="M71" s="195"/>
      <c r="N71" s="209" t="e">
        <f>I71+#REF!+#REF!</f>
        <v>#REF!</v>
      </c>
      <c r="O71" s="204">
        <f t="shared" si="2"/>
        <v>63.236209950964685</v>
      </c>
      <c r="P71" s="194">
        <f t="shared" si="3"/>
        <v>52.98871190012971</v>
      </c>
      <c r="Q71" s="80">
        <f t="shared" si="4"/>
        <v>15.13599485948983</v>
      </c>
    </row>
    <row r="72" spans="1:17" ht="12.75">
      <c r="A72" s="210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2"/>
      <c r="M72" s="195"/>
      <c r="N72" s="195"/>
      <c r="O72" s="213"/>
      <c r="P72" s="194"/>
      <c r="Q72" s="80"/>
    </row>
    <row r="73" spans="1:17" ht="12.75">
      <c r="A73" s="214" t="s">
        <v>220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194"/>
      <c r="Q73" s="80"/>
    </row>
    <row r="74" spans="1:17" ht="12.75">
      <c r="A74" s="192" t="s">
        <v>178</v>
      </c>
      <c r="B74" s="192"/>
      <c r="C74" s="193" t="s">
        <v>179</v>
      </c>
      <c r="D74" s="194">
        <f>D75+D76+D77+D78+D79+D80+D81+D82+D83</f>
        <v>23743.5</v>
      </c>
      <c r="E74" s="194">
        <f>E75+E76+E77+E78+E79+E80+E81+E82+E83</f>
        <v>6031.5</v>
      </c>
      <c r="F74" s="194">
        <f>F75+F76+F77+F78+F79+F80+F81+F82+F83</f>
        <v>6031.5</v>
      </c>
      <c r="G74" s="194">
        <f>G75+G76+G77+G78+G79+G80+G81+G82+G83</f>
        <v>5821.5</v>
      </c>
      <c r="H74" s="194">
        <f>H75+H76+H77+H78+H79+H80+H81+H82+H83</f>
        <v>5204.299999999999</v>
      </c>
      <c r="I74" s="194">
        <f>I75+I76+I77+I78+I79+I80+I81+I82+I83+I84</f>
        <v>6686.2</v>
      </c>
      <c r="J74" s="194">
        <f>J75+J76+J77+J78+J79+J80+J81+J82+J83+J84</f>
        <v>2967.7999999999997</v>
      </c>
      <c r="K74" s="194" t="e">
        <f>J74/#REF!*100</f>
        <v>#REF!</v>
      </c>
      <c r="L74" s="194">
        <f>J74/H74*100</f>
        <v>57.02592087312415</v>
      </c>
      <c r="M74" s="195"/>
      <c r="N74" s="195"/>
      <c r="O74" s="194">
        <f t="shared" si="2"/>
        <v>44.38694624749484</v>
      </c>
      <c r="P74" s="194">
        <f aca="true" t="shared" si="24" ref="P74:P135">J74*100/E74</f>
        <v>49.20500704634005</v>
      </c>
      <c r="Q74" s="80">
        <f aca="true" t="shared" si="25" ref="Q74:Q135">J74*100/D74</f>
        <v>12.49942089413945</v>
      </c>
    </row>
    <row r="75" spans="1:17" ht="12.75">
      <c r="A75" s="77" t="s">
        <v>180</v>
      </c>
      <c r="B75" s="77"/>
      <c r="C75" s="196" t="s">
        <v>181</v>
      </c>
      <c r="D75" s="197">
        <f>F75+G75+H75+I75</f>
        <v>16170</v>
      </c>
      <c r="E75" s="233">
        <f aca="true" t="shared" si="26" ref="E75:E83">F75</f>
        <v>4300</v>
      </c>
      <c r="F75" s="219">
        <v>4300</v>
      </c>
      <c r="G75" s="219">
        <v>4100</v>
      </c>
      <c r="H75" s="72">
        <v>3450</v>
      </c>
      <c r="I75" s="72">
        <v>4320</v>
      </c>
      <c r="J75" s="73">
        <v>2265.9</v>
      </c>
      <c r="K75" s="74" t="e">
        <f>J75/#REF!*100</f>
        <v>#REF!</v>
      </c>
      <c r="L75" s="74">
        <f>J75/H75*100</f>
        <v>65.67826086956522</v>
      </c>
      <c r="M75" s="195"/>
      <c r="N75" s="195"/>
      <c r="O75" s="72">
        <f aca="true" t="shared" si="27" ref="O75:O139">J75*100/I75</f>
        <v>52.451388888888886</v>
      </c>
      <c r="P75" s="74">
        <f t="shared" si="24"/>
        <v>52.6953488372093</v>
      </c>
      <c r="Q75" s="73">
        <f t="shared" si="25"/>
        <v>14.012987012987013</v>
      </c>
    </row>
    <row r="76" spans="1:17" ht="12.75">
      <c r="A76" s="67" t="s">
        <v>182</v>
      </c>
      <c r="B76" s="67"/>
      <c r="C76" s="196" t="s">
        <v>183</v>
      </c>
      <c r="D76" s="197">
        <f aca="true" t="shared" si="28" ref="D76:D83">F76+G76+H76+I76</f>
        <v>0</v>
      </c>
      <c r="E76" s="233">
        <f t="shared" si="26"/>
        <v>0</v>
      </c>
      <c r="F76" s="219"/>
      <c r="G76" s="219"/>
      <c r="H76" s="72"/>
      <c r="I76" s="72"/>
      <c r="J76" s="73"/>
      <c r="K76" s="74"/>
      <c r="L76" s="74"/>
      <c r="M76" s="195"/>
      <c r="N76" s="195"/>
      <c r="O76" s="72" t="e">
        <f t="shared" si="27"/>
        <v>#DIV/0!</v>
      </c>
      <c r="P76" s="74" t="e">
        <f t="shared" si="24"/>
        <v>#DIV/0!</v>
      </c>
      <c r="Q76" s="73" t="e">
        <f t="shared" si="25"/>
        <v>#DIV/0!</v>
      </c>
    </row>
    <row r="77" spans="1:17" ht="12.75">
      <c r="A77" s="67" t="s">
        <v>184</v>
      </c>
      <c r="B77" s="67"/>
      <c r="C77" s="196" t="s">
        <v>185</v>
      </c>
      <c r="D77" s="197">
        <f t="shared" si="28"/>
        <v>1372</v>
      </c>
      <c r="E77" s="233">
        <f t="shared" si="26"/>
        <v>223.3</v>
      </c>
      <c r="F77" s="219">
        <v>223.3</v>
      </c>
      <c r="G77" s="219">
        <v>182.3</v>
      </c>
      <c r="H77" s="72">
        <v>283.9</v>
      </c>
      <c r="I77" s="72">
        <v>682.5</v>
      </c>
      <c r="J77" s="73">
        <v>210.6</v>
      </c>
      <c r="K77" s="74" t="e">
        <f>J77/#REF!*100</f>
        <v>#REF!</v>
      </c>
      <c r="L77" s="74">
        <f>J77/H77*100</f>
        <v>74.18104966537513</v>
      </c>
      <c r="M77" s="195"/>
      <c r="N77" s="195"/>
      <c r="O77" s="72">
        <f t="shared" si="27"/>
        <v>30.857142857142858</v>
      </c>
      <c r="P77" s="74">
        <f t="shared" si="24"/>
        <v>94.31258396775638</v>
      </c>
      <c r="Q77" s="73">
        <f t="shared" si="25"/>
        <v>15.349854227405247</v>
      </c>
    </row>
    <row r="78" spans="1:17" ht="12.75">
      <c r="A78" s="67" t="s">
        <v>186</v>
      </c>
      <c r="B78" s="67"/>
      <c r="C78" s="196" t="s">
        <v>187</v>
      </c>
      <c r="D78" s="197">
        <f t="shared" si="28"/>
        <v>0</v>
      </c>
      <c r="E78" s="233">
        <f t="shared" si="26"/>
        <v>0</v>
      </c>
      <c r="F78" s="219"/>
      <c r="G78" s="219"/>
      <c r="H78" s="72"/>
      <c r="I78" s="72"/>
      <c r="J78" s="73"/>
      <c r="K78" s="74"/>
      <c r="L78" s="74"/>
      <c r="M78" s="195"/>
      <c r="N78" s="195"/>
      <c r="O78" s="72" t="e">
        <f t="shared" si="27"/>
        <v>#DIV/0!</v>
      </c>
      <c r="P78" s="74" t="e">
        <f t="shared" si="24"/>
        <v>#DIV/0!</v>
      </c>
      <c r="Q78" s="73" t="e">
        <f t="shared" si="25"/>
        <v>#DIV/0!</v>
      </c>
    </row>
    <row r="79" spans="1:17" ht="24">
      <c r="A79" s="68" t="s">
        <v>190</v>
      </c>
      <c r="B79" s="68"/>
      <c r="C79" s="196" t="s">
        <v>191</v>
      </c>
      <c r="D79" s="197">
        <f t="shared" si="28"/>
        <v>5633</v>
      </c>
      <c r="E79" s="233">
        <f t="shared" si="26"/>
        <v>1340</v>
      </c>
      <c r="F79" s="219">
        <v>1340</v>
      </c>
      <c r="G79" s="219">
        <v>1410</v>
      </c>
      <c r="H79" s="72">
        <v>1410</v>
      </c>
      <c r="I79" s="72">
        <v>1473</v>
      </c>
      <c r="J79" s="73">
        <v>378.4</v>
      </c>
      <c r="K79" s="74" t="e">
        <f>J79/#REF!*100</f>
        <v>#REF!</v>
      </c>
      <c r="L79" s="74">
        <f>J79/H79*100</f>
        <v>26.836879432624112</v>
      </c>
      <c r="M79" s="195"/>
      <c r="N79" s="195"/>
      <c r="O79" s="72">
        <f t="shared" si="27"/>
        <v>25.68906992532247</v>
      </c>
      <c r="P79" s="74">
        <f t="shared" si="24"/>
        <v>28.238805970149254</v>
      </c>
      <c r="Q79" s="73">
        <f t="shared" si="25"/>
        <v>6.717557251908397</v>
      </c>
    </row>
    <row r="80" spans="1:17" ht="24">
      <c r="A80" s="199" t="s">
        <v>194</v>
      </c>
      <c r="B80" s="199"/>
      <c r="C80" s="196" t="s">
        <v>195</v>
      </c>
      <c r="D80" s="197">
        <f t="shared" si="28"/>
        <v>465.99999999999994</v>
      </c>
      <c r="E80" s="233">
        <f t="shared" si="26"/>
        <v>138.2</v>
      </c>
      <c r="F80" s="219">
        <v>138.2</v>
      </c>
      <c r="G80" s="219">
        <v>105.2</v>
      </c>
      <c r="H80" s="72">
        <v>36.4</v>
      </c>
      <c r="I80" s="72">
        <v>186.2</v>
      </c>
      <c r="J80" s="73">
        <v>81.2</v>
      </c>
      <c r="K80" s="74" t="e">
        <f>J80/#REF!*100</f>
        <v>#REF!</v>
      </c>
      <c r="L80" s="74">
        <f>J80/H80*100</f>
        <v>223.0769230769231</v>
      </c>
      <c r="M80" s="195"/>
      <c r="N80" s="195"/>
      <c r="O80" s="72">
        <f t="shared" si="27"/>
        <v>43.60902255639098</v>
      </c>
      <c r="P80" s="74">
        <f t="shared" si="24"/>
        <v>58.75542691751086</v>
      </c>
      <c r="Q80" s="73">
        <f t="shared" si="25"/>
        <v>17.424892703862664</v>
      </c>
    </row>
    <row r="81" spans="1:17" ht="24">
      <c r="A81" s="198" t="s">
        <v>196</v>
      </c>
      <c r="B81" s="198"/>
      <c r="C81" s="196" t="s">
        <v>197</v>
      </c>
      <c r="D81" s="197">
        <f t="shared" si="28"/>
        <v>102.5</v>
      </c>
      <c r="E81" s="233">
        <f t="shared" si="26"/>
        <v>30</v>
      </c>
      <c r="F81" s="219">
        <v>30</v>
      </c>
      <c r="G81" s="219">
        <v>24</v>
      </c>
      <c r="H81" s="72">
        <v>24</v>
      </c>
      <c r="I81" s="72">
        <v>24.5</v>
      </c>
      <c r="J81" s="73">
        <v>11.5</v>
      </c>
      <c r="K81" s="74" t="e">
        <f>J81/#REF!*100</f>
        <v>#REF!</v>
      </c>
      <c r="L81" s="74">
        <f>J81/H81*100</f>
        <v>47.91666666666667</v>
      </c>
      <c r="M81" s="195"/>
      <c r="N81" s="195"/>
      <c r="O81" s="72">
        <f t="shared" si="27"/>
        <v>46.93877551020408</v>
      </c>
      <c r="P81" s="74">
        <f t="shared" si="24"/>
        <v>38.333333333333336</v>
      </c>
      <c r="Q81" s="73">
        <f t="shared" si="25"/>
        <v>11.21951219512195</v>
      </c>
    </row>
    <row r="82" spans="1:17" ht="12.75">
      <c r="A82" s="77" t="s">
        <v>200</v>
      </c>
      <c r="B82" s="77"/>
      <c r="C82" s="196" t="s">
        <v>201</v>
      </c>
      <c r="D82" s="197">
        <f t="shared" si="28"/>
        <v>0</v>
      </c>
      <c r="E82" s="233">
        <f t="shared" si="26"/>
        <v>0</v>
      </c>
      <c r="F82" s="219"/>
      <c r="G82" s="219"/>
      <c r="H82" s="72"/>
      <c r="I82" s="72"/>
      <c r="J82" s="73">
        <v>20.2</v>
      </c>
      <c r="K82" s="194"/>
      <c r="L82" s="194"/>
      <c r="M82" s="195"/>
      <c r="N82" s="195"/>
      <c r="O82" s="72" t="e">
        <f t="shared" si="27"/>
        <v>#DIV/0!</v>
      </c>
      <c r="P82" s="74"/>
      <c r="Q82" s="73"/>
    </row>
    <row r="83" spans="1:17" ht="12.75">
      <c r="A83" s="200" t="s">
        <v>202</v>
      </c>
      <c r="B83" s="201"/>
      <c r="C83" s="71" t="s">
        <v>203</v>
      </c>
      <c r="D83" s="197">
        <f t="shared" si="28"/>
        <v>0</v>
      </c>
      <c r="E83" s="233">
        <f t="shared" si="26"/>
        <v>0</v>
      </c>
      <c r="F83" s="219"/>
      <c r="G83" s="219"/>
      <c r="H83" s="72"/>
      <c r="I83" s="72"/>
      <c r="J83" s="73"/>
      <c r="K83" s="194"/>
      <c r="L83" s="194"/>
      <c r="M83" s="195"/>
      <c r="N83" s="195"/>
      <c r="O83" s="72"/>
      <c r="P83" s="74"/>
      <c r="Q83" s="73"/>
    </row>
    <row r="84" spans="1:17" ht="12.75">
      <c r="A84" s="200" t="s">
        <v>204</v>
      </c>
      <c r="B84" s="201"/>
      <c r="C84" s="71" t="s">
        <v>205</v>
      </c>
      <c r="D84" s="71"/>
      <c r="E84" s="71"/>
      <c r="F84" s="219"/>
      <c r="G84" s="219"/>
      <c r="H84" s="72" t="e">
        <f>I84+#REF!+#REF!+#REF!</f>
        <v>#REF!</v>
      </c>
      <c r="I84" s="72"/>
      <c r="J84" s="73"/>
      <c r="K84" s="194"/>
      <c r="L84" s="194"/>
      <c r="M84" s="195"/>
      <c r="N84" s="195"/>
      <c r="O84" s="72" t="e">
        <f t="shared" si="27"/>
        <v>#DIV/0!</v>
      </c>
      <c r="P84" s="194" t="e">
        <f t="shared" si="24"/>
        <v>#DIV/0!</v>
      </c>
      <c r="Q84" s="80" t="e">
        <f t="shared" si="25"/>
        <v>#DIV/0!</v>
      </c>
    </row>
    <row r="85" spans="1:17" ht="12.75">
      <c r="A85" s="192" t="s">
        <v>206</v>
      </c>
      <c r="B85" s="192"/>
      <c r="C85" s="202" t="s">
        <v>207</v>
      </c>
      <c r="D85" s="203">
        <f aca="true" t="shared" si="29" ref="D85:J85">D86+D87</f>
        <v>55493.799999999996</v>
      </c>
      <c r="E85" s="234">
        <f t="shared" si="29"/>
        <v>11686.8</v>
      </c>
      <c r="F85" s="203">
        <f t="shared" si="29"/>
        <v>11686.8</v>
      </c>
      <c r="G85" s="203">
        <f t="shared" si="29"/>
        <v>16974.2</v>
      </c>
      <c r="H85" s="203">
        <f t="shared" si="29"/>
        <v>15282.2</v>
      </c>
      <c r="I85" s="203">
        <f t="shared" si="29"/>
        <v>11550.6</v>
      </c>
      <c r="J85" s="203">
        <f t="shared" si="29"/>
        <v>8791.8</v>
      </c>
      <c r="K85" s="194" t="e">
        <f>J85/#REF!*100</f>
        <v>#REF!</v>
      </c>
      <c r="L85" s="194">
        <f>J85/H85*100</f>
        <v>57.52967504678645</v>
      </c>
      <c r="M85" s="195"/>
      <c r="N85" s="195"/>
      <c r="O85" s="204">
        <f t="shared" si="27"/>
        <v>76.11552646615759</v>
      </c>
      <c r="P85" s="194">
        <f t="shared" si="24"/>
        <v>75.22846288119929</v>
      </c>
      <c r="Q85" s="80">
        <f t="shared" si="25"/>
        <v>15.842850913074974</v>
      </c>
    </row>
    <row r="86" spans="1:17" ht="24">
      <c r="A86" s="69" t="s">
        <v>208</v>
      </c>
      <c r="B86" s="67"/>
      <c r="C86" s="205" t="s">
        <v>209</v>
      </c>
      <c r="D86" s="197">
        <f>F86+G86+H86+I86</f>
        <v>55493.799999999996</v>
      </c>
      <c r="E86" s="233">
        <f>F86</f>
        <v>11686.8</v>
      </c>
      <c r="F86" s="219">
        <f>10915+771.8</f>
        <v>11686.8</v>
      </c>
      <c r="G86" s="219">
        <v>16974.2</v>
      </c>
      <c r="H86" s="72">
        <v>15282.2</v>
      </c>
      <c r="I86" s="72">
        <v>11550.6</v>
      </c>
      <c r="J86" s="73">
        <v>8791.8</v>
      </c>
      <c r="K86" s="74" t="e">
        <f>J86/#REF!*100</f>
        <v>#REF!</v>
      </c>
      <c r="L86" s="74">
        <f>J86/H86*100</f>
        <v>57.52967504678645</v>
      </c>
      <c r="M86" s="195"/>
      <c r="N86" s="195"/>
      <c r="O86" s="72">
        <f t="shared" si="27"/>
        <v>76.11552646615759</v>
      </c>
      <c r="P86" s="74">
        <f t="shared" si="24"/>
        <v>75.22846288119929</v>
      </c>
      <c r="Q86" s="73">
        <f t="shared" si="25"/>
        <v>15.842850913074974</v>
      </c>
    </row>
    <row r="87" spans="1:17" ht="12.75">
      <c r="A87" s="69" t="s">
        <v>210</v>
      </c>
      <c r="B87" s="69"/>
      <c r="C87" s="206" t="s">
        <v>211</v>
      </c>
      <c r="D87" s="197">
        <f>F87+G87+H87+I87</f>
        <v>0</v>
      </c>
      <c r="E87" s="233">
        <f>F87</f>
        <v>0</v>
      </c>
      <c r="F87" s="235"/>
      <c r="G87" s="235"/>
      <c r="H87" s="72"/>
      <c r="I87" s="72"/>
      <c r="J87" s="73"/>
      <c r="K87" s="74" t="e">
        <f>J87/#REF!*100</f>
        <v>#REF!</v>
      </c>
      <c r="L87" s="74"/>
      <c r="M87" s="195"/>
      <c r="N87" s="195"/>
      <c r="O87" s="72" t="e">
        <f t="shared" si="27"/>
        <v>#DIV/0!</v>
      </c>
      <c r="P87" s="194"/>
      <c r="Q87" s="80"/>
    </row>
    <row r="88" spans="1:17" ht="12.75">
      <c r="A88" s="77"/>
      <c r="B88" s="78"/>
      <c r="C88" s="79" t="s">
        <v>216</v>
      </c>
      <c r="D88" s="80">
        <f aca="true" t="shared" si="30" ref="D88:J88">D85+D74</f>
        <v>79237.29999999999</v>
      </c>
      <c r="E88" s="80">
        <f t="shared" si="30"/>
        <v>17718.3</v>
      </c>
      <c r="F88" s="80">
        <f t="shared" si="30"/>
        <v>17718.3</v>
      </c>
      <c r="G88" s="80">
        <f t="shared" si="30"/>
        <v>22795.7</v>
      </c>
      <c r="H88" s="80">
        <f t="shared" si="30"/>
        <v>20486.5</v>
      </c>
      <c r="I88" s="80">
        <f t="shared" si="30"/>
        <v>18236.8</v>
      </c>
      <c r="J88" s="80">
        <f t="shared" si="30"/>
        <v>11759.599999999999</v>
      </c>
      <c r="K88" s="194" t="e">
        <f>J88/#REF!*100</f>
        <v>#REF!</v>
      </c>
      <c r="L88" s="194">
        <f>J88/H88*100</f>
        <v>57.40170356088154</v>
      </c>
      <c r="M88" s="195"/>
      <c r="N88" s="209" t="e">
        <f>I88+#REF!+#REF!</f>
        <v>#REF!</v>
      </c>
      <c r="O88" s="204">
        <f t="shared" si="27"/>
        <v>64.48280400070186</v>
      </c>
      <c r="P88" s="194">
        <f t="shared" si="24"/>
        <v>66.36979845696257</v>
      </c>
      <c r="Q88" s="80">
        <f t="shared" si="25"/>
        <v>14.84099029118862</v>
      </c>
    </row>
    <row r="89" spans="1:17" ht="12.75">
      <c r="A89" s="210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2"/>
      <c r="M89" s="195"/>
      <c r="N89" s="195"/>
      <c r="O89" s="213"/>
      <c r="P89" s="194"/>
      <c r="Q89" s="80"/>
    </row>
    <row r="90" spans="1:17" ht="12.75">
      <c r="A90" s="214" t="s">
        <v>221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194"/>
      <c r="Q90" s="80"/>
    </row>
    <row r="91" spans="1:17" ht="12.75">
      <c r="A91" s="192" t="s">
        <v>178</v>
      </c>
      <c r="B91" s="192"/>
      <c r="C91" s="193" t="s">
        <v>179</v>
      </c>
      <c r="D91" s="194">
        <f aca="true" t="shared" si="31" ref="D91:J91">D92+D93+D97+D94+D95+D98+D96</f>
        <v>2427.5</v>
      </c>
      <c r="E91" s="194">
        <f t="shared" si="31"/>
        <v>599.3</v>
      </c>
      <c r="F91" s="194">
        <f t="shared" si="31"/>
        <v>599.3</v>
      </c>
      <c r="G91" s="194">
        <f t="shared" si="31"/>
        <v>610.5000000000001</v>
      </c>
      <c r="H91" s="194">
        <f t="shared" si="31"/>
        <v>610.5000000000001</v>
      </c>
      <c r="I91" s="194">
        <f t="shared" si="31"/>
        <v>607.2</v>
      </c>
      <c r="J91" s="194">
        <f t="shared" si="31"/>
        <v>415.40000000000003</v>
      </c>
      <c r="K91" s="194" t="e">
        <f>J91/#REF!*100</f>
        <v>#REF!</v>
      </c>
      <c r="L91" s="194">
        <f>J91/H91*100</f>
        <v>68.04258804258804</v>
      </c>
      <c r="M91" s="195"/>
      <c r="N91" s="195"/>
      <c r="O91" s="194">
        <f t="shared" si="27"/>
        <v>68.41238471673253</v>
      </c>
      <c r="P91" s="194">
        <f t="shared" si="24"/>
        <v>69.3141998998832</v>
      </c>
      <c r="Q91" s="80">
        <f t="shared" si="25"/>
        <v>17.112255406797118</v>
      </c>
    </row>
    <row r="92" spans="1:17" ht="12.75">
      <c r="A92" s="77" t="s">
        <v>180</v>
      </c>
      <c r="B92" s="77"/>
      <c r="C92" s="196" t="s">
        <v>181</v>
      </c>
      <c r="D92" s="197">
        <f>F92+G92+H92+I92</f>
        <v>2278.5</v>
      </c>
      <c r="E92" s="236">
        <f aca="true" t="shared" si="32" ref="E92:E101">F92</f>
        <v>569.6</v>
      </c>
      <c r="F92" s="219">
        <v>569.6</v>
      </c>
      <c r="G92" s="219">
        <v>569.6</v>
      </c>
      <c r="H92" s="72">
        <v>569.6</v>
      </c>
      <c r="I92" s="73">
        <v>569.7</v>
      </c>
      <c r="J92" s="73">
        <v>381.3</v>
      </c>
      <c r="K92" s="74"/>
      <c r="L92" s="74">
        <f>J92/H92*100</f>
        <v>66.94171348314607</v>
      </c>
      <c r="M92" s="209"/>
      <c r="N92" s="195"/>
      <c r="O92" s="72">
        <f t="shared" si="27"/>
        <v>66.92996313849393</v>
      </c>
      <c r="P92" s="74">
        <f t="shared" si="24"/>
        <v>66.94171348314606</v>
      </c>
      <c r="Q92" s="73">
        <f t="shared" si="25"/>
        <v>16.73469387755102</v>
      </c>
    </row>
    <row r="93" spans="1:17" ht="12.75">
      <c r="A93" s="67" t="s">
        <v>184</v>
      </c>
      <c r="B93" s="67"/>
      <c r="C93" s="196" t="s">
        <v>185</v>
      </c>
      <c r="D93" s="197">
        <f aca="true" t="shared" si="33" ref="D93:D101">F93+G93+H93+I93</f>
        <v>50</v>
      </c>
      <c r="E93" s="236">
        <f t="shared" si="32"/>
        <v>12.8</v>
      </c>
      <c r="F93" s="219">
        <v>12.8</v>
      </c>
      <c r="G93" s="219">
        <v>12.7</v>
      </c>
      <c r="H93" s="72">
        <v>12.7</v>
      </c>
      <c r="I93" s="73">
        <v>11.8</v>
      </c>
      <c r="J93" s="73">
        <v>0.2</v>
      </c>
      <c r="K93" s="74"/>
      <c r="L93" s="74">
        <f aca="true" t="shared" si="34" ref="L93:L100">J93/H93*100</f>
        <v>1.5748031496062995</v>
      </c>
      <c r="M93" s="209"/>
      <c r="N93" s="195"/>
      <c r="O93" s="72">
        <f t="shared" si="27"/>
        <v>1.694915254237288</v>
      </c>
      <c r="P93" s="74">
        <f t="shared" si="24"/>
        <v>1.5625</v>
      </c>
      <c r="Q93" s="73">
        <f t="shared" si="25"/>
        <v>0.4</v>
      </c>
    </row>
    <row r="94" spans="1:17" ht="12.75">
      <c r="A94" s="67" t="s">
        <v>186</v>
      </c>
      <c r="B94" s="67"/>
      <c r="C94" s="196" t="s">
        <v>187</v>
      </c>
      <c r="D94" s="197">
        <f t="shared" si="33"/>
        <v>10</v>
      </c>
      <c r="E94" s="236">
        <f t="shared" si="32"/>
        <v>1</v>
      </c>
      <c r="F94" s="219">
        <v>1</v>
      </c>
      <c r="G94" s="219">
        <v>3</v>
      </c>
      <c r="H94" s="72">
        <v>3</v>
      </c>
      <c r="I94" s="73">
        <v>3</v>
      </c>
      <c r="J94" s="73"/>
      <c r="K94" s="74"/>
      <c r="L94" s="74">
        <f t="shared" si="34"/>
        <v>0</v>
      </c>
      <c r="M94" s="195"/>
      <c r="N94" s="195"/>
      <c r="O94" s="72">
        <f t="shared" si="27"/>
        <v>0</v>
      </c>
      <c r="P94" s="74">
        <f t="shared" si="24"/>
        <v>0</v>
      </c>
      <c r="Q94" s="73">
        <f t="shared" si="25"/>
        <v>0</v>
      </c>
    </row>
    <row r="95" spans="1:17" ht="24">
      <c r="A95" s="68" t="s">
        <v>190</v>
      </c>
      <c r="B95" s="68"/>
      <c r="C95" s="196" t="s">
        <v>191</v>
      </c>
      <c r="D95" s="197">
        <f t="shared" si="33"/>
        <v>55</v>
      </c>
      <c r="E95" s="236">
        <f t="shared" si="32"/>
        <v>10</v>
      </c>
      <c r="F95" s="219">
        <v>10</v>
      </c>
      <c r="G95" s="219">
        <v>15</v>
      </c>
      <c r="H95" s="72">
        <v>15</v>
      </c>
      <c r="I95" s="73">
        <v>15</v>
      </c>
      <c r="J95" s="73">
        <v>0.5</v>
      </c>
      <c r="K95" s="74"/>
      <c r="L95" s="74">
        <f t="shared" si="34"/>
        <v>3.3333333333333335</v>
      </c>
      <c r="M95" s="195"/>
      <c r="N95" s="195"/>
      <c r="O95" s="72">
        <f t="shared" si="27"/>
        <v>3.3333333333333335</v>
      </c>
      <c r="P95" s="74">
        <f t="shared" si="24"/>
        <v>5</v>
      </c>
      <c r="Q95" s="73">
        <f t="shared" si="25"/>
        <v>0.9090909090909091</v>
      </c>
    </row>
    <row r="96" spans="1:17" ht="24">
      <c r="A96" s="199" t="s">
        <v>194</v>
      </c>
      <c r="B96" s="199"/>
      <c r="C96" s="196" t="s">
        <v>195</v>
      </c>
      <c r="D96" s="197">
        <f t="shared" si="33"/>
        <v>25</v>
      </c>
      <c r="E96" s="236">
        <f t="shared" si="32"/>
        <v>5</v>
      </c>
      <c r="F96" s="219">
        <v>5</v>
      </c>
      <c r="G96" s="219">
        <v>7.5</v>
      </c>
      <c r="H96" s="72">
        <v>7.5</v>
      </c>
      <c r="I96" s="73">
        <v>5</v>
      </c>
      <c r="J96" s="73"/>
      <c r="K96" s="74"/>
      <c r="L96" s="74">
        <f t="shared" si="34"/>
        <v>0</v>
      </c>
      <c r="M96" s="195"/>
      <c r="N96" s="195"/>
      <c r="O96" s="72">
        <f t="shared" si="27"/>
        <v>0</v>
      </c>
      <c r="P96" s="74">
        <f t="shared" si="24"/>
        <v>0</v>
      </c>
      <c r="Q96" s="73">
        <f t="shared" si="25"/>
        <v>0</v>
      </c>
    </row>
    <row r="97" spans="1:17" ht="24">
      <c r="A97" s="199" t="s">
        <v>196</v>
      </c>
      <c r="B97" s="199"/>
      <c r="C97" s="196" t="s">
        <v>197</v>
      </c>
      <c r="D97" s="197">
        <f t="shared" si="33"/>
        <v>9</v>
      </c>
      <c r="E97" s="236">
        <f t="shared" si="32"/>
        <v>0.9</v>
      </c>
      <c r="F97" s="219">
        <v>0.9</v>
      </c>
      <c r="G97" s="219">
        <v>2.7</v>
      </c>
      <c r="H97" s="72">
        <v>2.7</v>
      </c>
      <c r="I97" s="73">
        <v>2.7</v>
      </c>
      <c r="J97" s="73">
        <v>9.1</v>
      </c>
      <c r="K97" s="74"/>
      <c r="L97" s="74">
        <f t="shared" si="34"/>
        <v>337.037037037037</v>
      </c>
      <c r="M97" s="195"/>
      <c r="N97" s="195"/>
      <c r="O97" s="72">
        <f t="shared" si="27"/>
        <v>337.037037037037</v>
      </c>
      <c r="P97" s="74">
        <f t="shared" si="24"/>
        <v>1011.1111111111111</v>
      </c>
      <c r="Q97" s="73">
        <f t="shared" si="25"/>
        <v>101.11111111111111</v>
      </c>
    </row>
    <row r="98" spans="1:17" ht="12.75">
      <c r="A98" s="199" t="s">
        <v>202</v>
      </c>
      <c r="B98" s="237"/>
      <c r="C98" s="71" t="s">
        <v>203</v>
      </c>
      <c r="D98" s="197">
        <f t="shared" si="33"/>
        <v>0</v>
      </c>
      <c r="E98" s="236">
        <f t="shared" si="32"/>
        <v>0</v>
      </c>
      <c r="F98" s="238"/>
      <c r="G98" s="238"/>
      <c r="H98" s="72"/>
      <c r="I98" s="73"/>
      <c r="J98" s="73">
        <v>24.3</v>
      </c>
      <c r="K98" s="194"/>
      <c r="L98" s="74" t="e">
        <f t="shared" si="34"/>
        <v>#DIV/0!</v>
      </c>
      <c r="M98" s="195"/>
      <c r="N98" s="195"/>
      <c r="O98" s="72" t="e">
        <f t="shared" si="27"/>
        <v>#DIV/0!</v>
      </c>
      <c r="P98" s="194"/>
      <c r="Q98" s="80"/>
    </row>
    <row r="99" spans="1:17" ht="12.75">
      <c r="A99" s="225" t="s">
        <v>206</v>
      </c>
      <c r="B99" s="225"/>
      <c r="C99" s="202" t="s">
        <v>207</v>
      </c>
      <c r="D99" s="203">
        <f aca="true" t="shared" si="35" ref="D99:K99">D100+D101</f>
        <v>22915</v>
      </c>
      <c r="E99" s="203">
        <f t="shared" si="35"/>
        <v>6080.5</v>
      </c>
      <c r="F99" s="203">
        <f t="shared" si="35"/>
        <v>6080.5</v>
      </c>
      <c r="G99" s="203">
        <f t="shared" si="35"/>
        <v>5676.8</v>
      </c>
      <c r="H99" s="203">
        <f t="shared" si="35"/>
        <v>5676.8</v>
      </c>
      <c r="I99" s="203">
        <f t="shared" si="35"/>
        <v>5480.9</v>
      </c>
      <c r="J99" s="203">
        <f t="shared" si="35"/>
        <v>2403.9</v>
      </c>
      <c r="K99" s="203">
        <f t="shared" si="35"/>
        <v>0</v>
      </c>
      <c r="L99" s="194">
        <f>J99/H99*100</f>
        <v>42.34604002254792</v>
      </c>
      <c r="M99" s="195"/>
      <c r="N99" s="195"/>
      <c r="O99" s="204">
        <f t="shared" si="27"/>
        <v>43.8595851046361</v>
      </c>
      <c r="P99" s="194">
        <f t="shared" si="24"/>
        <v>39.534577748540414</v>
      </c>
      <c r="Q99" s="80">
        <f t="shared" si="25"/>
        <v>10.490508400610954</v>
      </c>
    </row>
    <row r="100" spans="1:17" ht="24">
      <c r="A100" s="69" t="s">
        <v>208</v>
      </c>
      <c r="B100" s="67"/>
      <c r="C100" s="205" t="s">
        <v>209</v>
      </c>
      <c r="D100" s="197">
        <f t="shared" si="33"/>
        <v>22915</v>
      </c>
      <c r="E100" s="236">
        <f t="shared" si="32"/>
        <v>6080.5</v>
      </c>
      <c r="F100" s="219">
        <f>5480.9+599.6</f>
        <v>6080.5</v>
      </c>
      <c r="G100" s="219">
        <v>5676.8</v>
      </c>
      <c r="H100" s="72">
        <v>5676.8</v>
      </c>
      <c r="I100" s="73">
        <v>5480.9</v>
      </c>
      <c r="J100" s="73">
        <v>2403.9</v>
      </c>
      <c r="K100" s="74"/>
      <c r="L100" s="74">
        <f t="shared" si="34"/>
        <v>42.34604002254792</v>
      </c>
      <c r="M100" s="195"/>
      <c r="N100" s="195"/>
      <c r="O100" s="72">
        <f t="shared" si="27"/>
        <v>43.8595851046361</v>
      </c>
      <c r="P100" s="74">
        <f t="shared" si="24"/>
        <v>39.534577748540414</v>
      </c>
      <c r="Q100" s="73">
        <f t="shared" si="25"/>
        <v>10.490508400610954</v>
      </c>
    </row>
    <row r="101" spans="1:17" ht="12.75">
      <c r="A101" s="69" t="s">
        <v>210</v>
      </c>
      <c r="B101" s="69"/>
      <c r="C101" s="206" t="s">
        <v>211</v>
      </c>
      <c r="D101" s="197">
        <f t="shared" si="33"/>
        <v>0</v>
      </c>
      <c r="E101" s="236">
        <f t="shared" si="32"/>
        <v>0</v>
      </c>
      <c r="F101" s="235"/>
      <c r="G101" s="235"/>
      <c r="H101" s="72"/>
      <c r="I101" s="73"/>
      <c r="J101" s="73"/>
      <c r="K101" s="74"/>
      <c r="L101" s="74"/>
      <c r="M101" s="195"/>
      <c r="N101" s="195"/>
      <c r="O101" s="72" t="e">
        <f t="shared" si="27"/>
        <v>#DIV/0!</v>
      </c>
      <c r="P101" s="194"/>
      <c r="Q101" s="80"/>
    </row>
    <row r="102" spans="1:17" ht="12.75">
      <c r="A102" s="77"/>
      <c r="B102" s="78"/>
      <c r="C102" s="79" t="s">
        <v>216</v>
      </c>
      <c r="D102" s="80">
        <f aca="true" t="shared" si="36" ref="D102:K102">D99+D91</f>
        <v>25342.5</v>
      </c>
      <c r="E102" s="204">
        <f t="shared" si="36"/>
        <v>6679.8</v>
      </c>
      <c r="F102" s="204">
        <f t="shared" si="36"/>
        <v>6679.8</v>
      </c>
      <c r="G102" s="204">
        <f t="shared" si="36"/>
        <v>6287.3</v>
      </c>
      <c r="H102" s="80">
        <f t="shared" si="36"/>
        <v>6287.3</v>
      </c>
      <c r="I102" s="80">
        <f t="shared" si="36"/>
        <v>6088.099999999999</v>
      </c>
      <c r="J102" s="80">
        <f t="shared" si="36"/>
        <v>2819.3</v>
      </c>
      <c r="K102" s="80" t="e">
        <f t="shared" si="36"/>
        <v>#REF!</v>
      </c>
      <c r="L102" s="194">
        <f>J102/H102*100</f>
        <v>44.84118779126175</v>
      </c>
      <c r="M102" s="195"/>
      <c r="N102" s="209" t="e">
        <f>I102+#REF!+#REF!</f>
        <v>#REF!</v>
      </c>
      <c r="O102" s="204">
        <f t="shared" si="27"/>
        <v>46.30837207010398</v>
      </c>
      <c r="P102" s="194">
        <f t="shared" si="24"/>
        <v>42.20635348363724</v>
      </c>
      <c r="Q102" s="80">
        <f t="shared" si="25"/>
        <v>11.124790371904902</v>
      </c>
    </row>
    <row r="103" spans="1:17" ht="12.75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2"/>
      <c r="M103" s="195"/>
      <c r="N103" s="195"/>
      <c r="O103" s="213"/>
      <c r="P103" s="194"/>
      <c r="Q103" s="80"/>
    </row>
    <row r="104" spans="1:17" ht="12.75">
      <c r="A104" s="214" t="s">
        <v>222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194"/>
      <c r="Q104" s="80"/>
    </row>
    <row r="105" spans="1:17" ht="12.75">
      <c r="A105" s="192" t="s">
        <v>178</v>
      </c>
      <c r="B105" s="192"/>
      <c r="C105" s="193" t="s">
        <v>179</v>
      </c>
      <c r="D105" s="194">
        <f aca="true" t="shared" si="37" ref="D105:I105">D106+D107+D111+D108+D109+D112+D110+D113</f>
        <v>1418.9</v>
      </c>
      <c r="E105" s="194">
        <f t="shared" si="37"/>
        <v>196.2</v>
      </c>
      <c r="F105" s="194">
        <f t="shared" si="37"/>
        <v>196.2</v>
      </c>
      <c r="G105" s="194">
        <f t="shared" si="37"/>
        <v>398</v>
      </c>
      <c r="H105" s="194">
        <f t="shared" si="37"/>
        <v>399.20000000000005</v>
      </c>
      <c r="I105" s="194">
        <f t="shared" si="37"/>
        <v>425.5</v>
      </c>
      <c r="J105" s="194">
        <f>J106+J107+J111+J108+J109+J112+J110+J113</f>
        <v>94.50000000000001</v>
      </c>
      <c r="K105" s="194" t="e">
        <f>J105/#REF!*100</f>
        <v>#REF!</v>
      </c>
      <c r="L105" s="194">
        <f aca="true" t="shared" si="38" ref="L105:L111">J105/H105*100</f>
        <v>23.672344689378757</v>
      </c>
      <c r="M105" s="195"/>
      <c r="N105" s="195"/>
      <c r="O105" s="194">
        <f t="shared" si="27"/>
        <v>22.209165687426562</v>
      </c>
      <c r="P105" s="194">
        <f t="shared" si="24"/>
        <v>48.16513761467891</v>
      </c>
      <c r="Q105" s="80">
        <f t="shared" si="25"/>
        <v>6.660088801184017</v>
      </c>
    </row>
    <row r="106" spans="1:17" ht="12.75">
      <c r="A106" s="77" t="s">
        <v>180</v>
      </c>
      <c r="B106" s="77"/>
      <c r="C106" s="196" t="s">
        <v>181</v>
      </c>
      <c r="D106" s="197">
        <f>F106+G106+H106+I106</f>
        <v>840</v>
      </c>
      <c r="E106" s="197">
        <f aca="true" t="shared" si="39" ref="E106:E115">F106</f>
        <v>127.6</v>
      </c>
      <c r="F106" s="197">
        <v>127.6</v>
      </c>
      <c r="G106" s="197">
        <v>222.6</v>
      </c>
      <c r="H106" s="73">
        <v>198.2</v>
      </c>
      <c r="I106" s="73">
        <v>291.6</v>
      </c>
      <c r="J106" s="73">
        <v>84.4</v>
      </c>
      <c r="K106" s="74" t="e">
        <f>J106/#REF!*100</f>
        <v>#REF!</v>
      </c>
      <c r="L106" s="74">
        <f t="shared" si="38"/>
        <v>42.5832492431887</v>
      </c>
      <c r="M106" s="195"/>
      <c r="N106" s="195"/>
      <c r="O106" s="72">
        <f t="shared" si="27"/>
        <v>28.9437585733882</v>
      </c>
      <c r="P106" s="74">
        <f t="shared" si="24"/>
        <v>66.14420062695925</v>
      </c>
      <c r="Q106" s="73">
        <f t="shared" si="25"/>
        <v>10.047619047619047</v>
      </c>
    </row>
    <row r="107" spans="1:17" ht="12.75">
      <c r="A107" s="67" t="s">
        <v>184</v>
      </c>
      <c r="B107" s="67"/>
      <c r="C107" s="196" t="s">
        <v>185</v>
      </c>
      <c r="D107" s="197">
        <f aca="true" t="shared" si="40" ref="D107:D115">F107+G107+H107+I107</f>
        <v>55</v>
      </c>
      <c r="E107" s="197">
        <f t="shared" si="39"/>
        <v>7.8</v>
      </c>
      <c r="F107" s="197">
        <v>7.8</v>
      </c>
      <c r="G107" s="197">
        <v>13.5</v>
      </c>
      <c r="H107" s="73">
        <v>19.8</v>
      </c>
      <c r="I107" s="73">
        <v>13.9</v>
      </c>
      <c r="J107" s="73">
        <v>1.7</v>
      </c>
      <c r="K107" s="74" t="e">
        <f>J107/#REF!*100</f>
        <v>#REF!</v>
      </c>
      <c r="L107" s="74">
        <f t="shared" si="38"/>
        <v>8.585858585858585</v>
      </c>
      <c r="M107" s="195"/>
      <c r="N107" s="195"/>
      <c r="O107" s="72">
        <f t="shared" si="27"/>
        <v>12.23021582733813</v>
      </c>
      <c r="P107" s="74">
        <f t="shared" si="24"/>
        <v>21.794871794871796</v>
      </c>
      <c r="Q107" s="73">
        <f t="shared" si="25"/>
        <v>3.090909090909091</v>
      </c>
    </row>
    <row r="108" spans="1:17" ht="12.75">
      <c r="A108" s="67" t="s">
        <v>186</v>
      </c>
      <c r="B108" s="67"/>
      <c r="C108" s="196" t="s">
        <v>187</v>
      </c>
      <c r="D108" s="197">
        <f t="shared" si="40"/>
        <v>31</v>
      </c>
      <c r="E108" s="197">
        <f t="shared" si="39"/>
        <v>5.6</v>
      </c>
      <c r="F108" s="197">
        <v>5.6</v>
      </c>
      <c r="G108" s="197">
        <v>2.1</v>
      </c>
      <c r="H108" s="73">
        <v>12.4</v>
      </c>
      <c r="I108" s="73">
        <v>10.9</v>
      </c>
      <c r="J108" s="73">
        <v>2.9</v>
      </c>
      <c r="K108" s="74" t="e">
        <f>J108/#REF!*100</f>
        <v>#REF!</v>
      </c>
      <c r="L108" s="74">
        <f t="shared" si="38"/>
        <v>23.387096774193548</v>
      </c>
      <c r="M108" s="195"/>
      <c r="N108" s="195"/>
      <c r="O108" s="72">
        <f t="shared" si="27"/>
        <v>26.605504587155963</v>
      </c>
      <c r="P108" s="74">
        <f t="shared" si="24"/>
        <v>51.78571428571429</v>
      </c>
      <c r="Q108" s="73">
        <f t="shared" si="25"/>
        <v>9.35483870967742</v>
      </c>
    </row>
    <row r="109" spans="1:17" ht="24">
      <c r="A109" s="68" t="s">
        <v>190</v>
      </c>
      <c r="B109" s="68"/>
      <c r="C109" s="196" t="s">
        <v>191</v>
      </c>
      <c r="D109" s="197">
        <f t="shared" si="40"/>
        <v>375.4</v>
      </c>
      <c r="E109" s="197">
        <f t="shared" si="39"/>
        <v>32.7</v>
      </c>
      <c r="F109" s="197">
        <v>32.7</v>
      </c>
      <c r="G109" s="197">
        <v>119.8</v>
      </c>
      <c r="H109" s="73">
        <v>136.3</v>
      </c>
      <c r="I109" s="73">
        <v>86.6</v>
      </c>
      <c r="J109" s="73">
        <v>4.8</v>
      </c>
      <c r="K109" s="74" t="e">
        <f>J109/#REF!*100</f>
        <v>#REF!</v>
      </c>
      <c r="L109" s="74">
        <f t="shared" si="38"/>
        <v>3.521643433602347</v>
      </c>
      <c r="M109" s="195"/>
      <c r="N109" s="195"/>
      <c r="O109" s="72">
        <f t="shared" si="27"/>
        <v>5.542725173210162</v>
      </c>
      <c r="P109" s="74">
        <f t="shared" si="24"/>
        <v>14.678899082568806</v>
      </c>
      <c r="Q109" s="73">
        <f t="shared" si="25"/>
        <v>1.2786361214704316</v>
      </c>
    </row>
    <row r="110" spans="1:17" ht="24">
      <c r="A110" s="199" t="s">
        <v>194</v>
      </c>
      <c r="B110" s="199"/>
      <c r="C110" s="196" t="s">
        <v>195</v>
      </c>
      <c r="D110" s="197">
        <f t="shared" si="40"/>
        <v>90</v>
      </c>
      <c r="E110" s="197">
        <f t="shared" si="39"/>
        <v>22.5</v>
      </c>
      <c r="F110" s="197">
        <v>22.5</v>
      </c>
      <c r="G110" s="197">
        <v>22.5</v>
      </c>
      <c r="H110" s="73">
        <v>22.5</v>
      </c>
      <c r="I110" s="73">
        <v>22.5</v>
      </c>
      <c r="J110" s="73"/>
      <c r="K110" s="74" t="e">
        <f>J110/#REF!*100</f>
        <v>#REF!</v>
      </c>
      <c r="L110" s="74">
        <f t="shared" si="38"/>
        <v>0</v>
      </c>
      <c r="M110" s="195"/>
      <c r="N110" s="195"/>
      <c r="O110" s="72">
        <f t="shared" si="27"/>
        <v>0</v>
      </c>
      <c r="P110" s="74">
        <f t="shared" si="24"/>
        <v>0</v>
      </c>
      <c r="Q110" s="73">
        <f t="shared" si="25"/>
        <v>0</v>
      </c>
    </row>
    <row r="111" spans="1:17" ht="24">
      <c r="A111" s="198" t="s">
        <v>196</v>
      </c>
      <c r="B111" s="198"/>
      <c r="C111" s="196" t="s">
        <v>197</v>
      </c>
      <c r="D111" s="197">
        <f t="shared" si="40"/>
        <v>27.5</v>
      </c>
      <c r="E111" s="197">
        <f t="shared" si="39"/>
        <v>0</v>
      </c>
      <c r="F111" s="197"/>
      <c r="G111" s="197">
        <v>17.5</v>
      </c>
      <c r="H111" s="73">
        <v>10</v>
      </c>
      <c r="I111" s="73"/>
      <c r="J111" s="73">
        <v>0.3</v>
      </c>
      <c r="K111" s="74" t="e">
        <f>J111/#REF!*100</f>
        <v>#REF!</v>
      </c>
      <c r="L111" s="74">
        <f t="shared" si="38"/>
        <v>3</v>
      </c>
      <c r="M111" s="195"/>
      <c r="N111" s="195"/>
      <c r="O111" s="72" t="e">
        <f t="shared" si="27"/>
        <v>#DIV/0!</v>
      </c>
      <c r="P111" s="74"/>
      <c r="Q111" s="73">
        <f t="shared" si="25"/>
        <v>1.0909090909090908</v>
      </c>
    </row>
    <row r="112" spans="1:17" ht="12.75">
      <c r="A112" s="77" t="s">
        <v>200</v>
      </c>
      <c r="B112" s="77"/>
      <c r="C112" s="196" t="s">
        <v>201</v>
      </c>
      <c r="D112" s="197">
        <f t="shared" si="40"/>
        <v>0</v>
      </c>
      <c r="E112" s="197">
        <f t="shared" si="39"/>
        <v>0</v>
      </c>
      <c r="F112" s="197"/>
      <c r="G112" s="197"/>
      <c r="H112" s="73"/>
      <c r="I112" s="73"/>
      <c r="J112" s="73"/>
      <c r="K112" s="74"/>
      <c r="L112" s="74"/>
      <c r="M112" s="195"/>
      <c r="N112" s="195"/>
      <c r="O112" s="72" t="e">
        <f t="shared" si="27"/>
        <v>#DIV/0!</v>
      </c>
      <c r="P112" s="194" t="e">
        <f t="shared" si="24"/>
        <v>#DIV/0!</v>
      </c>
      <c r="Q112" s="80" t="e">
        <f t="shared" si="25"/>
        <v>#DIV/0!</v>
      </c>
    </row>
    <row r="113" spans="1:17" ht="12.75">
      <c r="A113" s="198" t="s">
        <v>202</v>
      </c>
      <c r="B113" s="237"/>
      <c r="C113" s="71" t="s">
        <v>203</v>
      </c>
      <c r="D113" s="197">
        <f t="shared" si="40"/>
        <v>0</v>
      </c>
      <c r="E113" s="197">
        <f t="shared" si="39"/>
        <v>0</v>
      </c>
      <c r="F113" s="197"/>
      <c r="G113" s="197"/>
      <c r="H113" s="73"/>
      <c r="I113" s="73"/>
      <c r="J113" s="73">
        <v>0.4</v>
      </c>
      <c r="K113" s="74"/>
      <c r="L113" s="74"/>
      <c r="M113" s="195"/>
      <c r="N113" s="195"/>
      <c r="O113" s="72" t="e">
        <f t="shared" si="27"/>
        <v>#DIV/0!</v>
      </c>
      <c r="P113" s="194"/>
      <c r="Q113" s="80"/>
    </row>
    <row r="114" spans="1:17" ht="12.75">
      <c r="A114" s="192" t="s">
        <v>206</v>
      </c>
      <c r="B114" s="192"/>
      <c r="C114" s="202" t="s">
        <v>207</v>
      </c>
      <c r="D114" s="203">
        <f aca="true" t="shared" si="41" ref="D114:K114">D115</f>
        <v>29156</v>
      </c>
      <c r="E114" s="239">
        <f t="shared" si="41"/>
        <v>5407.5</v>
      </c>
      <c r="F114" s="239">
        <f t="shared" si="41"/>
        <v>5407.5</v>
      </c>
      <c r="G114" s="239">
        <f t="shared" si="41"/>
        <v>8644.5</v>
      </c>
      <c r="H114" s="239">
        <f t="shared" si="41"/>
        <v>7774.2</v>
      </c>
      <c r="I114" s="203">
        <f t="shared" si="41"/>
        <v>7329.8</v>
      </c>
      <c r="J114" s="203">
        <f t="shared" si="41"/>
        <v>3270.1</v>
      </c>
      <c r="K114" s="203" t="e">
        <f t="shared" si="41"/>
        <v>#REF!</v>
      </c>
      <c r="L114" s="194">
        <f>J114/H114*100</f>
        <v>42.06349206349206</v>
      </c>
      <c r="M114" s="195"/>
      <c r="N114" s="195"/>
      <c r="O114" s="204">
        <f t="shared" si="27"/>
        <v>44.613768452072364</v>
      </c>
      <c r="P114" s="194">
        <f t="shared" si="24"/>
        <v>60.47341655108645</v>
      </c>
      <c r="Q114" s="80">
        <f t="shared" si="25"/>
        <v>11.215873233639732</v>
      </c>
    </row>
    <row r="115" spans="1:17" ht="24">
      <c r="A115" s="69" t="s">
        <v>208</v>
      </c>
      <c r="B115" s="67"/>
      <c r="C115" s="205" t="s">
        <v>209</v>
      </c>
      <c r="D115" s="197">
        <f t="shared" si="40"/>
        <v>29156</v>
      </c>
      <c r="E115" s="197">
        <f t="shared" si="39"/>
        <v>5407.5</v>
      </c>
      <c r="F115" s="197">
        <f>5070.3+337.2</f>
        <v>5407.5</v>
      </c>
      <c r="G115" s="197">
        <v>8644.5</v>
      </c>
      <c r="H115" s="73">
        <v>7774.2</v>
      </c>
      <c r="I115" s="73">
        <v>7329.8</v>
      </c>
      <c r="J115" s="73">
        <v>3270.1</v>
      </c>
      <c r="K115" s="74" t="e">
        <f>J115/#REF!*100</f>
        <v>#REF!</v>
      </c>
      <c r="L115" s="74">
        <f>J115/H115*100</f>
        <v>42.06349206349206</v>
      </c>
      <c r="M115" s="195"/>
      <c r="N115" s="195"/>
      <c r="O115" s="72">
        <f t="shared" si="27"/>
        <v>44.613768452072364</v>
      </c>
      <c r="P115" s="74">
        <f t="shared" si="24"/>
        <v>60.47341655108645</v>
      </c>
      <c r="Q115" s="73">
        <f t="shared" si="25"/>
        <v>11.215873233639732</v>
      </c>
    </row>
    <row r="116" spans="1:17" ht="12.75">
      <c r="A116" s="77"/>
      <c r="B116" s="78"/>
      <c r="C116" s="79" t="s">
        <v>216</v>
      </c>
      <c r="D116" s="80">
        <f aca="true" t="shared" si="42" ref="D116:J116">D114+D105</f>
        <v>30574.9</v>
      </c>
      <c r="E116" s="80">
        <f t="shared" si="42"/>
        <v>5603.7</v>
      </c>
      <c r="F116" s="80">
        <f t="shared" si="42"/>
        <v>5603.7</v>
      </c>
      <c r="G116" s="80">
        <f t="shared" si="42"/>
        <v>9042.5</v>
      </c>
      <c r="H116" s="80">
        <f t="shared" si="42"/>
        <v>8173.4</v>
      </c>
      <c r="I116" s="80">
        <f t="shared" si="42"/>
        <v>7755.3</v>
      </c>
      <c r="J116" s="80">
        <f t="shared" si="42"/>
        <v>3364.6</v>
      </c>
      <c r="K116" s="194" t="e">
        <f>J116/#REF!*100</f>
        <v>#REF!</v>
      </c>
      <c r="L116" s="194">
        <f>J116/H116*100</f>
        <v>41.16524335038051</v>
      </c>
      <c r="M116" s="195"/>
      <c r="N116" s="209" t="e">
        <f>I116+#REF!+#REF!</f>
        <v>#REF!</v>
      </c>
      <c r="O116" s="204">
        <f t="shared" si="27"/>
        <v>43.384524131884</v>
      </c>
      <c r="P116" s="194">
        <f t="shared" si="24"/>
        <v>60.0424719381837</v>
      </c>
      <c r="Q116" s="80">
        <f t="shared" si="25"/>
        <v>11.004451363700289</v>
      </c>
    </row>
    <row r="117" spans="1:17" ht="12.75">
      <c r="A117" s="210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2"/>
      <c r="M117" s="195"/>
      <c r="N117" s="195"/>
      <c r="O117" s="213"/>
      <c r="P117" s="194"/>
      <c r="Q117" s="80"/>
    </row>
    <row r="118" spans="1:17" ht="12.75">
      <c r="A118" s="214" t="s">
        <v>223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194"/>
      <c r="Q118" s="80"/>
    </row>
    <row r="119" spans="1:17" ht="12.75">
      <c r="A119" s="192" t="s">
        <v>178</v>
      </c>
      <c r="B119" s="192"/>
      <c r="C119" s="193" t="s">
        <v>179</v>
      </c>
      <c r="D119" s="194">
        <f aca="true" t="shared" si="43" ref="D119:J119">D120+D121+D122+D123+D125+D127+D124+D126</f>
        <v>2606.3</v>
      </c>
      <c r="E119" s="194">
        <f t="shared" si="43"/>
        <v>521.2</v>
      </c>
      <c r="F119" s="194">
        <f t="shared" si="43"/>
        <v>521.2</v>
      </c>
      <c r="G119" s="194">
        <f t="shared" si="43"/>
        <v>725.1999999999999</v>
      </c>
      <c r="H119" s="194">
        <f t="shared" si="43"/>
        <v>766.3</v>
      </c>
      <c r="I119" s="194">
        <f t="shared" si="43"/>
        <v>593.5999999999999</v>
      </c>
      <c r="J119" s="194">
        <f t="shared" si="43"/>
        <v>312.8</v>
      </c>
      <c r="K119" s="194" t="e">
        <f>J119/#REF!*100</f>
        <v>#REF!</v>
      </c>
      <c r="L119" s="194">
        <f aca="true" t="shared" si="44" ref="L119:L125">J119/H119*100</f>
        <v>40.81952238026883</v>
      </c>
      <c r="M119" s="195"/>
      <c r="N119" s="195"/>
      <c r="O119" s="194">
        <f t="shared" si="27"/>
        <v>52.69541778975742</v>
      </c>
      <c r="P119" s="194">
        <f t="shared" si="24"/>
        <v>60.0153491941673</v>
      </c>
      <c r="Q119" s="80">
        <f t="shared" si="25"/>
        <v>12.001688217012623</v>
      </c>
    </row>
    <row r="120" spans="1:17" ht="12.75">
      <c r="A120" s="77" t="s">
        <v>180</v>
      </c>
      <c r="B120" s="77"/>
      <c r="C120" s="196" t="s">
        <v>181</v>
      </c>
      <c r="D120" s="197">
        <f>F120+G120+H120+I120</f>
        <v>1884.8</v>
      </c>
      <c r="E120" s="197">
        <f aca="true" t="shared" si="45" ref="E120:E130">F120</f>
        <v>387.2</v>
      </c>
      <c r="F120" s="219">
        <v>387.2</v>
      </c>
      <c r="G120" s="219">
        <v>504.9</v>
      </c>
      <c r="H120" s="72">
        <v>559</v>
      </c>
      <c r="I120" s="73">
        <v>433.7</v>
      </c>
      <c r="J120" s="73">
        <v>158.9</v>
      </c>
      <c r="K120" s="74" t="e">
        <f>J120/#REF!*100</f>
        <v>#REF!</v>
      </c>
      <c r="L120" s="74">
        <f t="shared" si="44"/>
        <v>28.425760286225405</v>
      </c>
      <c r="M120" s="195"/>
      <c r="N120" s="195"/>
      <c r="O120" s="72">
        <f t="shared" si="27"/>
        <v>36.638229190684804</v>
      </c>
      <c r="P120" s="74">
        <f t="shared" si="24"/>
        <v>41.038223140495866</v>
      </c>
      <c r="Q120" s="73">
        <f t="shared" si="25"/>
        <v>8.430602716468591</v>
      </c>
    </row>
    <row r="121" spans="1:17" ht="12.75">
      <c r="A121" s="67" t="s">
        <v>184</v>
      </c>
      <c r="B121" s="67"/>
      <c r="C121" s="196" t="s">
        <v>185</v>
      </c>
      <c r="D121" s="197">
        <f aca="true" t="shared" si="46" ref="D121:D130">F121+G121+H121+I121</f>
        <v>166</v>
      </c>
      <c r="E121" s="197">
        <f t="shared" si="45"/>
        <v>25.5</v>
      </c>
      <c r="F121" s="219">
        <v>25.5</v>
      </c>
      <c r="G121" s="219">
        <v>49.3</v>
      </c>
      <c r="H121" s="72">
        <v>56.8</v>
      </c>
      <c r="I121" s="73">
        <v>34.4</v>
      </c>
      <c r="J121" s="73">
        <v>19.6</v>
      </c>
      <c r="K121" s="74" t="e">
        <f>J121/#REF!*100</f>
        <v>#REF!</v>
      </c>
      <c r="L121" s="74">
        <f t="shared" si="44"/>
        <v>34.50704225352113</v>
      </c>
      <c r="M121" s="195"/>
      <c r="N121" s="195"/>
      <c r="O121" s="72">
        <f t="shared" si="27"/>
        <v>56.976744186046524</v>
      </c>
      <c r="P121" s="74">
        <f t="shared" si="24"/>
        <v>76.86274509803923</v>
      </c>
      <c r="Q121" s="73">
        <f t="shared" si="25"/>
        <v>11.807228915662652</v>
      </c>
    </row>
    <row r="122" spans="1:17" ht="12.75">
      <c r="A122" s="67" t="s">
        <v>186</v>
      </c>
      <c r="B122" s="67"/>
      <c r="C122" s="196" t="s">
        <v>187</v>
      </c>
      <c r="D122" s="197">
        <f t="shared" si="46"/>
        <v>40</v>
      </c>
      <c r="E122" s="197">
        <f t="shared" si="45"/>
        <v>7</v>
      </c>
      <c r="F122" s="219">
        <v>7</v>
      </c>
      <c r="G122" s="219">
        <v>12</v>
      </c>
      <c r="H122" s="72">
        <v>11.6</v>
      </c>
      <c r="I122" s="73">
        <v>9.4</v>
      </c>
      <c r="J122" s="73">
        <v>12.5</v>
      </c>
      <c r="K122" s="74" t="e">
        <f>J122/#REF!*100</f>
        <v>#REF!</v>
      </c>
      <c r="L122" s="74">
        <f t="shared" si="44"/>
        <v>107.75862068965519</v>
      </c>
      <c r="M122" s="195"/>
      <c r="N122" s="195"/>
      <c r="O122" s="72">
        <f t="shared" si="27"/>
        <v>132.9787234042553</v>
      </c>
      <c r="P122" s="74">
        <f t="shared" si="24"/>
        <v>178.57142857142858</v>
      </c>
      <c r="Q122" s="73">
        <f t="shared" si="25"/>
        <v>31.25</v>
      </c>
    </row>
    <row r="123" spans="1:17" ht="24">
      <c r="A123" s="68" t="s">
        <v>190</v>
      </c>
      <c r="B123" s="68"/>
      <c r="C123" s="196" t="s">
        <v>191</v>
      </c>
      <c r="D123" s="197">
        <f t="shared" si="46"/>
        <v>342.5</v>
      </c>
      <c r="E123" s="197">
        <f t="shared" si="45"/>
        <v>65.5</v>
      </c>
      <c r="F123" s="219">
        <v>65.5</v>
      </c>
      <c r="G123" s="219">
        <v>107.4</v>
      </c>
      <c r="H123" s="72">
        <v>93.3</v>
      </c>
      <c r="I123" s="73">
        <v>76.3</v>
      </c>
      <c r="J123" s="73">
        <v>100.5</v>
      </c>
      <c r="K123" s="74" t="e">
        <f>J123/#REF!*100</f>
        <v>#REF!</v>
      </c>
      <c r="L123" s="74">
        <f t="shared" si="44"/>
        <v>107.7170418006431</v>
      </c>
      <c r="M123" s="195"/>
      <c r="N123" s="195"/>
      <c r="O123" s="72">
        <f t="shared" si="27"/>
        <v>131.71690694626474</v>
      </c>
      <c r="P123" s="74">
        <f t="shared" si="24"/>
        <v>153.4351145038168</v>
      </c>
      <c r="Q123" s="73">
        <f t="shared" si="25"/>
        <v>29.343065693430656</v>
      </c>
    </row>
    <row r="124" spans="1:17" ht="24">
      <c r="A124" s="199" t="s">
        <v>194</v>
      </c>
      <c r="B124" s="199"/>
      <c r="C124" s="196" t="s">
        <v>195</v>
      </c>
      <c r="D124" s="197">
        <f t="shared" si="46"/>
        <v>80</v>
      </c>
      <c r="E124" s="197">
        <f t="shared" si="45"/>
        <v>16</v>
      </c>
      <c r="F124" s="219">
        <v>16</v>
      </c>
      <c r="G124" s="219">
        <v>23.7</v>
      </c>
      <c r="H124" s="72">
        <v>21.9</v>
      </c>
      <c r="I124" s="73">
        <v>18.4</v>
      </c>
      <c r="J124" s="73"/>
      <c r="K124" s="74" t="e">
        <f>J124/#REF!*100</f>
        <v>#REF!</v>
      </c>
      <c r="L124" s="74">
        <f t="shared" si="44"/>
        <v>0</v>
      </c>
      <c r="M124" s="195"/>
      <c r="N124" s="195"/>
      <c r="O124" s="72">
        <f t="shared" si="27"/>
        <v>0</v>
      </c>
      <c r="P124" s="74">
        <f t="shared" si="24"/>
        <v>0</v>
      </c>
      <c r="Q124" s="73">
        <f t="shared" si="25"/>
        <v>0</v>
      </c>
    </row>
    <row r="125" spans="1:17" ht="24">
      <c r="A125" s="199" t="s">
        <v>196</v>
      </c>
      <c r="B125" s="199"/>
      <c r="C125" s="196" t="s">
        <v>197</v>
      </c>
      <c r="D125" s="197">
        <f t="shared" si="46"/>
        <v>93</v>
      </c>
      <c r="E125" s="197">
        <f t="shared" si="45"/>
        <v>20</v>
      </c>
      <c r="F125" s="219">
        <v>20</v>
      </c>
      <c r="G125" s="219">
        <v>27.9</v>
      </c>
      <c r="H125" s="72">
        <v>23.7</v>
      </c>
      <c r="I125" s="73">
        <v>21.4</v>
      </c>
      <c r="J125" s="73">
        <v>16</v>
      </c>
      <c r="K125" s="74" t="e">
        <f>J125/#REF!*100</f>
        <v>#REF!</v>
      </c>
      <c r="L125" s="74">
        <f t="shared" si="44"/>
        <v>67.51054852320675</v>
      </c>
      <c r="M125" s="195"/>
      <c r="N125" s="195"/>
      <c r="O125" s="72">
        <f t="shared" si="27"/>
        <v>74.76635514018692</v>
      </c>
      <c r="P125" s="74">
        <f t="shared" si="24"/>
        <v>80</v>
      </c>
      <c r="Q125" s="73">
        <f t="shared" si="25"/>
        <v>17.204301075268816</v>
      </c>
    </row>
    <row r="126" spans="1:17" ht="12.75">
      <c r="A126" s="77" t="s">
        <v>200</v>
      </c>
      <c r="B126" s="77"/>
      <c r="C126" s="196" t="s">
        <v>201</v>
      </c>
      <c r="D126" s="197">
        <f t="shared" si="46"/>
        <v>0</v>
      </c>
      <c r="E126" s="197">
        <f t="shared" si="45"/>
        <v>0</v>
      </c>
      <c r="F126" s="219"/>
      <c r="G126" s="219"/>
      <c r="H126" s="72"/>
      <c r="I126" s="73"/>
      <c r="J126" s="73"/>
      <c r="K126" s="74"/>
      <c r="L126" s="74"/>
      <c r="M126" s="195"/>
      <c r="N126" s="195"/>
      <c r="O126" s="72"/>
      <c r="P126" s="74"/>
      <c r="Q126" s="73"/>
    </row>
    <row r="127" spans="1:17" ht="12.75">
      <c r="A127" s="199" t="s">
        <v>202</v>
      </c>
      <c r="B127" s="237"/>
      <c r="C127" s="71" t="s">
        <v>203</v>
      </c>
      <c r="D127" s="197">
        <f t="shared" si="46"/>
        <v>0</v>
      </c>
      <c r="E127" s="197">
        <f t="shared" si="45"/>
        <v>0</v>
      </c>
      <c r="F127" s="219"/>
      <c r="G127" s="219"/>
      <c r="H127" s="72"/>
      <c r="I127" s="73"/>
      <c r="J127" s="72">
        <v>5.3</v>
      </c>
      <c r="K127" s="74"/>
      <c r="L127" s="74"/>
      <c r="M127" s="195"/>
      <c r="N127" s="195"/>
      <c r="O127" s="72"/>
      <c r="P127" s="74"/>
      <c r="Q127" s="73"/>
    </row>
    <row r="128" spans="1:17" ht="12.75">
      <c r="A128" s="225" t="s">
        <v>206</v>
      </c>
      <c r="B128" s="225"/>
      <c r="C128" s="202" t="s">
        <v>207</v>
      </c>
      <c r="D128" s="203">
        <f aca="true" t="shared" si="47" ref="D128:J128">D129+D130</f>
        <v>43236.1</v>
      </c>
      <c r="E128" s="203">
        <f t="shared" si="47"/>
        <v>8321.6</v>
      </c>
      <c r="F128" s="203">
        <f t="shared" si="47"/>
        <v>8321.6</v>
      </c>
      <c r="G128" s="203">
        <f t="shared" si="47"/>
        <v>13441.6</v>
      </c>
      <c r="H128" s="203">
        <f t="shared" si="47"/>
        <v>12236.8</v>
      </c>
      <c r="I128" s="203">
        <f t="shared" si="47"/>
        <v>9236.1</v>
      </c>
      <c r="J128" s="203">
        <f t="shared" si="47"/>
        <v>4958.5</v>
      </c>
      <c r="K128" s="194" t="e">
        <f>J128/#REF!*100</f>
        <v>#REF!</v>
      </c>
      <c r="L128" s="194">
        <f>J128/H128*100</f>
        <v>40.52121469665273</v>
      </c>
      <c r="M128" s="195"/>
      <c r="N128" s="195"/>
      <c r="O128" s="204">
        <f t="shared" si="27"/>
        <v>53.68607962235142</v>
      </c>
      <c r="P128" s="194">
        <f t="shared" si="24"/>
        <v>59.585896942895594</v>
      </c>
      <c r="Q128" s="80">
        <f t="shared" si="25"/>
        <v>11.468425690568761</v>
      </c>
    </row>
    <row r="129" spans="1:17" ht="24">
      <c r="A129" s="69" t="s">
        <v>208</v>
      </c>
      <c r="B129" s="67"/>
      <c r="C129" s="205" t="s">
        <v>209</v>
      </c>
      <c r="D129" s="197">
        <f t="shared" si="46"/>
        <v>43236.1</v>
      </c>
      <c r="E129" s="197">
        <f t="shared" si="45"/>
        <v>8321.6</v>
      </c>
      <c r="F129" s="219">
        <f>8031.4+290.2</f>
        <v>8321.6</v>
      </c>
      <c r="G129" s="219">
        <v>13441.6</v>
      </c>
      <c r="H129" s="72">
        <v>12236.8</v>
      </c>
      <c r="I129" s="73">
        <v>9236.1</v>
      </c>
      <c r="J129" s="73">
        <v>4958.5</v>
      </c>
      <c r="K129" s="74" t="e">
        <f>J129/#REF!*100</f>
        <v>#REF!</v>
      </c>
      <c r="L129" s="74">
        <f>J129/H129*100</f>
        <v>40.52121469665273</v>
      </c>
      <c r="M129" s="195"/>
      <c r="N129" s="195"/>
      <c r="O129" s="72">
        <f t="shared" si="27"/>
        <v>53.68607962235142</v>
      </c>
      <c r="P129" s="74">
        <f t="shared" si="24"/>
        <v>59.585896942895594</v>
      </c>
      <c r="Q129" s="73">
        <f t="shared" si="25"/>
        <v>11.468425690568761</v>
      </c>
    </row>
    <row r="130" spans="1:17" ht="12.75">
      <c r="A130" s="69" t="s">
        <v>210</v>
      </c>
      <c r="B130" s="69"/>
      <c r="C130" s="206" t="s">
        <v>211</v>
      </c>
      <c r="D130" s="197">
        <f t="shared" si="46"/>
        <v>0</v>
      </c>
      <c r="E130" s="197">
        <f t="shared" si="45"/>
        <v>0</v>
      </c>
      <c r="F130" s="235"/>
      <c r="G130" s="235"/>
      <c r="H130" s="72"/>
      <c r="I130" s="73"/>
      <c r="J130" s="73"/>
      <c r="K130" s="74"/>
      <c r="L130" s="74"/>
      <c r="M130" s="195"/>
      <c r="N130" s="195"/>
      <c r="O130" s="72" t="e">
        <f t="shared" si="27"/>
        <v>#DIV/0!</v>
      </c>
      <c r="P130" s="74"/>
      <c r="Q130" s="73"/>
    </row>
    <row r="131" spans="1:17" ht="12.75">
      <c r="A131" s="77"/>
      <c r="B131" s="78"/>
      <c r="C131" s="79" t="s">
        <v>216</v>
      </c>
      <c r="D131" s="80">
        <f aca="true" t="shared" si="48" ref="D131:J131">D128+D119</f>
        <v>45842.4</v>
      </c>
      <c r="E131" s="80">
        <f t="shared" si="48"/>
        <v>8842.800000000001</v>
      </c>
      <c r="F131" s="204">
        <f t="shared" si="48"/>
        <v>8842.800000000001</v>
      </c>
      <c r="G131" s="204">
        <f t="shared" si="48"/>
        <v>14166.800000000001</v>
      </c>
      <c r="H131" s="204">
        <f t="shared" si="48"/>
        <v>13003.099999999999</v>
      </c>
      <c r="I131" s="80">
        <f t="shared" si="48"/>
        <v>9829.7</v>
      </c>
      <c r="J131" s="80">
        <f t="shared" si="48"/>
        <v>5271.3</v>
      </c>
      <c r="K131" s="194" t="e">
        <f>J131/#REF!*100</f>
        <v>#REF!</v>
      </c>
      <c r="L131" s="194">
        <f>J131/H131*100</f>
        <v>40.538794595135016</v>
      </c>
      <c r="M131" s="195"/>
      <c r="N131" s="209" t="e">
        <f>I131+#REF!+#REF!</f>
        <v>#REF!</v>
      </c>
      <c r="O131" s="204">
        <f t="shared" si="27"/>
        <v>53.626255124774914</v>
      </c>
      <c r="P131" s="194">
        <f t="shared" si="24"/>
        <v>59.61120911928348</v>
      </c>
      <c r="Q131" s="80">
        <f t="shared" si="25"/>
        <v>11.498743521281607</v>
      </c>
    </row>
    <row r="132" spans="1:17" ht="12.75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2"/>
      <c r="M132" s="195"/>
      <c r="N132" s="195"/>
      <c r="O132" s="213"/>
      <c r="P132" s="194"/>
      <c r="Q132" s="80"/>
    </row>
    <row r="133" spans="1:17" ht="12.75">
      <c r="A133" s="214" t="s">
        <v>224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194"/>
      <c r="Q133" s="80"/>
    </row>
    <row r="134" spans="1:17" ht="12.75">
      <c r="A134" s="192" t="s">
        <v>178</v>
      </c>
      <c r="B134" s="192"/>
      <c r="C134" s="193" t="s">
        <v>179</v>
      </c>
      <c r="D134" s="194">
        <f aca="true" t="shared" si="49" ref="D134:J134">D135+D137+D139+D141+D138+D142+D140+D143+D136</f>
        <v>14576.5</v>
      </c>
      <c r="E134" s="194">
        <f t="shared" si="49"/>
        <v>3105.5</v>
      </c>
      <c r="F134" s="194">
        <f t="shared" si="49"/>
        <v>3105.5</v>
      </c>
      <c r="G134" s="194">
        <f t="shared" si="49"/>
        <v>3837.6</v>
      </c>
      <c r="H134" s="194">
        <f t="shared" si="49"/>
        <v>4267.1</v>
      </c>
      <c r="I134" s="194">
        <f t="shared" si="49"/>
        <v>3366.3</v>
      </c>
      <c r="J134" s="194">
        <f t="shared" si="49"/>
        <v>1590.1000000000001</v>
      </c>
      <c r="K134" s="194" t="e">
        <f>J134/#REF!*100</f>
        <v>#REF!</v>
      </c>
      <c r="L134" s="194">
        <f>J134/H134*100</f>
        <v>37.264184106301705</v>
      </c>
      <c r="M134" s="195"/>
      <c r="N134" s="195"/>
      <c r="O134" s="194">
        <f t="shared" si="27"/>
        <v>47.23583756646763</v>
      </c>
      <c r="P134" s="194">
        <f t="shared" si="24"/>
        <v>51.20270487844147</v>
      </c>
      <c r="Q134" s="80">
        <f t="shared" si="25"/>
        <v>10.908654340891161</v>
      </c>
    </row>
    <row r="135" spans="1:17" ht="12.75">
      <c r="A135" s="77" t="s">
        <v>180</v>
      </c>
      <c r="B135" s="77"/>
      <c r="C135" s="196" t="s">
        <v>181</v>
      </c>
      <c r="D135" s="219">
        <f>F135+G135+H135+I135</f>
        <v>13125</v>
      </c>
      <c r="E135" s="219">
        <f aca="true" t="shared" si="50" ref="E135:E146">F135</f>
        <v>2750</v>
      </c>
      <c r="F135" s="219">
        <v>2750</v>
      </c>
      <c r="G135" s="219">
        <v>3475</v>
      </c>
      <c r="H135" s="72">
        <v>3900</v>
      </c>
      <c r="I135" s="73">
        <v>3000</v>
      </c>
      <c r="J135" s="73">
        <v>1523.1</v>
      </c>
      <c r="K135" s="74" t="e">
        <f>J135/#REF!*100</f>
        <v>#REF!</v>
      </c>
      <c r="L135" s="74">
        <f>J135/H135*100</f>
        <v>39.05384615384615</v>
      </c>
      <c r="M135" s="195"/>
      <c r="N135" s="195"/>
      <c r="O135" s="72">
        <f t="shared" si="27"/>
        <v>50.77</v>
      </c>
      <c r="P135" s="74">
        <f t="shared" si="24"/>
        <v>55.38545454545454</v>
      </c>
      <c r="Q135" s="73">
        <f t="shared" si="25"/>
        <v>11.604571428571429</v>
      </c>
    </row>
    <row r="136" spans="1:17" ht="12.75">
      <c r="A136" s="67" t="s">
        <v>182</v>
      </c>
      <c r="B136" s="67"/>
      <c r="C136" s="196" t="s">
        <v>183</v>
      </c>
      <c r="D136" s="219">
        <f aca="true" t="shared" si="51" ref="D136:D146">F136+G136+H136+I136</f>
        <v>0</v>
      </c>
      <c r="E136" s="219">
        <f t="shared" si="50"/>
        <v>0</v>
      </c>
      <c r="F136" s="219"/>
      <c r="G136" s="219"/>
      <c r="H136" s="72"/>
      <c r="I136" s="73"/>
      <c r="J136" s="73"/>
      <c r="K136" s="74"/>
      <c r="L136" s="74"/>
      <c r="M136" s="195"/>
      <c r="N136" s="195"/>
      <c r="O136" s="72" t="e">
        <f t="shared" si="27"/>
        <v>#DIV/0!</v>
      </c>
      <c r="P136" s="74"/>
      <c r="Q136" s="73"/>
    </row>
    <row r="137" spans="1:17" ht="12.75">
      <c r="A137" s="67" t="s">
        <v>184</v>
      </c>
      <c r="B137" s="67"/>
      <c r="C137" s="196" t="s">
        <v>185</v>
      </c>
      <c r="D137" s="219">
        <f t="shared" si="51"/>
        <v>387</v>
      </c>
      <c r="E137" s="219">
        <f t="shared" si="50"/>
        <v>95.5</v>
      </c>
      <c r="F137" s="219">
        <v>95.5</v>
      </c>
      <c r="G137" s="219">
        <v>95.5</v>
      </c>
      <c r="H137" s="72">
        <v>98.5</v>
      </c>
      <c r="I137" s="73">
        <v>97.5</v>
      </c>
      <c r="J137" s="73">
        <v>22.4</v>
      </c>
      <c r="K137" s="74" t="e">
        <f>J137/#REF!*100</f>
        <v>#REF!</v>
      </c>
      <c r="L137" s="74">
        <f>J137/H137*100</f>
        <v>22.741116751269033</v>
      </c>
      <c r="M137" s="195"/>
      <c r="N137" s="195"/>
      <c r="O137" s="72">
        <f t="shared" si="27"/>
        <v>22.974358974358974</v>
      </c>
      <c r="P137" s="74">
        <f aca="true" t="shared" si="52" ref="P137:P199">J137*100/E137</f>
        <v>23.455497382198953</v>
      </c>
      <c r="Q137" s="73">
        <f aca="true" t="shared" si="53" ref="Q137:Q199">J137*100/D137</f>
        <v>5.7881136950904395</v>
      </c>
    </row>
    <row r="138" spans="1:17" ht="12.75">
      <c r="A138" s="67" t="s">
        <v>186</v>
      </c>
      <c r="B138" s="67"/>
      <c r="C138" s="196" t="s">
        <v>187</v>
      </c>
      <c r="D138" s="219">
        <f t="shared" si="51"/>
        <v>123</v>
      </c>
      <c r="E138" s="219">
        <f t="shared" si="50"/>
        <v>30</v>
      </c>
      <c r="F138" s="219">
        <v>30</v>
      </c>
      <c r="G138" s="219">
        <v>31</v>
      </c>
      <c r="H138" s="72">
        <v>32</v>
      </c>
      <c r="I138" s="73">
        <v>30</v>
      </c>
      <c r="J138" s="73">
        <v>16.4</v>
      </c>
      <c r="K138" s="74" t="e">
        <f>J138/#REF!*100</f>
        <v>#REF!</v>
      </c>
      <c r="L138" s="74">
        <f>J138/H138*100</f>
        <v>51.24999999999999</v>
      </c>
      <c r="M138" s="195"/>
      <c r="N138" s="195"/>
      <c r="O138" s="72">
        <f t="shared" si="27"/>
        <v>54.66666666666666</v>
      </c>
      <c r="P138" s="74">
        <f t="shared" si="52"/>
        <v>54.66666666666666</v>
      </c>
      <c r="Q138" s="73">
        <f t="shared" si="53"/>
        <v>13.333333333333332</v>
      </c>
    </row>
    <row r="139" spans="1:17" ht="24">
      <c r="A139" s="68" t="s">
        <v>190</v>
      </c>
      <c r="B139" s="68"/>
      <c r="C139" s="196" t="s">
        <v>191</v>
      </c>
      <c r="D139" s="219">
        <f t="shared" si="51"/>
        <v>870.5</v>
      </c>
      <c r="E139" s="219">
        <f t="shared" si="50"/>
        <v>213</v>
      </c>
      <c r="F139" s="219">
        <v>213</v>
      </c>
      <c r="G139" s="219">
        <v>218.1</v>
      </c>
      <c r="H139" s="72">
        <v>218.6</v>
      </c>
      <c r="I139" s="73">
        <v>220.8</v>
      </c>
      <c r="J139" s="73">
        <v>26.9</v>
      </c>
      <c r="K139" s="74" t="e">
        <f>J139/#REF!*100</f>
        <v>#REF!</v>
      </c>
      <c r="L139" s="74">
        <f>J139/H139*100</f>
        <v>12.305580969807869</v>
      </c>
      <c r="M139" s="195"/>
      <c r="N139" s="195"/>
      <c r="O139" s="72">
        <f t="shared" si="27"/>
        <v>12.182971014492754</v>
      </c>
      <c r="P139" s="74">
        <f t="shared" si="52"/>
        <v>12.629107981220658</v>
      </c>
      <c r="Q139" s="73">
        <f t="shared" si="53"/>
        <v>3.090178058587019</v>
      </c>
    </row>
    <row r="140" spans="1:17" ht="24">
      <c r="A140" s="199" t="s">
        <v>194</v>
      </c>
      <c r="B140" s="199"/>
      <c r="C140" s="196" t="s">
        <v>195</v>
      </c>
      <c r="D140" s="219">
        <f t="shared" si="51"/>
        <v>0</v>
      </c>
      <c r="E140" s="219">
        <f t="shared" si="50"/>
        <v>0</v>
      </c>
      <c r="F140" s="219"/>
      <c r="G140" s="219"/>
      <c r="H140" s="72"/>
      <c r="I140" s="73"/>
      <c r="J140" s="73"/>
      <c r="K140" s="74"/>
      <c r="L140" s="74"/>
      <c r="M140" s="195"/>
      <c r="N140" s="195"/>
      <c r="O140" s="72" t="e">
        <f aca="true" t="shared" si="54" ref="O140:O203">J140*100/I140</f>
        <v>#DIV/0!</v>
      </c>
      <c r="P140" s="74" t="e">
        <f t="shared" si="52"/>
        <v>#DIV/0!</v>
      </c>
      <c r="Q140" s="73" t="e">
        <f t="shared" si="53"/>
        <v>#DIV/0!</v>
      </c>
    </row>
    <row r="141" spans="1:17" ht="24">
      <c r="A141" s="198" t="s">
        <v>196</v>
      </c>
      <c r="B141" s="198"/>
      <c r="C141" s="196" t="s">
        <v>197</v>
      </c>
      <c r="D141" s="219">
        <f t="shared" si="51"/>
        <v>71</v>
      </c>
      <c r="E141" s="219">
        <f t="shared" si="50"/>
        <v>17</v>
      </c>
      <c r="F141" s="219">
        <v>17</v>
      </c>
      <c r="G141" s="219">
        <v>18</v>
      </c>
      <c r="H141" s="72">
        <v>18</v>
      </c>
      <c r="I141" s="73">
        <v>18</v>
      </c>
      <c r="J141" s="73">
        <v>1.3</v>
      </c>
      <c r="K141" s="74" t="e">
        <f>J141/#REF!*100</f>
        <v>#REF!</v>
      </c>
      <c r="L141" s="74">
        <f>J141/H141*100</f>
        <v>7.222222222222223</v>
      </c>
      <c r="M141" s="195"/>
      <c r="N141" s="195"/>
      <c r="O141" s="72">
        <f t="shared" si="54"/>
        <v>7.222222222222222</v>
      </c>
      <c r="P141" s="74">
        <f t="shared" si="52"/>
        <v>7.647058823529412</v>
      </c>
      <c r="Q141" s="73">
        <f t="shared" si="53"/>
        <v>1.8309859154929577</v>
      </c>
    </row>
    <row r="142" spans="1:17" ht="12.75">
      <c r="A142" s="77" t="s">
        <v>200</v>
      </c>
      <c r="B142" s="77"/>
      <c r="C142" s="196" t="s">
        <v>201</v>
      </c>
      <c r="D142" s="219">
        <f t="shared" si="51"/>
        <v>0</v>
      </c>
      <c r="E142" s="219">
        <f t="shared" si="50"/>
        <v>0</v>
      </c>
      <c r="F142" s="219"/>
      <c r="G142" s="219"/>
      <c r="H142" s="72"/>
      <c r="I142" s="73"/>
      <c r="J142" s="73"/>
      <c r="K142" s="74" t="e">
        <f>J142/#REF!*100</f>
        <v>#REF!</v>
      </c>
      <c r="L142" s="74"/>
      <c r="M142" s="195"/>
      <c r="N142" s="195"/>
      <c r="O142" s="72" t="e">
        <f t="shared" si="54"/>
        <v>#DIV/0!</v>
      </c>
      <c r="P142" s="74"/>
      <c r="Q142" s="73"/>
    </row>
    <row r="143" spans="1:17" ht="12.75">
      <c r="A143" s="198" t="s">
        <v>202</v>
      </c>
      <c r="B143" s="243"/>
      <c r="C143" s="71" t="s">
        <v>203</v>
      </c>
      <c r="D143" s="219">
        <f t="shared" si="51"/>
        <v>0</v>
      </c>
      <c r="E143" s="219">
        <f t="shared" si="50"/>
        <v>0</v>
      </c>
      <c r="F143" s="238"/>
      <c r="G143" s="238"/>
      <c r="H143" s="72"/>
      <c r="I143" s="73"/>
      <c r="J143" s="73"/>
      <c r="K143" s="74"/>
      <c r="L143" s="74"/>
      <c r="M143" s="195"/>
      <c r="N143" s="195"/>
      <c r="O143" s="72" t="e">
        <f t="shared" si="54"/>
        <v>#DIV/0!</v>
      </c>
      <c r="P143" s="194" t="e">
        <f t="shared" si="52"/>
        <v>#DIV/0!</v>
      </c>
      <c r="Q143" s="80" t="e">
        <f t="shared" si="53"/>
        <v>#DIV/0!</v>
      </c>
    </row>
    <row r="144" spans="1:17" ht="12.75">
      <c r="A144" s="198" t="s">
        <v>204</v>
      </c>
      <c r="B144" s="243"/>
      <c r="C144" s="71" t="s">
        <v>205</v>
      </c>
      <c r="D144" s="219" t="e">
        <f t="shared" si="51"/>
        <v>#REF!</v>
      </c>
      <c r="E144" s="219">
        <f t="shared" si="50"/>
        <v>0</v>
      </c>
      <c r="F144" s="238"/>
      <c r="G144" s="238"/>
      <c r="H144" s="72" t="e">
        <f>I144+#REF!+#REF!+#REF!</f>
        <v>#REF!</v>
      </c>
      <c r="I144" s="73"/>
      <c r="J144" s="73"/>
      <c r="K144" s="194"/>
      <c r="L144" s="194"/>
      <c r="M144" s="195"/>
      <c r="N144" s="195"/>
      <c r="O144" s="72" t="e">
        <f t="shared" si="54"/>
        <v>#DIV/0!</v>
      </c>
      <c r="P144" s="194" t="e">
        <f t="shared" si="52"/>
        <v>#DIV/0!</v>
      </c>
      <c r="Q144" s="80" t="e">
        <f t="shared" si="53"/>
        <v>#REF!</v>
      </c>
    </row>
    <row r="145" spans="1:17" ht="12.75">
      <c r="A145" s="192" t="s">
        <v>206</v>
      </c>
      <c r="B145" s="192"/>
      <c r="C145" s="202" t="s">
        <v>207</v>
      </c>
      <c r="D145" s="203">
        <f aca="true" t="shared" si="55" ref="D145:J145">D146</f>
        <v>28111.9</v>
      </c>
      <c r="E145" s="203">
        <f t="shared" si="55"/>
        <v>5828.8</v>
      </c>
      <c r="F145" s="203">
        <f t="shared" si="55"/>
        <v>5828.8</v>
      </c>
      <c r="G145" s="203">
        <f t="shared" si="55"/>
        <v>7200.2</v>
      </c>
      <c r="H145" s="203">
        <f t="shared" si="55"/>
        <v>7602.8</v>
      </c>
      <c r="I145" s="203">
        <f t="shared" si="55"/>
        <v>7480.1</v>
      </c>
      <c r="J145" s="203">
        <f t="shared" si="55"/>
        <v>4247.9</v>
      </c>
      <c r="K145" s="194" t="e">
        <f>J145/#REF!*100</f>
        <v>#REF!</v>
      </c>
      <c r="L145" s="194">
        <f>J145/H145*100</f>
        <v>55.87283632345977</v>
      </c>
      <c r="M145" s="195"/>
      <c r="N145" s="195"/>
      <c r="O145" s="204">
        <f t="shared" si="54"/>
        <v>56.78934773599283</v>
      </c>
      <c r="P145" s="194">
        <f t="shared" si="52"/>
        <v>72.87777930277242</v>
      </c>
      <c r="Q145" s="80">
        <f t="shared" si="53"/>
        <v>15.11068266463668</v>
      </c>
    </row>
    <row r="146" spans="1:17" ht="24">
      <c r="A146" s="69" t="s">
        <v>208</v>
      </c>
      <c r="B146" s="67"/>
      <c r="C146" s="205" t="s">
        <v>209</v>
      </c>
      <c r="D146" s="219">
        <f t="shared" si="51"/>
        <v>28111.9</v>
      </c>
      <c r="E146" s="219">
        <f t="shared" si="50"/>
        <v>5828.8</v>
      </c>
      <c r="F146" s="219">
        <f>5307.8+521</f>
        <v>5828.8</v>
      </c>
      <c r="G146" s="219">
        <v>7200.2</v>
      </c>
      <c r="H146" s="72">
        <v>7602.8</v>
      </c>
      <c r="I146" s="73">
        <v>7480.1</v>
      </c>
      <c r="J146" s="73">
        <v>4247.9</v>
      </c>
      <c r="K146" s="74" t="e">
        <f>J146/#REF!*100</f>
        <v>#REF!</v>
      </c>
      <c r="L146" s="74">
        <f>J146/H146*100</f>
        <v>55.87283632345977</v>
      </c>
      <c r="M146" s="195"/>
      <c r="N146" s="195"/>
      <c r="O146" s="72">
        <f t="shared" si="54"/>
        <v>56.78934773599283</v>
      </c>
      <c r="P146" s="74">
        <f t="shared" si="52"/>
        <v>72.87777930277242</v>
      </c>
      <c r="Q146" s="73">
        <f t="shared" si="53"/>
        <v>15.11068266463668</v>
      </c>
    </row>
    <row r="147" spans="1:17" ht="12.75">
      <c r="A147" s="77"/>
      <c r="B147" s="78"/>
      <c r="C147" s="79" t="s">
        <v>216</v>
      </c>
      <c r="D147" s="80">
        <f aca="true" t="shared" si="56" ref="D147:J147">D145+D134</f>
        <v>42688.4</v>
      </c>
      <c r="E147" s="80">
        <f t="shared" si="56"/>
        <v>8934.3</v>
      </c>
      <c r="F147" s="80">
        <f t="shared" si="56"/>
        <v>8934.3</v>
      </c>
      <c r="G147" s="80">
        <f t="shared" si="56"/>
        <v>11037.8</v>
      </c>
      <c r="H147" s="80">
        <f t="shared" si="56"/>
        <v>11869.900000000001</v>
      </c>
      <c r="I147" s="80">
        <f t="shared" si="56"/>
        <v>10846.400000000001</v>
      </c>
      <c r="J147" s="80">
        <f t="shared" si="56"/>
        <v>5838</v>
      </c>
      <c r="K147" s="194" t="e">
        <f>J147/#REF!*100</f>
        <v>#REF!</v>
      </c>
      <c r="L147" s="194">
        <f>J147/H147*100</f>
        <v>49.18322816535943</v>
      </c>
      <c r="M147" s="195"/>
      <c r="N147" s="209" t="e">
        <f>I147+#REF!+#REF!</f>
        <v>#REF!</v>
      </c>
      <c r="O147" s="204">
        <f t="shared" si="54"/>
        <v>53.824310370261095</v>
      </c>
      <c r="P147" s="194">
        <f t="shared" si="52"/>
        <v>65.34367549780062</v>
      </c>
      <c r="Q147" s="80">
        <f t="shared" si="53"/>
        <v>13.675846365757442</v>
      </c>
    </row>
    <row r="148" spans="1:17" ht="12.75">
      <c r="A148" s="210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2"/>
      <c r="M148" s="195"/>
      <c r="N148" s="195"/>
      <c r="O148" s="213"/>
      <c r="P148" s="194"/>
      <c r="Q148" s="80"/>
    </row>
    <row r="149" spans="1:17" ht="12.75">
      <c r="A149" s="214" t="s">
        <v>225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194"/>
      <c r="Q149" s="80"/>
    </row>
    <row r="150" spans="1:17" ht="12.75">
      <c r="A150" s="192" t="s">
        <v>178</v>
      </c>
      <c r="B150" s="192"/>
      <c r="C150" s="193" t="s">
        <v>179</v>
      </c>
      <c r="D150" s="194">
        <f aca="true" t="shared" si="57" ref="D150:J150">D151+D152+D153+D154+D156+D157+D158+D155</f>
        <v>3415.5</v>
      </c>
      <c r="E150" s="194">
        <f t="shared" si="57"/>
        <v>686</v>
      </c>
      <c r="F150" s="194">
        <f t="shared" si="57"/>
        <v>686</v>
      </c>
      <c r="G150" s="194">
        <f t="shared" si="57"/>
        <v>963</v>
      </c>
      <c r="H150" s="194">
        <f t="shared" si="57"/>
        <v>861</v>
      </c>
      <c r="I150" s="194">
        <f t="shared" si="57"/>
        <v>905.5</v>
      </c>
      <c r="J150" s="194">
        <f t="shared" si="57"/>
        <v>566.8</v>
      </c>
      <c r="K150" s="194" t="e">
        <f>J150/#REF!*100</f>
        <v>#REF!</v>
      </c>
      <c r="L150" s="194">
        <f aca="true" t="shared" si="58" ref="L150:L156">J150/H150*100</f>
        <v>65.83042973286875</v>
      </c>
      <c r="M150" s="195"/>
      <c r="N150" s="195"/>
      <c r="O150" s="194">
        <f t="shared" si="54"/>
        <v>62.5952512424075</v>
      </c>
      <c r="P150" s="194">
        <f t="shared" si="52"/>
        <v>82.62390670553935</v>
      </c>
      <c r="Q150" s="80">
        <f t="shared" si="53"/>
        <v>16.594934855804418</v>
      </c>
    </row>
    <row r="151" spans="1:17" ht="12.75">
      <c r="A151" s="77" t="s">
        <v>180</v>
      </c>
      <c r="B151" s="77"/>
      <c r="C151" s="196" t="s">
        <v>181</v>
      </c>
      <c r="D151" s="219">
        <f>F151+G151+H151+I151</f>
        <v>2940</v>
      </c>
      <c r="E151" s="197">
        <f aca="true" t="shared" si="59" ref="E151:E161">F151</f>
        <v>550</v>
      </c>
      <c r="F151" s="197">
        <v>550</v>
      </c>
      <c r="G151" s="197">
        <v>870</v>
      </c>
      <c r="H151" s="72">
        <v>750</v>
      </c>
      <c r="I151" s="73">
        <v>770</v>
      </c>
      <c r="J151" s="73">
        <v>432.1</v>
      </c>
      <c r="K151" s="74" t="e">
        <f>J151/#REF!*100</f>
        <v>#REF!</v>
      </c>
      <c r="L151" s="74">
        <f t="shared" si="58"/>
        <v>57.61333333333334</v>
      </c>
      <c r="M151" s="195"/>
      <c r="N151" s="195"/>
      <c r="O151" s="72">
        <f t="shared" si="54"/>
        <v>56.116883116883116</v>
      </c>
      <c r="P151" s="74">
        <f t="shared" si="52"/>
        <v>78.56363636363636</v>
      </c>
      <c r="Q151" s="73">
        <f t="shared" si="53"/>
        <v>14.697278911564625</v>
      </c>
    </row>
    <row r="152" spans="1:17" ht="12.75">
      <c r="A152" s="67" t="s">
        <v>184</v>
      </c>
      <c r="B152" s="67"/>
      <c r="C152" s="196" t="s">
        <v>185</v>
      </c>
      <c r="D152" s="219">
        <f aca="true" t="shared" si="60" ref="D152:D160">F152+G152+H152+I152</f>
        <v>252</v>
      </c>
      <c r="E152" s="197">
        <f t="shared" si="59"/>
        <v>46</v>
      </c>
      <c r="F152" s="197">
        <v>46</v>
      </c>
      <c r="G152" s="197">
        <v>47</v>
      </c>
      <c r="H152" s="72">
        <v>66</v>
      </c>
      <c r="I152" s="73">
        <v>93</v>
      </c>
      <c r="J152" s="73">
        <v>49</v>
      </c>
      <c r="K152" s="74" t="e">
        <f>J152/#REF!*100</f>
        <v>#REF!</v>
      </c>
      <c r="L152" s="74">
        <f t="shared" si="58"/>
        <v>74.24242424242425</v>
      </c>
      <c r="M152" s="195"/>
      <c r="N152" s="195"/>
      <c r="O152" s="72">
        <f t="shared" si="54"/>
        <v>52.68817204301075</v>
      </c>
      <c r="P152" s="74">
        <f t="shared" si="52"/>
        <v>106.52173913043478</v>
      </c>
      <c r="Q152" s="73">
        <f t="shared" si="53"/>
        <v>19.444444444444443</v>
      </c>
    </row>
    <row r="153" spans="1:17" ht="12.75">
      <c r="A153" s="67" t="s">
        <v>186</v>
      </c>
      <c r="B153" s="67"/>
      <c r="C153" s="196" t="s">
        <v>187</v>
      </c>
      <c r="D153" s="219">
        <f t="shared" si="60"/>
        <v>47</v>
      </c>
      <c r="E153" s="197">
        <f t="shared" si="59"/>
        <v>8</v>
      </c>
      <c r="F153" s="197">
        <v>8</v>
      </c>
      <c r="G153" s="197">
        <v>14</v>
      </c>
      <c r="H153" s="72">
        <v>13</v>
      </c>
      <c r="I153" s="73">
        <v>12</v>
      </c>
      <c r="J153" s="73">
        <v>14.4</v>
      </c>
      <c r="K153" s="74" t="e">
        <f>J153/#REF!*100</f>
        <v>#REF!</v>
      </c>
      <c r="L153" s="74">
        <f t="shared" si="58"/>
        <v>110.76923076923077</v>
      </c>
      <c r="M153" s="195"/>
      <c r="N153" s="195"/>
      <c r="O153" s="72">
        <f t="shared" si="54"/>
        <v>120</v>
      </c>
      <c r="P153" s="74">
        <f t="shared" si="52"/>
        <v>180</v>
      </c>
      <c r="Q153" s="73">
        <f t="shared" si="53"/>
        <v>30.638297872340427</v>
      </c>
    </row>
    <row r="154" spans="1:17" ht="24">
      <c r="A154" s="68" t="s">
        <v>190</v>
      </c>
      <c r="B154" s="68"/>
      <c r="C154" s="196" t="s">
        <v>191</v>
      </c>
      <c r="D154" s="219">
        <f t="shared" si="60"/>
        <v>98</v>
      </c>
      <c r="E154" s="197">
        <f t="shared" si="59"/>
        <v>62</v>
      </c>
      <c r="F154" s="197">
        <v>62</v>
      </c>
      <c r="G154" s="197">
        <v>12</v>
      </c>
      <c r="H154" s="72">
        <v>12</v>
      </c>
      <c r="I154" s="73">
        <v>12</v>
      </c>
      <c r="J154" s="73">
        <v>45.8</v>
      </c>
      <c r="K154" s="74" t="e">
        <f>J154/#REF!*100</f>
        <v>#REF!</v>
      </c>
      <c r="L154" s="74">
        <f t="shared" si="58"/>
        <v>381.66666666666663</v>
      </c>
      <c r="M154" s="195"/>
      <c r="N154" s="195"/>
      <c r="O154" s="72">
        <f t="shared" si="54"/>
        <v>381.6666666666667</v>
      </c>
      <c r="P154" s="74">
        <f t="shared" si="52"/>
        <v>73.87096774193549</v>
      </c>
      <c r="Q154" s="73">
        <f t="shared" si="53"/>
        <v>46.734693877551024</v>
      </c>
    </row>
    <row r="155" spans="1:17" ht="24">
      <c r="A155" s="199" t="s">
        <v>194</v>
      </c>
      <c r="B155" s="199"/>
      <c r="C155" s="196" t="s">
        <v>195</v>
      </c>
      <c r="D155" s="219">
        <f t="shared" si="60"/>
        <v>60</v>
      </c>
      <c r="E155" s="197">
        <f t="shared" si="59"/>
        <v>15</v>
      </c>
      <c r="F155" s="197">
        <v>15</v>
      </c>
      <c r="G155" s="197">
        <v>15</v>
      </c>
      <c r="H155" s="72">
        <v>15</v>
      </c>
      <c r="I155" s="73">
        <v>15</v>
      </c>
      <c r="J155" s="73">
        <v>19.8</v>
      </c>
      <c r="K155" s="74" t="e">
        <f>J155/#REF!*100</f>
        <v>#REF!</v>
      </c>
      <c r="L155" s="74">
        <f t="shared" si="58"/>
        <v>132</v>
      </c>
      <c r="M155" s="195"/>
      <c r="N155" s="195"/>
      <c r="O155" s="72">
        <f t="shared" si="54"/>
        <v>132</v>
      </c>
      <c r="P155" s="74">
        <f t="shared" si="52"/>
        <v>132</v>
      </c>
      <c r="Q155" s="73">
        <f t="shared" si="53"/>
        <v>33</v>
      </c>
    </row>
    <row r="156" spans="1:17" ht="24">
      <c r="A156" s="198" t="s">
        <v>196</v>
      </c>
      <c r="B156" s="198"/>
      <c r="C156" s="196" t="s">
        <v>197</v>
      </c>
      <c r="D156" s="219">
        <f t="shared" si="60"/>
        <v>18.5</v>
      </c>
      <c r="E156" s="197">
        <f t="shared" si="59"/>
        <v>5</v>
      </c>
      <c r="F156" s="197">
        <v>5</v>
      </c>
      <c r="G156" s="197">
        <v>5</v>
      </c>
      <c r="H156" s="72">
        <v>5</v>
      </c>
      <c r="I156" s="73">
        <v>3.5</v>
      </c>
      <c r="J156" s="73">
        <v>5.7</v>
      </c>
      <c r="K156" s="74" t="e">
        <f>J156/#REF!*100</f>
        <v>#REF!</v>
      </c>
      <c r="L156" s="74">
        <f t="shared" si="58"/>
        <v>114.00000000000001</v>
      </c>
      <c r="M156" s="195"/>
      <c r="N156" s="195"/>
      <c r="O156" s="72">
        <f t="shared" si="54"/>
        <v>162.85714285714286</v>
      </c>
      <c r="P156" s="74">
        <f t="shared" si="52"/>
        <v>114</v>
      </c>
      <c r="Q156" s="73">
        <f t="shared" si="53"/>
        <v>30.81081081081081</v>
      </c>
    </row>
    <row r="157" spans="1:17" ht="12.75">
      <c r="A157" s="77" t="s">
        <v>200</v>
      </c>
      <c r="B157" s="77"/>
      <c r="C157" s="196" t="s">
        <v>201</v>
      </c>
      <c r="D157" s="219">
        <f t="shared" si="60"/>
        <v>0</v>
      </c>
      <c r="E157" s="197">
        <f t="shared" si="59"/>
        <v>0</v>
      </c>
      <c r="F157" s="197"/>
      <c r="G157" s="197"/>
      <c r="H157" s="72"/>
      <c r="I157" s="73"/>
      <c r="J157" s="73"/>
      <c r="K157" s="74"/>
      <c r="L157" s="74"/>
      <c r="M157" s="195"/>
      <c r="N157" s="195"/>
      <c r="O157" s="72" t="e">
        <f t="shared" si="54"/>
        <v>#DIV/0!</v>
      </c>
      <c r="P157" s="194" t="e">
        <f t="shared" si="52"/>
        <v>#DIV/0!</v>
      </c>
      <c r="Q157" s="80" t="e">
        <f t="shared" si="53"/>
        <v>#DIV/0!</v>
      </c>
    </row>
    <row r="158" spans="1:17" ht="12.75">
      <c r="A158" s="224" t="s">
        <v>202</v>
      </c>
      <c r="B158" s="201"/>
      <c r="C158" s="71" t="s">
        <v>203</v>
      </c>
      <c r="D158" s="219">
        <f t="shared" si="60"/>
        <v>0</v>
      </c>
      <c r="E158" s="197">
        <f t="shared" si="59"/>
        <v>0</v>
      </c>
      <c r="F158" s="218"/>
      <c r="G158" s="218"/>
      <c r="H158" s="72"/>
      <c r="I158" s="73"/>
      <c r="J158" s="73"/>
      <c r="K158" s="74"/>
      <c r="L158" s="74"/>
      <c r="M158" s="195"/>
      <c r="N158" s="195"/>
      <c r="O158" s="72" t="e">
        <f t="shared" si="54"/>
        <v>#DIV/0!</v>
      </c>
      <c r="P158" s="194" t="e">
        <f t="shared" si="52"/>
        <v>#DIV/0!</v>
      </c>
      <c r="Q158" s="80" t="e">
        <f t="shared" si="53"/>
        <v>#DIV/0!</v>
      </c>
    </row>
    <row r="159" spans="1:17" ht="12.75">
      <c r="A159" s="192" t="s">
        <v>206</v>
      </c>
      <c r="B159" s="192"/>
      <c r="C159" s="202" t="s">
        <v>207</v>
      </c>
      <c r="D159" s="203">
        <f aca="true" t="shared" si="61" ref="D159:J159">D160+D161</f>
        <v>22454.1</v>
      </c>
      <c r="E159" s="239">
        <f t="shared" si="61"/>
        <v>4532.2</v>
      </c>
      <c r="F159" s="239">
        <f t="shared" si="61"/>
        <v>4532.2</v>
      </c>
      <c r="G159" s="239">
        <f t="shared" si="61"/>
        <v>6157.8</v>
      </c>
      <c r="H159" s="203">
        <f t="shared" si="61"/>
        <v>6655.3</v>
      </c>
      <c r="I159" s="203">
        <f t="shared" si="61"/>
        <v>5108.8</v>
      </c>
      <c r="J159" s="203">
        <f t="shared" si="61"/>
        <v>3142.8</v>
      </c>
      <c r="K159" s="194" t="e">
        <f>J159/#REF!*100</f>
        <v>#REF!</v>
      </c>
      <c r="L159" s="194">
        <f>J159/H159*100</f>
        <v>47.22251438702988</v>
      </c>
      <c r="M159" s="195"/>
      <c r="N159" s="195"/>
      <c r="O159" s="204">
        <f t="shared" si="54"/>
        <v>61.51738177262762</v>
      </c>
      <c r="P159" s="194">
        <f t="shared" si="52"/>
        <v>69.34380653987026</v>
      </c>
      <c r="Q159" s="80">
        <f t="shared" si="53"/>
        <v>13.996552968054832</v>
      </c>
    </row>
    <row r="160" spans="1:17" ht="24">
      <c r="A160" s="69" t="s">
        <v>208</v>
      </c>
      <c r="B160" s="67"/>
      <c r="C160" s="205" t="s">
        <v>209</v>
      </c>
      <c r="D160" s="219">
        <f t="shared" si="60"/>
        <v>22454.1</v>
      </c>
      <c r="E160" s="197">
        <f t="shared" si="59"/>
        <v>4532.2</v>
      </c>
      <c r="F160" s="197">
        <f>4532.2</f>
        <v>4532.2</v>
      </c>
      <c r="G160" s="197">
        <v>6157.8</v>
      </c>
      <c r="H160" s="72">
        <v>6655.3</v>
      </c>
      <c r="I160" s="73">
        <f>4721+387.8</f>
        <v>5108.8</v>
      </c>
      <c r="J160" s="73">
        <v>3142.8</v>
      </c>
      <c r="K160" s="74" t="e">
        <f>J160/#REF!*100</f>
        <v>#REF!</v>
      </c>
      <c r="L160" s="74">
        <f>J160/H160*100</f>
        <v>47.22251438702988</v>
      </c>
      <c r="M160" s="195"/>
      <c r="N160" s="195"/>
      <c r="O160" s="72">
        <f t="shared" si="54"/>
        <v>61.51738177262762</v>
      </c>
      <c r="P160" s="74">
        <f t="shared" si="52"/>
        <v>69.34380653987026</v>
      </c>
      <c r="Q160" s="73">
        <f t="shared" si="53"/>
        <v>13.996552968054832</v>
      </c>
    </row>
    <row r="161" spans="1:17" ht="12.75">
      <c r="A161" s="69" t="s">
        <v>210</v>
      </c>
      <c r="B161" s="69"/>
      <c r="C161" s="206" t="s">
        <v>211</v>
      </c>
      <c r="D161" s="219">
        <f>F161+G161+H161+I161</f>
        <v>0</v>
      </c>
      <c r="E161" s="197">
        <f t="shared" si="59"/>
        <v>0</v>
      </c>
      <c r="F161" s="207"/>
      <c r="G161" s="207"/>
      <c r="H161" s="72"/>
      <c r="I161" s="73"/>
      <c r="J161" s="73"/>
      <c r="K161" s="74" t="e">
        <f>J161/#REF!*100</f>
        <v>#REF!</v>
      </c>
      <c r="L161" s="74"/>
      <c r="M161" s="195"/>
      <c r="N161" s="195"/>
      <c r="O161" s="72" t="e">
        <f t="shared" si="54"/>
        <v>#DIV/0!</v>
      </c>
      <c r="P161" s="74"/>
      <c r="Q161" s="73"/>
    </row>
    <row r="162" spans="1:17" ht="12.75">
      <c r="A162" s="77"/>
      <c r="B162" s="78"/>
      <c r="C162" s="79" t="s">
        <v>216</v>
      </c>
      <c r="D162" s="80">
        <f aca="true" t="shared" si="62" ref="D162:J162">D159+D150</f>
        <v>25869.6</v>
      </c>
      <c r="E162" s="80">
        <f t="shared" si="62"/>
        <v>5218.2</v>
      </c>
      <c r="F162" s="80">
        <f t="shared" si="62"/>
        <v>5218.2</v>
      </c>
      <c r="G162" s="80">
        <f t="shared" si="62"/>
        <v>7120.8</v>
      </c>
      <c r="H162" s="80">
        <f t="shared" si="62"/>
        <v>7516.3</v>
      </c>
      <c r="I162" s="80">
        <f t="shared" si="62"/>
        <v>6014.3</v>
      </c>
      <c r="J162" s="80">
        <f t="shared" si="62"/>
        <v>3709.6000000000004</v>
      </c>
      <c r="K162" s="194" t="e">
        <f>J162/#REF!*100</f>
        <v>#REF!</v>
      </c>
      <c r="L162" s="194">
        <f>J162/H162*100</f>
        <v>49.35407048680867</v>
      </c>
      <c r="M162" s="195"/>
      <c r="N162" s="209" t="e">
        <f>I162+#REF!+#REF!</f>
        <v>#REF!</v>
      </c>
      <c r="O162" s="204">
        <f t="shared" si="54"/>
        <v>61.67966346873286</v>
      </c>
      <c r="P162" s="194">
        <f t="shared" si="52"/>
        <v>71.08964777126214</v>
      </c>
      <c r="Q162" s="80">
        <f t="shared" si="53"/>
        <v>14.339610971951638</v>
      </c>
    </row>
    <row r="163" spans="1:17" ht="12.75">
      <c r="A163" s="210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2"/>
      <c r="M163" s="195"/>
      <c r="N163" s="195"/>
      <c r="O163" s="213"/>
      <c r="P163" s="194"/>
      <c r="Q163" s="80"/>
    </row>
    <row r="164" spans="1:17" ht="12.75">
      <c r="A164" s="214" t="s">
        <v>226</v>
      </c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194"/>
      <c r="Q164" s="80"/>
    </row>
    <row r="165" spans="1:17" ht="12.75">
      <c r="A165" s="192" t="s">
        <v>178</v>
      </c>
      <c r="B165" s="192"/>
      <c r="C165" s="193" t="s">
        <v>179</v>
      </c>
      <c r="D165" s="194">
        <f aca="true" t="shared" si="63" ref="D165:J165">D166+D167+D168+D169+D170+D172+D174+D173+D171</f>
        <v>16510.5</v>
      </c>
      <c r="E165" s="194">
        <f t="shared" si="63"/>
        <v>3077</v>
      </c>
      <c r="F165" s="194">
        <f t="shared" si="63"/>
        <v>3077</v>
      </c>
      <c r="G165" s="194">
        <f t="shared" si="63"/>
        <v>3914</v>
      </c>
      <c r="H165" s="194">
        <f t="shared" si="63"/>
        <v>3080</v>
      </c>
      <c r="I165" s="194">
        <f t="shared" si="63"/>
        <v>6439.5</v>
      </c>
      <c r="J165" s="194">
        <f t="shared" si="63"/>
        <v>1956</v>
      </c>
      <c r="K165" s="194" t="e">
        <f>J165/#REF!*100</f>
        <v>#REF!</v>
      </c>
      <c r="L165" s="194">
        <f>J165/H165*100</f>
        <v>63.50649350649351</v>
      </c>
      <c r="M165" s="195"/>
      <c r="N165" s="195"/>
      <c r="O165" s="194">
        <f t="shared" si="54"/>
        <v>30.375029117167482</v>
      </c>
      <c r="P165" s="194">
        <f t="shared" si="52"/>
        <v>63.56841078973026</v>
      </c>
      <c r="Q165" s="80">
        <f t="shared" si="53"/>
        <v>11.84700645044063</v>
      </c>
    </row>
    <row r="166" spans="1:17" ht="12.75">
      <c r="A166" s="77" t="s">
        <v>180</v>
      </c>
      <c r="B166" s="77"/>
      <c r="C166" s="196" t="s">
        <v>181</v>
      </c>
      <c r="D166" s="219">
        <f>F166+G166+H166+I166</f>
        <v>13545</v>
      </c>
      <c r="E166" s="219">
        <f aca="true" t="shared" si="64" ref="E166:E176">F166</f>
        <v>2600</v>
      </c>
      <c r="F166" s="219">
        <v>2600</v>
      </c>
      <c r="G166" s="219">
        <v>3272</v>
      </c>
      <c r="H166" s="72">
        <v>2473</v>
      </c>
      <c r="I166" s="73">
        <v>5200</v>
      </c>
      <c r="J166" s="73">
        <v>1695.5</v>
      </c>
      <c r="K166" s="74" t="e">
        <f>J166/#REF!*100</f>
        <v>#REF!</v>
      </c>
      <c r="L166" s="74">
        <f>J166/H166*100</f>
        <v>68.56045289122522</v>
      </c>
      <c r="M166" s="195"/>
      <c r="N166" s="195"/>
      <c r="O166" s="72">
        <f t="shared" si="54"/>
        <v>32.60576923076923</v>
      </c>
      <c r="P166" s="74">
        <f t="shared" si="52"/>
        <v>65.21153846153847</v>
      </c>
      <c r="Q166" s="73">
        <f t="shared" si="53"/>
        <v>12.517534145441122</v>
      </c>
    </row>
    <row r="167" spans="1:17" ht="12.75">
      <c r="A167" s="67" t="s">
        <v>182</v>
      </c>
      <c r="B167" s="67"/>
      <c r="C167" s="196" t="s">
        <v>183</v>
      </c>
      <c r="D167" s="219">
        <f aca="true" t="shared" si="65" ref="D167:D176">F167+G167+H167+I167</f>
        <v>0</v>
      </c>
      <c r="E167" s="219">
        <f t="shared" si="64"/>
        <v>0</v>
      </c>
      <c r="F167" s="219"/>
      <c r="G167" s="219"/>
      <c r="H167" s="72"/>
      <c r="I167" s="73"/>
      <c r="J167" s="73"/>
      <c r="K167" s="74"/>
      <c r="L167" s="74"/>
      <c r="M167" s="195"/>
      <c r="N167" s="195"/>
      <c r="O167" s="72" t="e">
        <f t="shared" si="54"/>
        <v>#DIV/0!</v>
      </c>
      <c r="P167" s="74" t="e">
        <f t="shared" si="52"/>
        <v>#DIV/0!</v>
      </c>
      <c r="Q167" s="73" t="e">
        <f t="shared" si="53"/>
        <v>#DIV/0!</v>
      </c>
    </row>
    <row r="168" spans="1:17" ht="12.75">
      <c r="A168" s="67" t="s">
        <v>184</v>
      </c>
      <c r="B168" s="67"/>
      <c r="C168" s="196" t="s">
        <v>185</v>
      </c>
      <c r="D168" s="219">
        <f t="shared" si="65"/>
        <v>1789</v>
      </c>
      <c r="E168" s="219">
        <f t="shared" si="64"/>
        <v>154</v>
      </c>
      <c r="F168" s="219">
        <v>154</v>
      </c>
      <c r="G168" s="219">
        <v>369</v>
      </c>
      <c r="H168" s="72">
        <v>404</v>
      </c>
      <c r="I168" s="73">
        <v>862</v>
      </c>
      <c r="J168" s="73">
        <v>127.5</v>
      </c>
      <c r="K168" s="74" t="e">
        <f>J168/#REF!*100</f>
        <v>#REF!</v>
      </c>
      <c r="L168" s="74">
        <f>J168/H168*100</f>
        <v>31.55940594059406</v>
      </c>
      <c r="M168" s="195"/>
      <c r="N168" s="195"/>
      <c r="O168" s="72">
        <f t="shared" si="54"/>
        <v>14.791183294663574</v>
      </c>
      <c r="P168" s="74">
        <f t="shared" si="52"/>
        <v>82.79220779220779</v>
      </c>
      <c r="Q168" s="73">
        <f t="shared" si="53"/>
        <v>7.126886528787032</v>
      </c>
    </row>
    <row r="169" spans="1:17" ht="12.75">
      <c r="A169" s="67" t="s">
        <v>186</v>
      </c>
      <c r="B169" s="67"/>
      <c r="C169" s="196" t="s">
        <v>187</v>
      </c>
      <c r="D169" s="219">
        <f t="shared" si="65"/>
        <v>189</v>
      </c>
      <c r="E169" s="219">
        <f t="shared" si="64"/>
        <v>50</v>
      </c>
      <c r="F169" s="219">
        <v>50</v>
      </c>
      <c r="G169" s="219">
        <v>50</v>
      </c>
      <c r="H169" s="72">
        <v>40</v>
      </c>
      <c r="I169" s="73">
        <v>49</v>
      </c>
      <c r="J169" s="73">
        <v>19.2</v>
      </c>
      <c r="K169" s="74" t="e">
        <f>J169/#REF!*100</f>
        <v>#REF!</v>
      </c>
      <c r="L169" s="74">
        <f>J169/H169*100</f>
        <v>48</v>
      </c>
      <c r="M169" s="195"/>
      <c r="N169" s="195"/>
      <c r="O169" s="72">
        <f t="shared" si="54"/>
        <v>39.183673469387756</v>
      </c>
      <c r="P169" s="74">
        <f t="shared" si="52"/>
        <v>38.4</v>
      </c>
      <c r="Q169" s="73">
        <f t="shared" si="53"/>
        <v>10.158730158730158</v>
      </c>
    </row>
    <row r="170" spans="1:17" ht="24">
      <c r="A170" s="68" t="s">
        <v>190</v>
      </c>
      <c r="B170" s="68"/>
      <c r="C170" s="196" t="s">
        <v>191</v>
      </c>
      <c r="D170" s="219">
        <f t="shared" si="65"/>
        <v>847.5</v>
      </c>
      <c r="E170" s="219">
        <f t="shared" si="64"/>
        <v>180</v>
      </c>
      <c r="F170" s="219">
        <v>180</v>
      </c>
      <c r="G170" s="219">
        <v>190</v>
      </c>
      <c r="H170" s="72">
        <v>160</v>
      </c>
      <c r="I170" s="73">
        <v>317.5</v>
      </c>
      <c r="J170" s="73">
        <v>47.8</v>
      </c>
      <c r="K170" s="74" t="e">
        <f>J170/#REF!*100</f>
        <v>#REF!</v>
      </c>
      <c r="L170" s="74">
        <f>J170/H170*100</f>
        <v>29.874999999999996</v>
      </c>
      <c r="M170" s="195"/>
      <c r="N170" s="195"/>
      <c r="O170" s="72">
        <f t="shared" si="54"/>
        <v>15.05511811023622</v>
      </c>
      <c r="P170" s="74">
        <f t="shared" si="52"/>
        <v>26.555555555555557</v>
      </c>
      <c r="Q170" s="73">
        <f t="shared" si="53"/>
        <v>5.640117994100295</v>
      </c>
    </row>
    <row r="171" spans="1:17" ht="24">
      <c r="A171" s="199" t="s">
        <v>194</v>
      </c>
      <c r="B171" s="199"/>
      <c r="C171" s="196" t="s">
        <v>195</v>
      </c>
      <c r="D171" s="219">
        <f t="shared" si="65"/>
        <v>120</v>
      </c>
      <c r="E171" s="219">
        <f t="shared" si="64"/>
        <v>90</v>
      </c>
      <c r="F171" s="219">
        <v>90</v>
      </c>
      <c r="G171" s="219">
        <v>30</v>
      </c>
      <c r="H171" s="72"/>
      <c r="I171" s="73"/>
      <c r="J171" s="73">
        <v>66</v>
      </c>
      <c r="K171" s="74" t="e">
        <f>J171/#REF!*100</f>
        <v>#REF!</v>
      </c>
      <c r="L171" s="74" t="e">
        <f>J171/H171*100</f>
        <v>#DIV/0!</v>
      </c>
      <c r="M171" s="195"/>
      <c r="N171" s="195"/>
      <c r="O171" s="72" t="e">
        <f t="shared" si="54"/>
        <v>#DIV/0!</v>
      </c>
      <c r="P171" s="74">
        <f t="shared" si="52"/>
        <v>73.33333333333333</v>
      </c>
      <c r="Q171" s="73">
        <f t="shared" si="53"/>
        <v>55</v>
      </c>
    </row>
    <row r="172" spans="1:17" ht="24">
      <c r="A172" s="199" t="s">
        <v>196</v>
      </c>
      <c r="B172" s="199"/>
      <c r="C172" s="196" t="s">
        <v>197</v>
      </c>
      <c r="D172" s="219">
        <f t="shared" si="65"/>
        <v>20</v>
      </c>
      <c r="E172" s="219">
        <f t="shared" si="64"/>
        <v>3</v>
      </c>
      <c r="F172" s="219">
        <v>3</v>
      </c>
      <c r="G172" s="219">
        <v>3</v>
      </c>
      <c r="H172" s="72">
        <v>3</v>
      </c>
      <c r="I172" s="73">
        <v>11</v>
      </c>
      <c r="J172" s="73"/>
      <c r="K172" s="74" t="e">
        <f>J172/#REF!*100</f>
        <v>#REF!</v>
      </c>
      <c r="L172" s="74">
        <f>J172/H172*100</f>
        <v>0</v>
      </c>
      <c r="M172" s="195"/>
      <c r="N172" s="195"/>
      <c r="O172" s="72">
        <f t="shared" si="54"/>
        <v>0</v>
      </c>
      <c r="P172" s="74">
        <f t="shared" si="52"/>
        <v>0</v>
      </c>
      <c r="Q172" s="73">
        <f t="shared" si="53"/>
        <v>0</v>
      </c>
    </row>
    <row r="173" spans="1:17" ht="12.75">
      <c r="A173" s="77" t="s">
        <v>200</v>
      </c>
      <c r="B173" s="77"/>
      <c r="C173" s="196" t="s">
        <v>201</v>
      </c>
      <c r="D173" s="219">
        <f t="shared" si="65"/>
        <v>0</v>
      </c>
      <c r="E173" s="219">
        <f t="shared" si="64"/>
        <v>0</v>
      </c>
      <c r="F173" s="219"/>
      <c r="G173" s="219"/>
      <c r="H173" s="72"/>
      <c r="I173" s="73"/>
      <c r="J173" s="73"/>
      <c r="K173" s="74" t="e">
        <f>J173/#REF!*100</f>
        <v>#REF!</v>
      </c>
      <c r="L173" s="74"/>
      <c r="M173" s="195"/>
      <c r="N173" s="195"/>
      <c r="O173" s="72" t="e">
        <f t="shared" si="54"/>
        <v>#DIV/0!</v>
      </c>
      <c r="P173" s="74"/>
      <c r="Q173" s="73"/>
    </row>
    <row r="174" spans="1:17" ht="12.75">
      <c r="A174" s="224" t="s">
        <v>202</v>
      </c>
      <c r="B174" s="201"/>
      <c r="C174" s="71" t="s">
        <v>203</v>
      </c>
      <c r="D174" s="219">
        <f t="shared" si="65"/>
        <v>0</v>
      </c>
      <c r="E174" s="219">
        <f t="shared" si="64"/>
        <v>0</v>
      </c>
      <c r="F174" s="238"/>
      <c r="G174" s="238"/>
      <c r="H174" s="72"/>
      <c r="I174" s="73"/>
      <c r="J174" s="73">
        <v>0</v>
      </c>
      <c r="K174" s="74" t="e">
        <f>J174/#REF!*100</f>
        <v>#REF!</v>
      </c>
      <c r="L174" s="74"/>
      <c r="M174" s="195"/>
      <c r="N174" s="195"/>
      <c r="O174" s="72" t="e">
        <f t="shared" si="54"/>
        <v>#DIV/0!</v>
      </c>
      <c r="P174" s="194"/>
      <c r="Q174" s="80"/>
    </row>
    <row r="175" spans="1:17" ht="12.75">
      <c r="A175" s="192" t="s">
        <v>206</v>
      </c>
      <c r="B175" s="192"/>
      <c r="C175" s="202" t="s">
        <v>207</v>
      </c>
      <c r="D175" s="204">
        <f aca="true" t="shared" si="66" ref="D175:J175">D176</f>
        <v>32759</v>
      </c>
      <c r="E175" s="204">
        <f t="shared" si="66"/>
        <v>8753.2</v>
      </c>
      <c r="F175" s="204">
        <f t="shared" si="66"/>
        <v>8753.2</v>
      </c>
      <c r="G175" s="204">
        <f t="shared" si="66"/>
        <v>8900.4</v>
      </c>
      <c r="H175" s="204">
        <f t="shared" si="66"/>
        <v>7552.7</v>
      </c>
      <c r="I175" s="204">
        <f t="shared" si="66"/>
        <v>7552.7</v>
      </c>
      <c r="J175" s="204">
        <f t="shared" si="66"/>
        <v>3857.4</v>
      </c>
      <c r="K175" s="194" t="e">
        <f>J175/#REF!*100</f>
        <v>#REF!</v>
      </c>
      <c r="L175" s="194">
        <f>J175/H175*100</f>
        <v>51.07312616680127</v>
      </c>
      <c r="M175" s="195"/>
      <c r="N175" s="195"/>
      <c r="O175" s="204">
        <f t="shared" si="54"/>
        <v>51.07312616680128</v>
      </c>
      <c r="P175" s="194">
        <f t="shared" si="52"/>
        <v>44.068454965041354</v>
      </c>
      <c r="Q175" s="80">
        <f t="shared" si="53"/>
        <v>11.77508470954547</v>
      </c>
    </row>
    <row r="176" spans="1:17" ht="24">
      <c r="A176" s="69" t="s">
        <v>208</v>
      </c>
      <c r="B176" s="67"/>
      <c r="C176" s="205" t="s">
        <v>209</v>
      </c>
      <c r="D176" s="219">
        <f t="shared" si="65"/>
        <v>32759</v>
      </c>
      <c r="E176" s="219">
        <f t="shared" si="64"/>
        <v>8753.2</v>
      </c>
      <c r="F176" s="219">
        <f>8475.7+277.5</f>
        <v>8753.2</v>
      </c>
      <c r="G176" s="219">
        <v>8900.4</v>
      </c>
      <c r="H176" s="72">
        <v>7552.7</v>
      </c>
      <c r="I176" s="73">
        <v>7552.7</v>
      </c>
      <c r="J176" s="73">
        <v>3857.4</v>
      </c>
      <c r="K176" s="74" t="e">
        <f>J176/#REF!*100</f>
        <v>#REF!</v>
      </c>
      <c r="L176" s="74">
        <f>J176/H176*100</f>
        <v>51.07312616680127</v>
      </c>
      <c r="M176" s="195"/>
      <c r="N176" s="195"/>
      <c r="O176" s="72">
        <f t="shared" si="54"/>
        <v>51.07312616680128</v>
      </c>
      <c r="P176" s="74">
        <f t="shared" si="52"/>
        <v>44.068454965041354</v>
      </c>
      <c r="Q176" s="73">
        <f t="shared" si="53"/>
        <v>11.77508470954547</v>
      </c>
    </row>
    <row r="177" spans="1:17" ht="12.75">
      <c r="A177" s="77"/>
      <c r="B177" s="78"/>
      <c r="C177" s="79" t="s">
        <v>216</v>
      </c>
      <c r="D177" s="80">
        <f aca="true" t="shared" si="67" ref="D177:J177">D175+D165</f>
        <v>49269.5</v>
      </c>
      <c r="E177" s="80">
        <f t="shared" si="67"/>
        <v>11830.2</v>
      </c>
      <c r="F177" s="80">
        <f t="shared" si="67"/>
        <v>11830.2</v>
      </c>
      <c r="G177" s="80">
        <f t="shared" si="67"/>
        <v>12814.4</v>
      </c>
      <c r="H177" s="80">
        <f t="shared" si="67"/>
        <v>10632.7</v>
      </c>
      <c r="I177" s="80">
        <f t="shared" si="67"/>
        <v>13992.2</v>
      </c>
      <c r="J177" s="80">
        <f t="shared" si="67"/>
        <v>5813.4</v>
      </c>
      <c r="K177" s="194" t="e">
        <f>J177/#REF!*100</f>
        <v>#REF!</v>
      </c>
      <c r="L177" s="194">
        <f>J177/H177*100</f>
        <v>54.67472984284329</v>
      </c>
      <c r="M177" s="195"/>
      <c r="N177" s="209" t="e">
        <f>I177+#REF!+#REF!</f>
        <v>#REF!</v>
      </c>
      <c r="O177" s="204">
        <f t="shared" si="54"/>
        <v>41.54743357013193</v>
      </c>
      <c r="P177" s="194">
        <f t="shared" si="52"/>
        <v>49.140335750874875</v>
      </c>
      <c r="Q177" s="80">
        <f t="shared" si="53"/>
        <v>11.799186109053268</v>
      </c>
    </row>
    <row r="178" spans="1:17" ht="12.75">
      <c r="A178" s="210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2"/>
      <c r="M178" s="195"/>
      <c r="N178" s="195"/>
      <c r="O178" s="213"/>
      <c r="P178" s="194"/>
      <c r="Q178" s="80"/>
    </row>
    <row r="179" spans="1:17" ht="12.75">
      <c r="A179" s="214" t="s">
        <v>227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194"/>
      <c r="Q179" s="80"/>
    </row>
    <row r="180" spans="1:17" ht="12.75">
      <c r="A180" s="192" t="s">
        <v>178</v>
      </c>
      <c r="B180" s="192"/>
      <c r="C180" s="193" t="s">
        <v>179</v>
      </c>
      <c r="D180" s="194">
        <f aca="true" t="shared" si="68" ref="D180:J180">D181+D183+D185+D186+D184+D187+D188+D182</f>
        <v>1693.5</v>
      </c>
      <c r="E180" s="194">
        <f t="shared" si="68"/>
        <v>153</v>
      </c>
      <c r="F180" s="194">
        <f t="shared" si="68"/>
        <v>153</v>
      </c>
      <c r="G180" s="194">
        <f t="shared" si="68"/>
        <v>435</v>
      </c>
      <c r="H180" s="194">
        <f t="shared" si="68"/>
        <v>443</v>
      </c>
      <c r="I180" s="194">
        <f t="shared" si="68"/>
        <v>662.5</v>
      </c>
      <c r="J180" s="194">
        <f t="shared" si="68"/>
        <v>136.79999999999998</v>
      </c>
      <c r="K180" s="194" t="e">
        <f>J180/#REF!*100</f>
        <v>#REF!</v>
      </c>
      <c r="L180" s="194">
        <f aca="true" t="shared" si="69" ref="L180:L186">J180/H180*100</f>
        <v>30.880361173814897</v>
      </c>
      <c r="M180" s="195"/>
      <c r="N180" s="195"/>
      <c r="O180" s="194">
        <f t="shared" si="54"/>
        <v>20.649056603773584</v>
      </c>
      <c r="P180" s="194">
        <f t="shared" si="52"/>
        <v>89.41176470588235</v>
      </c>
      <c r="Q180" s="80">
        <f t="shared" si="53"/>
        <v>8.07794508414526</v>
      </c>
    </row>
    <row r="181" spans="1:17" ht="12.75">
      <c r="A181" s="77" t="s">
        <v>180</v>
      </c>
      <c r="B181" s="77"/>
      <c r="C181" s="196" t="s">
        <v>181</v>
      </c>
      <c r="D181" s="219">
        <f>F181+G181+H181+I181</f>
        <v>1155</v>
      </c>
      <c r="E181" s="219">
        <f aca="true" t="shared" si="70" ref="E181:E190">F181</f>
        <v>120</v>
      </c>
      <c r="F181" s="219">
        <v>120</v>
      </c>
      <c r="G181" s="219">
        <v>300</v>
      </c>
      <c r="H181" s="72">
        <v>270</v>
      </c>
      <c r="I181" s="72">
        <v>465</v>
      </c>
      <c r="J181" s="73">
        <v>101.6</v>
      </c>
      <c r="K181" s="74" t="e">
        <f>J181/#REF!*100</f>
        <v>#REF!</v>
      </c>
      <c r="L181" s="74">
        <f t="shared" si="69"/>
        <v>37.629629629629626</v>
      </c>
      <c r="M181" s="195"/>
      <c r="N181" s="195"/>
      <c r="O181" s="72">
        <f t="shared" si="54"/>
        <v>21.849462365591396</v>
      </c>
      <c r="P181" s="74">
        <f t="shared" si="52"/>
        <v>84.66666666666667</v>
      </c>
      <c r="Q181" s="73">
        <f t="shared" si="53"/>
        <v>8.796536796536797</v>
      </c>
    </row>
    <row r="182" spans="1:17" ht="36">
      <c r="A182" s="67" t="s">
        <v>182</v>
      </c>
      <c r="B182" s="244" t="s">
        <v>228</v>
      </c>
      <c r="C182" s="196" t="s">
        <v>183</v>
      </c>
      <c r="D182" s="219">
        <f aca="true" t="shared" si="71" ref="D182:D190">F182+G182+H182+I182</f>
        <v>16</v>
      </c>
      <c r="E182" s="219">
        <f t="shared" si="70"/>
        <v>0</v>
      </c>
      <c r="F182" s="219"/>
      <c r="G182" s="219">
        <v>16</v>
      </c>
      <c r="H182" s="72"/>
      <c r="I182" s="72"/>
      <c r="J182" s="73"/>
      <c r="K182" s="74" t="e">
        <f>J182/#REF!*100</f>
        <v>#REF!</v>
      </c>
      <c r="L182" s="74"/>
      <c r="M182" s="195"/>
      <c r="N182" s="195"/>
      <c r="O182" s="72" t="e">
        <f t="shared" si="54"/>
        <v>#DIV/0!</v>
      </c>
      <c r="P182" s="74"/>
      <c r="Q182" s="73">
        <f t="shared" si="53"/>
        <v>0</v>
      </c>
    </row>
    <row r="183" spans="1:17" ht="12.75">
      <c r="A183" s="67" t="s">
        <v>184</v>
      </c>
      <c r="B183" s="67"/>
      <c r="C183" s="196" t="s">
        <v>185</v>
      </c>
      <c r="D183" s="219">
        <f t="shared" si="71"/>
        <v>106</v>
      </c>
      <c r="E183" s="219">
        <f t="shared" si="70"/>
        <v>6.5</v>
      </c>
      <c r="F183" s="219">
        <v>6.5</v>
      </c>
      <c r="G183" s="219">
        <v>7.5</v>
      </c>
      <c r="H183" s="72">
        <v>46</v>
      </c>
      <c r="I183" s="72">
        <v>46</v>
      </c>
      <c r="J183" s="73">
        <v>-0.4</v>
      </c>
      <c r="K183" s="74" t="e">
        <f>J183/#REF!*100</f>
        <v>#REF!</v>
      </c>
      <c r="L183" s="74">
        <f t="shared" si="69"/>
        <v>-0.8695652173913043</v>
      </c>
      <c r="M183" s="195"/>
      <c r="N183" s="195"/>
      <c r="O183" s="72">
        <f t="shared" si="54"/>
        <v>-0.8695652173913043</v>
      </c>
      <c r="P183" s="74">
        <f t="shared" si="52"/>
        <v>-6.153846153846154</v>
      </c>
      <c r="Q183" s="73">
        <f t="shared" si="53"/>
        <v>-0.37735849056603776</v>
      </c>
    </row>
    <row r="184" spans="1:17" ht="12.75">
      <c r="A184" s="67" t="s">
        <v>186</v>
      </c>
      <c r="B184" s="67"/>
      <c r="C184" s="196" t="s">
        <v>187</v>
      </c>
      <c r="D184" s="219">
        <f t="shared" si="71"/>
        <v>28</v>
      </c>
      <c r="E184" s="219">
        <f t="shared" si="70"/>
        <v>3</v>
      </c>
      <c r="F184" s="219">
        <v>3</v>
      </c>
      <c r="G184" s="219">
        <v>6</v>
      </c>
      <c r="H184" s="72">
        <v>7</v>
      </c>
      <c r="I184" s="72">
        <v>12</v>
      </c>
      <c r="J184" s="73">
        <v>3.4</v>
      </c>
      <c r="K184" s="74" t="e">
        <f>J184/#REF!*100</f>
        <v>#REF!</v>
      </c>
      <c r="L184" s="74">
        <f t="shared" si="69"/>
        <v>48.57142857142857</v>
      </c>
      <c r="M184" s="195"/>
      <c r="N184" s="195"/>
      <c r="O184" s="72">
        <f t="shared" si="54"/>
        <v>28.333333333333332</v>
      </c>
      <c r="P184" s="74">
        <f t="shared" si="52"/>
        <v>113.33333333333333</v>
      </c>
      <c r="Q184" s="73">
        <f t="shared" si="53"/>
        <v>12.142857142857142</v>
      </c>
    </row>
    <row r="185" spans="1:17" ht="24">
      <c r="A185" s="68" t="s">
        <v>190</v>
      </c>
      <c r="B185" s="68"/>
      <c r="C185" s="196" t="s">
        <v>191</v>
      </c>
      <c r="D185" s="219">
        <f t="shared" si="71"/>
        <v>387.5</v>
      </c>
      <c r="E185" s="219">
        <f t="shared" si="70"/>
        <v>23.5</v>
      </c>
      <c r="F185" s="219">
        <v>23.5</v>
      </c>
      <c r="G185" s="219">
        <v>105.5</v>
      </c>
      <c r="H185" s="72">
        <v>119</v>
      </c>
      <c r="I185" s="72">
        <v>139.5</v>
      </c>
      <c r="J185" s="73">
        <v>32.2</v>
      </c>
      <c r="K185" s="74" t="e">
        <f>J185/#REF!*100</f>
        <v>#REF!</v>
      </c>
      <c r="L185" s="74">
        <f t="shared" si="69"/>
        <v>27.058823529411768</v>
      </c>
      <c r="M185" s="195"/>
      <c r="N185" s="195"/>
      <c r="O185" s="72">
        <f t="shared" si="54"/>
        <v>23.082437275985665</v>
      </c>
      <c r="P185" s="74">
        <f t="shared" si="52"/>
        <v>137.0212765957447</v>
      </c>
      <c r="Q185" s="73">
        <f t="shared" si="53"/>
        <v>8.30967741935484</v>
      </c>
    </row>
    <row r="186" spans="1:17" ht="24">
      <c r="A186" s="198" t="s">
        <v>196</v>
      </c>
      <c r="B186" s="198"/>
      <c r="C186" s="196" t="s">
        <v>197</v>
      </c>
      <c r="D186" s="219">
        <f t="shared" si="71"/>
        <v>1</v>
      </c>
      <c r="E186" s="219">
        <f t="shared" si="70"/>
        <v>0</v>
      </c>
      <c r="F186" s="219"/>
      <c r="G186" s="219"/>
      <c r="H186" s="72">
        <v>1</v>
      </c>
      <c r="I186" s="72"/>
      <c r="J186" s="73"/>
      <c r="K186" s="74" t="e">
        <f>J186/#REF!*100</f>
        <v>#REF!</v>
      </c>
      <c r="L186" s="74">
        <f t="shared" si="69"/>
        <v>0</v>
      </c>
      <c r="M186" s="195"/>
      <c r="N186" s="195"/>
      <c r="O186" s="72" t="e">
        <f t="shared" si="54"/>
        <v>#DIV/0!</v>
      </c>
      <c r="P186" s="74"/>
      <c r="Q186" s="73">
        <f t="shared" si="53"/>
        <v>0</v>
      </c>
    </row>
    <row r="187" spans="1:17" ht="12.75">
      <c r="A187" s="198" t="s">
        <v>200</v>
      </c>
      <c r="B187" s="243"/>
      <c r="C187" s="196" t="s">
        <v>201</v>
      </c>
      <c r="D187" s="219">
        <f t="shared" si="71"/>
        <v>0</v>
      </c>
      <c r="E187" s="219">
        <f t="shared" si="70"/>
        <v>0</v>
      </c>
      <c r="F187" s="219"/>
      <c r="G187" s="219"/>
      <c r="H187" s="72"/>
      <c r="I187" s="72"/>
      <c r="J187" s="73"/>
      <c r="K187" s="74" t="e">
        <f>J187/#REF!*100</f>
        <v>#REF!</v>
      </c>
      <c r="L187" s="74"/>
      <c r="M187" s="195"/>
      <c r="N187" s="195"/>
      <c r="O187" s="72" t="e">
        <f t="shared" si="54"/>
        <v>#DIV/0!</v>
      </c>
      <c r="P187" s="74"/>
      <c r="Q187" s="73"/>
    </row>
    <row r="188" spans="1:17" ht="12.75">
      <c r="A188" s="224" t="s">
        <v>202</v>
      </c>
      <c r="B188" s="201"/>
      <c r="C188" s="71" t="s">
        <v>203</v>
      </c>
      <c r="D188" s="219">
        <f t="shared" si="71"/>
        <v>0</v>
      </c>
      <c r="E188" s="219">
        <f t="shared" si="70"/>
        <v>0</v>
      </c>
      <c r="F188" s="219"/>
      <c r="G188" s="219"/>
      <c r="H188" s="72"/>
      <c r="I188" s="72"/>
      <c r="J188" s="73"/>
      <c r="K188" s="74" t="e">
        <f>J188/#REF!*100</f>
        <v>#REF!</v>
      </c>
      <c r="L188" s="74"/>
      <c r="M188" s="195"/>
      <c r="N188" s="195"/>
      <c r="O188" s="72"/>
      <c r="P188" s="74"/>
      <c r="Q188" s="73"/>
    </row>
    <row r="189" spans="1:17" ht="12.75">
      <c r="A189" s="192" t="s">
        <v>206</v>
      </c>
      <c r="B189" s="192"/>
      <c r="C189" s="202" t="s">
        <v>207</v>
      </c>
      <c r="D189" s="203">
        <f aca="true" t="shared" si="72" ref="D189:J189">D190</f>
        <v>22373.000000000004</v>
      </c>
      <c r="E189" s="203">
        <f t="shared" si="72"/>
        <v>5288.7</v>
      </c>
      <c r="F189" s="203">
        <f t="shared" si="72"/>
        <v>5288.7</v>
      </c>
      <c r="G189" s="203">
        <f t="shared" si="72"/>
        <v>5569</v>
      </c>
      <c r="H189" s="203">
        <f t="shared" si="72"/>
        <v>6714.1</v>
      </c>
      <c r="I189" s="203">
        <f t="shared" si="72"/>
        <v>4801.2</v>
      </c>
      <c r="J189" s="203">
        <f t="shared" si="72"/>
        <v>3638.5</v>
      </c>
      <c r="K189" s="194" t="e">
        <f>J189/#REF!*100</f>
        <v>#REF!</v>
      </c>
      <c r="L189" s="194">
        <f>J189/H189*100</f>
        <v>54.191924457484994</v>
      </c>
      <c r="M189" s="195"/>
      <c r="N189" s="195"/>
      <c r="O189" s="204">
        <f t="shared" si="54"/>
        <v>75.7831375489461</v>
      </c>
      <c r="P189" s="194">
        <f t="shared" si="52"/>
        <v>68.79762512526707</v>
      </c>
      <c r="Q189" s="80">
        <f t="shared" si="53"/>
        <v>16.262906181558126</v>
      </c>
    </row>
    <row r="190" spans="1:17" ht="24">
      <c r="A190" s="69" t="s">
        <v>208</v>
      </c>
      <c r="B190" s="67"/>
      <c r="C190" s="205" t="s">
        <v>209</v>
      </c>
      <c r="D190" s="219">
        <f t="shared" si="71"/>
        <v>22373.000000000004</v>
      </c>
      <c r="E190" s="219">
        <f t="shared" si="70"/>
        <v>5288.7</v>
      </c>
      <c r="F190" s="219">
        <f>4207+1081.7</f>
        <v>5288.7</v>
      </c>
      <c r="G190" s="219">
        <v>5569</v>
      </c>
      <c r="H190" s="72">
        <v>6714.1</v>
      </c>
      <c r="I190" s="72">
        <v>4801.2</v>
      </c>
      <c r="J190" s="73">
        <v>3638.5</v>
      </c>
      <c r="K190" s="74" t="e">
        <f>J190/#REF!*100</f>
        <v>#REF!</v>
      </c>
      <c r="L190" s="74">
        <f>J190/H190*100</f>
        <v>54.191924457484994</v>
      </c>
      <c r="M190" s="195"/>
      <c r="N190" s="195"/>
      <c r="O190" s="72">
        <f t="shared" si="54"/>
        <v>75.7831375489461</v>
      </c>
      <c r="P190" s="74">
        <f t="shared" si="52"/>
        <v>68.79762512526707</v>
      </c>
      <c r="Q190" s="73">
        <f t="shared" si="53"/>
        <v>16.262906181558126</v>
      </c>
    </row>
    <row r="191" spans="1:17" ht="12.75">
      <c r="A191" s="77"/>
      <c r="B191" s="78"/>
      <c r="C191" s="79" t="s">
        <v>216</v>
      </c>
      <c r="D191" s="80">
        <f aca="true" t="shared" si="73" ref="D191:J191">D189+D180</f>
        <v>24066.500000000004</v>
      </c>
      <c r="E191" s="80">
        <f t="shared" si="73"/>
        <v>5441.7</v>
      </c>
      <c r="F191" s="204">
        <f t="shared" si="73"/>
        <v>5441.7</v>
      </c>
      <c r="G191" s="204">
        <f t="shared" si="73"/>
        <v>6004</v>
      </c>
      <c r="H191" s="204">
        <f t="shared" si="73"/>
        <v>7157.1</v>
      </c>
      <c r="I191" s="204">
        <f t="shared" si="73"/>
        <v>5463.7</v>
      </c>
      <c r="J191" s="80">
        <f t="shared" si="73"/>
        <v>3775.3</v>
      </c>
      <c r="K191" s="194" t="e">
        <f>J191/#REF!*100</f>
        <v>#REF!</v>
      </c>
      <c r="L191" s="194">
        <f>J191/H191*100</f>
        <v>52.74901845719635</v>
      </c>
      <c r="M191" s="195"/>
      <c r="N191" s="209" t="e">
        <f>I191+#REF!+#REF!</f>
        <v>#REF!</v>
      </c>
      <c r="O191" s="204">
        <f t="shared" si="54"/>
        <v>69.09786408477771</v>
      </c>
      <c r="P191" s="194">
        <f t="shared" si="52"/>
        <v>69.37721667861146</v>
      </c>
      <c r="Q191" s="80">
        <f t="shared" si="53"/>
        <v>15.686950740656096</v>
      </c>
    </row>
    <row r="192" spans="1:17" ht="12.75">
      <c r="A192" s="210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2"/>
      <c r="M192" s="195"/>
      <c r="N192" s="195"/>
      <c r="O192" s="213"/>
      <c r="P192" s="194"/>
      <c r="Q192" s="80"/>
    </row>
    <row r="193" spans="1:17" ht="12.75">
      <c r="A193" s="214" t="s">
        <v>229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194"/>
      <c r="Q193" s="80"/>
    </row>
    <row r="194" spans="1:17" ht="12.75">
      <c r="A194" s="192" t="s">
        <v>178</v>
      </c>
      <c r="B194" s="245"/>
      <c r="C194" s="193" t="s">
        <v>179</v>
      </c>
      <c r="D194" s="194">
        <f aca="true" t="shared" si="74" ref="D194:J194">D195+D197+D198+D199+D201+D202+D204+D206+D203+D200+D207+D205+D196</f>
        <v>992678.6</v>
      </c>
      <c r="E194" s="194">
        <f t="shared" si="74"/>
        <v>232051.00000000003</v>
      </c>
      <c r="F194" s="194">
        <f t="shared" si="74"/>
        <v>232051.00000000003</v>
      </c>
      <c r="G194" s="194">
        <f t="shared" si="74"/>
        <v>253748.7</v>
      </c>
      <c r="H194" s="194">
        <f t="shared" si="74"/>
        <v>237135.60000000006</v>
      </c>
      <c r="I194" s="194">
        <f t="shared" si="74"/>
        <v>269743.3</v>
      </c>
      <c r="J194" s="194">
        <f t="shared" si="74"/>
        <v>148353.09999999998</v>
      </c>
      <c r="K194" s="194" t="e">
        <f>J194/#REF!*100</f>
        <v>#REF!</v>
      </c>
      <c r="L194" s="194">
        <f aca="true" t="shared" si="75" ref="L194:L205">J194/H194*100</f>
        <v>62.560450645116106</v>
      </c>
      <c r="M194" s="195"/>
      <c r="N194" s="195"/>
      <c r="O194" s="194">
        <f t="shared" si="54"/>
        <v>54.997881319017004</v>
      </c>
      <c r="P194" s="194">
        <f t="shared" si="52"/>
        <v>63.93124787223497</v>
      </c>
      <c r="Q194" s="80">
        <f t="shared" si="53"/>
        <v>14.944726319273931</v>
      </c>
    </row>
    <row r="195" spans="1:17" ht="36">
      <c r="A195" s="77" t="s">
        <v>180</v>
      </c>
      <c r="B195" s="246" t="s">
        <v>230</v>
      </c>
      <c r="C195" s="196" t="s">
        <v>181</v>
      </c>
      <c r="D195" s="219">
        <f>F195+G195+H195+I195</f>
        <v>782732.1</v>
      </c>
      <c r="E195" s="219">
        <f aca="true" t="shared" si="76" ref="E195:E211">F195</f>
        <v>180524.7</v>
      </c>
      <c r="F195" s="73">
        <f>F9+F31+F43+F59+F75+F92+F106+F120+F135+F151+F166+F181</f>
        <v>180524.7</v>
      </c>
      <c r="G195" s="73">
        <f>G9+G31+G43+G59+G75+G92+G106+G120+G135+G151+G166+G181</f>
        <v>201785.4</v>
      </c>
      <c r="H195" s="73">
        <f>H9+H31+H43+H59+H75+H92+H106+H120+H135+H151+H166+H181</f>
        <v>184993.90000000002</v>
      </c>
      <c r="I195" s="73">
        <f>I9+I31+I43+I59+I75+I92+I106+I120+I135+I151+I166+I181</f>
        <v>215428.1</v>
      </c>
      <c r="J195" s="73">
        <f>J9+J31+J43+J59+J75+J92+J106+J120+J135+J151+J166+J181</f>
        <v>113695.20000000001</v>
      </c>
      <c r="K195" s="74" t="e">
        <f>J195/#REF!*100</f>
        <v>#REF!</v>
      </c>
      <c r="L195" s="74">
        <f t="shared" si="75"/>
        <v>61.4588913472282</v>
      </c>
      <c r="M195" s="195"/>
      <c r="N195" s="195"/>
      <c r="O195" s="72">
        <f t="shared" si="54"/>
        <v>52.77640196427486</v>
      </c>
      <c r="P195" s="74">
        <f t="shared" si="52"/>
        <v>62.9804120987322</v>
      </c>
      <c r="Q195" s="73">
        <f t="shared" si="53"/>
        <v>14.525429581845438</v>
      </c>
    </row>
    <row r="196" spans="1:17" ht="12.75">
      <c r="A196" s="67" t="s">
        <v>312</v>
      </c>
      <c r="B196" s="67"/>
      <c r="C196" s="196" t="s">
        <v>313</v>
      </c>
      <c r="D196" s="219">
        <f aca="true" t="shared" si="77" ref="D196:D211">F196+G196+H196+I196</f>
        <v>40154.200000000004</v>
      </c>
      <c r="E196" s="219">
        <f t="shared" si="76"/>
        <v>8828.2</v>
      </c>
      <c r="F196" s="73">
        <f>F10</f>
        <v>8828.2</v>
      </c>
      <c r="G196" s="73">
        <f>G10</f>
        <v>9979.2</v>
      </c>
      <c r="H196" s="73">
        <f>H10</f>
        <v>9979.2</v>
      </c>
      <c r="I196" s="73">
        <f aca="true" t="shared" si="78" ref="I196:O196">I10</f>
        <v>11367.6</v>
      </c>
      <c r="J196" s="73">
        <f t="shared" si="78"/>
        <v>5570.5</v>
      </c>
      <c r="K196" s="73">
        <f t="shared" si="78"/>
        <v>0</v>
      </c>
      <c r="L196" s="73">
        <f t="shared" si="78"/>
        <v>0</v>
      </c>
      <c r="M196" s="73">
        <f t="shared" si="78"/>
        <v>0</v>
      </c>
      <c r="N196" s="73">
        <f t="shared" si="78"/>
        <v>0</v>
      </c>
      <c r="O196" s="73">
        <f t="shared" si="78"/>
        <v>0</v>
      </c>
      <c r="P196" s="74">
        <f t="shared" si="52"/>
        <v>63.09893296481729</v>
      </c>
      <c r="Q196" s="73">
        <f t="shared" si="53"/>
        <v>13.87277046983877</v>
      </c>
    </row>
    <row r="197" spans="1:17" ht="36">
      <c r="A197" s="67" t="s">
        <v>182</v>
      </c>
      <c r="B197" s="244" t="s">
        <v>228</v>
      </c>
      <c r="C197" s="196" t="s">
        <v>183</v>
      </c>
      <c r="D197" s="219">
        <f t="shared" si="77"/>
        <v>34242.299999999996</v>
      </c>
      <c r="E197" s="219">
        <f t="shared" si="76"/>
        <v>8540</v>
      </c>
      <c r="F197" s="73">
        <f>F11+F44+F60+F182+F136</f>
        <v>8540</v>
      </c>
      <c r="G197" s="73">
        <f>G11+G44+G60+G182+G136</f>
        <v>8526.899999999998</v>
      </c>
      <c r="H197" s="73">
        <f>H11+H44+H60+H182+H136</f>
        <v>8540.3</v>
      </c>
      <c r="I197" s="73">
        <f>I11+I44+I60+I182+I136</f>
        <v>8635.099999999999</v>
      </c>
      <c r="J197" s="73">
        <f>J11+J44+J60+J182+J136</f>
        <v>4812.9</v>
      </c>
      <c r="K197" s="74" t="e">
        <f>J197/#REF!*100</f>
        <v>#REF!</v>
      </c>
      <c r="L197" s="74">
        <f t="shared" si="75"/>
        <v>56.35516316757022</v>
      </c>
      <c r="M197" s="195"/>
      <c r="N197" s="195"/>
      <c r="O197" s="72">
        <f t="shared" si="54"/>
        <v>55.73647091521812</v>
      </c>
      <c r="P197" s="74">
        <f t="shared" si="52"/>
        <v>56.35714285714285</v>
      </c>
      <c r="Q197" s="73">
        <f t="shared" si="53"/>
        <v>14.055422678967242</v>
      </c>
    </row>
    <row r="198" spans="1:17" ht="36">
      <c r="A198" s="67" t="s">
        <v>184</v>
      </c>
      <c r="B198" s="244" t="s">
        <v>231</v>
      </c>
      <c r="C198" s="196" t="s">
        <v>185</v>
      </c>
      <c r="D198" s="219">
        <f t="shared" si="77"/>
        <v>17931.9</v>
      </c>
      <c r="E198" s="219">
        <f t="shared" si="76"/>
        <v>3849.9000000000005</v>
      </c>
      <c r="F198" s="73">
        <f>F12+F32+F45+F61+F77+F93+F107+F121+F137+F152+F168+F183</f>
        <v>3849.9000000000005</v>
      </c>
      <c r="G198" s="73">
        <f>G12+G32+G45+G61+G77+G93+G107+G121+G137+G152+G168+G183</f>
        <v>4084.4</v>
      </c>
      <c r="H198" s="73">
        <f>H12+H32+H45+H61+H77+H93+H107+H121+H137+H152+H168+H183</f>
        <v>4375.200000000001</v>
      </c>
      <c r="I198" s="73">
        <f>I12+I32+I45+I61+I77+I93+I107+I121+I137+I152+I168+I183-0.1</f>
        <v>5622.399999999999</v>
      </c>
      <c r="J198" s="73">
        <f>J12+J32+J45+J61+J77+J93+J107+J121+J137+J152+J168+J183</f>
        <v>3072.2999999999993</v>
      </c>
      <c r="K198" s="74" t="e">
        <f>J198/#REF!*100</f>
        <v>#REF!</v>
      </c>
      <c r="L198" s="74">
        <f t="shared" si="75"/>
        <v>70.2207899067471</v>
      </c>
      <c r="M198" s="195"/>
      <c r="N198" s="195"/>
      <c r="O198" s="72">
        <f t="shared" si="54"/>
        <v>54.64392430278885</v>
      </c>
      <c r="P198" s="74">
        <f t="shared" si="52"/>
        <v>79.80207278111118</v>
      </c>
      <c r="Q198" s="73">
        <f t="shared" si="53"/>
        <v>17.133153765077875</v>
      </c>
    </row>
    <row r="199" spans="1:17" ht="36">
      <c r="A199" s="67" t="s">
        <v>186</v>
      </c>
      <c r="B199" s="244" t="s">
        <v>232</v>
      </c>
      <c r="C199" s="196" t="s">
        <v>187</v>
      </c>
      <c r="D199" s="219">
        <f t="shared" si="77"/>
        <v>3721.0000000000005</v>
      </c>
      <c r="E199" s="219">
        <f t="shared" si="76"/>
        <v>849.8000000000001</v>
      </c>
      <c r="F199" s="73">
        <f>F13+F33+F62+F78+F94+F108+F122+F138+F153+F169+F184</f>
        <v>849.8000000000001</v>
      </c>
      <c r="G199" s="73">
        <f>G13+G33+G62+G78+G94+G108+G122+G138+G153+G169+G184</f>
        <v>1061.4</v>
      </c>
      <c r="H199" s="73">
        <f>H13+H33+H62+H78+H94+H108+H122+H138+H153+H169+H184</f>
        <v>1062.2</v>
      </c>
      <c r="I199" s="73">
        <f>I13+I33+I62+I78+I94+I108+I122+I138+I153+I169+I184</f>
        <v>747.5999999999999</v>
      </c>
      <c r="J199" s="73">
        <f>J13+J33+J46+J62+J78+J94+J108+J122+J138+J153+J169+J184</f>
        <v>529.4</v>
      </c>
      <c r="K199" s="74" t="e">
        <f>J199/#REF!*100</f>
        <v>#REF!</v>
      </c>
      <c r="L199" s="74">
        <f t="shared" si="75"/>
        <v>49.839954810770095</v>
      </c>
      <c r="M199" s="195"/>
      <c r="N199" s="195"/>
      <c r="O199" s="72">
        <f t="shared" si="54"/>
        <v>70.81326912787588</v>
      </c>
      <c r="P199" s="74">
        <f t="shared" si="52"/>
        <v>62.29701106142621</v>
      </c>
      <c r="Q199" s="73">
        <f t="shared" si="53"/>
        <v>14.227358237033053</v>
      </c>
    </row>
    <row r="200" spans="1:17" ht="24">
      <c r="A200" s="67" t="s">
        <v>188</v>
      </c>
      <c r="B200" s="244" t="s">
        <v>233</v>
      </c>
      <c r="C200" s="196" t="s">
        <v>189</v>
      </c>
      <c r="D200" s="219">
        <f t="shared" si="77"/>
        <v>0</v>
      </c>
      <c r="E200" s="219">
        <f t="shared" si="76"/>
        <v>0</v>
      </c>
      <c r="F200" s="247">
        <f>F14</f>
        <v>0</v>
      </c>
      <c r="G200" s="247">
        <f>G14</f>
        <v>0</v>
      </c>
      <c r="H200" s="247">
        <f>H14</f>
        <v>0</v>
      </c>
      <c r="I200" s="247">
        <f>I14</f>
        <v>0</v>
      </c>
      <c r="J200" s="247">
        <f>J14</f>
        <v>0</v>
      </c>
      <c r="K200" s="74" t="e">
        <f>J200/#REF!*100</f>
        <v>#REF!</v>
      </c>
      <c r="L200" s="74"/>
      <c r="M200" s="195"/>
      <c r="N200" s="195"/>
      <c r="O200" s="72" t="e">
        <f t="shared" si="54"/>
        <v>#DIV/0!</v>
      </c>
      <c r="P200" s="74"/>
      <c r="Q200" s="73"/>
    </row>
    <row r="201" spans="1:17" ht="36">
      <c r="A201" s="68" t="s">
        <v>190</v>
      </c>
      <c r="B201" s="248" t="s">
        <v>234</v>
      </c>
      <c r="C201" s="196" t="s">
        <v>191</v>
      </c>
      <c r="D201" s="219">
        <f t="shared" si="77"/>
        <v>80610.9</v>
      </c>
      <c r="E201" s="219">
        <f t="shared" si="76"/>
        <v>19825.5</v>
      </c>
      <c r="F201" s="73">
        <f>F15+F34+F47+F63+F79+F95+F109+F123+F139+F154+F170+F185</f>
        <v>19825.5</v>
      </c>
      <c r="G201" s="73">
        <f>G15+G34+G47+G63+G79+G95+G109+G123+G139+G154+G170+G185</f>
        <v>20094.3</v>
      </c>
      <c r="H201" s="73">
        <f>H15+H34+H47+H63+H79+H95+H109+H123+H139+H154+H170+H185</f>
        <v>20429</v>
      </c>
      <c r="I201" s="73">
        <f>I15+I34+I47+I63+I79+I95+I109+I123+I139+I154+I170+I185</f>
        <v>20262.099999999995</v>
      </c>
      <c r="J201" s="73">
        <f>J15+J34+J47+J63+J79+J95+J109+J123+J139+J154+J170+J185</f>
        <v>3007.9000000000005</v>
      </c>
      <c r="K201" s="74" t="e">
        <f>J201/#REF!*100</f>
        <v>#REF!</v>
      </c>
      <c r="L201" s="74">
        <f t="shared" si="75"/>
        <v>14.72367712565471</v>
      </c>
      <c r="M201" s="195"/>
      <c r="N201" s="195"/>
      <c r="O201" s="72">
        <f t="shared" si="54"/>
        <v>14.844956840603892</v>
      </c>
      <c r="P201" s="74">
        <f aca="true" t="shared" si="79" ref="P201:P212">J201*100/E201</f>
        <v>15.171874605936802</v>
      </c>
      <c r="Q201" s="73">
        <f aca="true" t="shared" si="80" ref="Q201:Q212">J201*100/D201</f>
        <v>3.731381240006005</v>
      </c>
    </row>
    <row r="202" spans="1:17" ht="12.75">
      <c r="A202" s="198" t="s">
        <v>192</v>
      </c>
      <c r="B202" s="249" t="s">
        <v>235</v>
      </c>
      <c r="C202" s="196" t="s">
        <v>193</v>
      </c>
      <c r="D202" s="219">
        <f t="shared" si="77"/>
        <v>13832.499999999998</v>
      </c>
      <c r="E202" s="219">
        <f t="shared" si="76"/>
        <v>3453.2</v>
      </c>
      <c r="F202" s="73">
        <f>F16</f>
        <v>3453.2</v>
      </c>
      <c r="G202" s="73">
        <f>G16</f>
        <v>3453.2</v>
      </c>
      <c r="H202" s="73">
        <f>H16</f>
        <v>3453.2</v>
      </c>
      <c r="I202" s="73">
        <f>I16</f>
        <v>3472.9</v>
      </c>
      <c r="J202" s="73">
        <f>J16</f>
        <v>10217.8</v>
      </c>
      <c r="K202" s="74" t="e">
        <f>J202/#REF!*100</f>
        <v>#REF!</v>
      </c>
      <c r="L202" s="74">
        <f t="shared" si="75"/>
        <v>295.893663848025</v>
      </c>
      <c r="M202" s="195"/>
      <c r="N202" s="195"/>
      <c r="O202" s="72">
        <f t="shared" si="54"/>
        <v>294.21520919116585</v>
      </c>
      <c r="P202" s="74">
        <f t="shared" si="79"/>
        <v>295.893663848025</v>
      </c>
      <c r="Q202" s="73">
        <f t="shared" si="80"/>
        <v>73.86806434122538</v>
      </c>
    </row>
    <row r="203" spans="1:17" ht="24">
      <c r="A203" s="199" t="s">
        <v>194</v>
      </c>
      <c r="B203" s="250" t="s">
        <v>236</v>
      </c>
      <c r="C203" s="196" t="s">
        <v>195</v>
      </c>
      <c r="D203" s="219">
        <f t="shared" si="77"/>
        <v>6316</v>
      </c>
      <c r="E203" s="219">
        <f t="shared" si="76"/>
        <v>2794.1</v>
      </c>
      <c r="F203" s="251">
        <f>F17+F80+F96+F124+F140+F155+F171+F110+F64</f>
        <v>2794.1</v>
      </c>
      <c r="G203" s="251">
        <f>G17+G80+G96+G124+G140+G155+G171+G110+G64</f>
        <v>1127</v>
      </c>
      <c r="H203" s="251">
        <f>H17+H80+H96+H124+H140+H155+H171+H110+H64</f>
        <v>1026.4</v>
      </c>
      <c r="I203" s="251">
        <f>I17+I80+I96+I124+I140+I155+I171+I110+I64</f>
        <v>1368.5000000000002</v>
      </c>
      <c r="J203" s="251">
        <f>J17+J80+J96+J124+J140+J155+J171+J110+J64</f>
        <v>3407</v>
      </c>
      <c r="K203" s="74" t="e">
        <f>J203/#REF!*100</f>
        <v>#REF!</v>
      </c>
      <c r="L203" s="74">
        <f t="shared" si="75"/>
        <v>331.93686671862815</v>
      </c>
      <c r="M203" s="195"/>
      <c r="N203" s="195"/>
      <c r="O203" s="72">
        <f t="shared" si="54"/>
        <v>248.9587139203507</v>
      </c>
      <c r="P203" s="74">
        <f t="shared" si="79"/>
        <v>121.9355069610966</v>
      </c>
      <c r="Q203" s="73">
        <f t="shared" si="80"/>
        <v>53.942368587713744</v>
      </c>
    </row>
    <row r="204" spans="1:17" ht="24">
      <c r="A204" s="199" t="s">
        <v>196</v>
      </c>
      <c r="B204" s="250" t="s">
        <v>237</v>
      </c>
      <c r="C204" s="196" t="s">
        <v>197</v>
      </c>
      <c r="D204" s="219">
        <f t="shared" si="77"/>
        <v>10251</v>
      </c>
      <c r="E204" s="219">
        <f t="shared" si="76"/>
        <v>2792.2</v>
      </c>
      <c r="F204" s="73">
        <f>F18+F35+F48+F65+F81+F97+F111+F141+F156+F172+F186+F125</f>
        <v>2792.2</v>
      </c>
      <c r="G204" s="73">
        <f>G18+G35+G48+G65+G81+G97+G111+G141+G156+G172+G186+G125</f>
        <v>2875.2</v>
      </c>
      <c r="H204" s="73">
        <f>H18+H35+H48+H65+H81+H97+H111+H141+H156+H172+H186+H125</f>
        <v>2514.4999999999995</v>
      </c>
      <c r="I204" s="73">
        <f>I18+I35+I48+I65+I81+I97+I111+I141+I156+I172+I186+I125</f>
        <v>2069.1</v>
      </c>
      <c r="J204" s="73">
        <f>J18+J35+J48+J65+J81+J97+J111+J141+J156+J172+J186+J125-0.1</f>
        <v>2769.8</v>
      </c>
      <c r="K204" s="74" t="e">
        <f>J204/#REF!*100</f>
        <v>#REF!</v>
      </c>
      <c r="L204" s="74">
        <f t="shared" si="75"/>
        <v>110.15311195068604</v>
      </c>
      <c r="M204" s="195"/>
      <c r="N204" s="195"/>
      <c r="O204" s="72">
        <f aca="true" t="shared" si="81" ref="O204:O212">J204*100/I204</f>
        <v>133.8649654439128</v>
      </c>
      <c r="P204" s="74">
        <f t="shared" si="79"/>
        <v>99.19776520306569</v>
      </c>
      <c r="Q204" s="73">
        <f t="shared" si="80"/>
        <v>27.019802946054043</v>
      </c>
    </row>
    <row r="205" spans="1:17" ht="12.75">
      <c r="A205" s="199" t="s">
        <v>198</v>
      </c>
      <c r="B205" s="199"/>
      <c r="C205" s="196" t="s">
        <v>199</v>
      </c>
      <c r="D205" s="219">
        <f t="shared" si="77"/>
        <v>20</v>
      </c>
      <c r="E205" s="219">
        <f t="shared" si="76"/>
        <v>2</v>
      </c>
      <c r="F205" s="73">
        <f>F19</f>
        <v>2</v>
      </c>
      <c r="G205" s="73">
        <f>G19</f>
        <v>6</v>
      </c>
      <c r="H205" s="73">
        <f>H19</f>
        <v>6</v>
      </c>
      <c r="I205" s="73">
        <f>I19</f>
        <v>6</v>
      </c>
      <c r="J205" s="73">
        <f>J19</f>
        <v>2</v>
      </c>
      <c r="K205" s="74" t="e">
        <f>J205/#REF!*100</f>
        <v>#REF!</v>
      </c>
      <c r="L205" s="74">
        <f t="shared" si="75"/>
        <v>33.33333333333333</v>
      </c>
      <c r="M205" s="195"/>
      <c r="N205" s="195"/>
      <c r="O205" s="72">
        <f t="shared" si="81"/>
        <v>33.333333333333336</v>
      </c>
      <c r="P205" s="74">
        <f t="shared" si="79"/>
        <v>100</v>
      </c>
      <c r="Q205" s="73">
        <f t="shared" si="80"/>
        <v>10</v>
      </c>
    </row>
    <row r="206" spans="1:17" ht="36">
      <c r="A206" s="77" t="s">
        <v>200</v>
      </c>
      <c r="B206" s="246" t="s">
        <v>238</v>
      </c>
      <c r="C206" s="196" t="s">
        <v>201</v>
      </c>
      <c r="D206" s="219">
        <f t="shared" si="77"/>
        <v>2866.7000000000003</v>
      </c>
      <c r="E206" s="219">
        <f t="shared" si="76"/>
        <v>591.4</v>
      </c>
      <c r="F206" s="73">
        <f aca="true" t="shared" si="82" ref="F206:O206">F20+F173+F187+F66+F126+F49+F142+F82</f>
        <v>591.4</v>
      </c>
      <c r="G206" s="73">
        <f t="shared" si="82"/>
        <v>755.7</v>
      </c>
      <c r="H206" s="73">
        <f t="shared" si="82"/>
        <v>755.7</v>
      </c>
      <c r="I206" s="73">
        <f t="shared" si="82"/>
        <v>763.9</v>
      </c>
      <c r="J206" s="73">
        <f t="shared" si="82"/>
        <v>668.4000000000001</v>
      </c>
      <c r="K206" s="73" t="e">
        <f t="shared" si="82"/>
        <v>#REF!</v>
      </c>
      <c r="L206" s="73">
        <f t="shared" si="82"/>
        <v>85.77477835119757</v>
      </c>
      <c r="M206" s="73">
        <f t="shared" si="82"/>
        <v>0</v>
      </c>
      <c r="N206" s="73">
        <f t="shared" si="82"/>
        <v>0</v>
      </c>
      <c r="O206" s="73" t="e">
        <f t="shared" si="82"/>
        <v>#DIV/0!</v>
      </c>
      <c r="P206" s="74">
        <f t="shared" si="79"/>
        <v>113.01995265471764</v>
      </c>
      <c r="Q206" s="73">
        <f t="shared" si="80"/>
        <v>23.316007953395893</v>
      </c>
    </row>
    <row r="207" spans="1:17" ht="24">
      <c r="A207" s="200" t="s">
        <v>202</v>
      </c>
      <c r="B207" s="252" t="s">
        <v>233</v>
      </c>
      <c r="C207" s="71" t="s">
        <v>203</v>
      </c>
      <c r="D207" s="219">
        <f t="shared" si="77"/>
        <v>0</v>
      </c>
      <c r="E207" s="219">
        <f t="shared" si="76"/>
        <v>0</v>
      </c>
      <c r="F207" s="73">
        <f>F21+F36+F50+F67+F83+F98+F113+F127+F143+F158+F174+F188</f>
        <v>0</v>
      </c>
      <c r="G207" s="73">
        <f>G21+G36+G50+G67+G83+G98+G113+G127+G143+G158+G174+G188</f>
        <v>0</v>
      </c>
      <c r="H207" s="73">
        <f>H21+H36+H50+H67+H83+H98+H113+H127+H143+H158+H174+H188</f>
        <v>0</v>
      </c>
      <c r="I207" s="73">
        <f>I21+I36+I50+I67+I83+I98+I113+I127+I143+I158+I174+I188</f>
        <v>0</v>
      </c>
      <c r="J207" s="73">
        <f>J21+J36+J50+J67+J83+J98+J113+J127+J143+J158+J174+J188</f>
        <v>599.8999999999999</v>
      </c>
      <c r="K207" s="74"/>
      <c r="L207" s="74"/>
      <c r="M207" s="195"/>
      <c r="N207" s="195"/>
      <c r="O207" s="72" t="e">
        <f t="shared" si="81"/>
        <v>#DIV/0!</v>
      </c>
      <c r="P207" s="74"/>
      <c r="Q207" s="73"/>
    </row>
    <row r="208" spans="1:17" ht="12.75">
      <c r="A208" s="192" t="s">
        <v>206</v>
      </c>
      <c r="B208" s="245"/>
      <c r="C208" s="202" t="s">
        <v>207</v>
      </c>
      <c r="D208" s="203">
        <f aca="true" t="shared" si="83" ref="D208:J208">D209+D210+D211</f>
        <v>2944239</v>
      </c>
      <c r="E208" s="203">
        <f t="shared" si="83"/>
        <v>303935.9</v>
      </c>
      <c r="F208" s="203">
        <f t="shared" si="83"/>
        <v>303935.9</v>
      </c>
      <c r="G208" s="203">
        <f t="shared" si="83"/>
        <v>741102.8</v>
      </c>
      <c r="H208" s="203">
        <f t="shared" si="83"/>
        <v>708070.7999999999</v>
      </c>
      <c r="I208" s="203">
        <f t="shared" si="83"/>
        <v>1191129.5</v>
      </c>
      <c r="J208" s="203">
        <f t="shared" si="83"/>
        <v>-46908.399999999965</v>
      </c>
      <c r="K208" s="194" t="e">
        <f>J208/#REF!*100</f>
        <v>#REF!</v>
      </c>
      <c r="L208" s="194">
        <f>J208/H208*100</f>
        <v>-6.624817744214274</v>
      </c>
      <c r="M208" s="195"/>
      <c r="N208" s="195"/>
      <c r="O208" s="204">
        <f t="shared" si="81"/>
        <v>-3.938144425102389</v>
      </c>
      <c r="P208" s="194">
        <f t="shared" si="79"/>
        <v>-15.4336490029641</v>
      </c>
      <c r="Q208" s="80">
        <f t="shared" si="80"/>
        <v>-1.5932266368321308</v>
      </c>
    </row>
    <row r="209" spans="1:17" ht="36">
      <c r="A209" s="69" t="s">
        <v>208</v>
      </c>
      <c r="B209" s="244" t="s">
        <v>239</v>
      </c>
      <c r="C209" s="205" t="s">
        <v>209</v>
      </c>
      <c r="D209" s="219">
        <f t="shared" si="77"/>
        <v>3010100.6999999997</v>
      </c>
      <c r="E209" s="219">
        <f t="shared" si="76"/>
        <v>388997.6</v>
      </c>
      <c r="F209" s="72">
        <f>F23-6274.7-64</f>
        <v>388997.6</v>
      </c>
      <c r="G209" s="72">
        <f>G23-9412.1-96</f>
        <v>734502.8</v>
      </c>
      <c r="H209" s="72">
        <f>H23-8470.9-86.4</f>
        <v>701470.7999999999</v>
      </c>
      <c r="I209" s="72">
        <f>I23-7215.9-73.6</f>
        <v>1185129.5</v>
      </c>
      <c r="J209" s="72">
        <f>J23</f>
        <v>276058.7</v>
      </c>
      <c r="K209" s="74" t="e">
        <f>J209/#REF!*100</f>
        <v>#REF!</v>
      </c>
      <c r="L209" s="74">
        <f>J209/H209*100</f>
        <v>39.35426820332365</v>
      </c>
      <c r="M209" s="195"/>
      <c r="N209" s="195"/>
      <c r="O209" s="72">
        <f t="shared" si="81"/>
        <v>23.29354724525885</v>
      </c>
      <c r="P209" s="74">
        <f t="shared" si="79"/>
        <v>70.96668462736017</v>
      </c>
      <c r="Q209" s="73">
        <f t="shared" si="80"/>
        <v>9.17107856225541</v>
      </c>
    </row>
    <row r="210" spans="1:17" ht="36">
      <c r="A210" s="69" t="s">
        <v>210</v>
      </c>
      <c r="B210" s="69" t="s">
        <v>240</v>
      </c>
      <c r="C210" s="206" t="s">
        <v>211</v>
      </c>
      <c r="D210" s="219">
        <f t="shared" si="77"/>
        <v>26570.2</v>
      </c>
      <c r="E210" s="219">
        <f t="shared" si="76"/>
        <v>7370.2</v>
      </c>
      <c r="F210" s="73">
        <f>F24+F87+F101+F161+F130+F53</f>
        <v>7370.2</v>
      </c>
      <c r="G210" s="73">
        <f>G24+G87+G101+G161+G130+G53</f>
        <v>6600</v>
      </c>
      <c r="H210" s="73">
        <f>H24+H87+H101+H161+H130+H53</f>
        <v>6600</v>
      </c>
      <c r="I210" s="73">
        <f>I24+I87+I101+I161+I130+I53</f>
        <v>6000</v>
      </c>
      <c r="J210" s="73">
        <f>J24+J87+J101+J161+J130+J53</f>
        <v>0</v>
      </c>
      <c r="K210" s="74" t="e">
        <f>J210/#REF!*100</f>
        <v>#REF!</v>
      </c>
      <c r="L210" s="74">
        <f>J210/H210*100</f>
        <v>0</v>
      </c>
      <c r="M210" s="195"/>
      <c r="N210" s="195"/>
      <c r="O210" s="72">
        <f t="shared" si="81"/>
        <v>0</v>
      </c>
      <c r="P210" s="74">
        <f t="shared" si="79"/>
        <v>0</v>
      </c>
      <c r="Q210" s="73">
        <f t="shared" si="80"/>
        <v>0</v>
      </c>
    </row>
    <row r="211" spans="1:17" ht="36">
      <c r="A211" s="69" t="s">
        <v>214</v>
      </c>
      <c r="B211" s="70"/>
      <c r="C211" s="76" t="s">
        <v>215</v>
      </c>
      <c r="D211" s="219">
        <f t="shared" si="77"/>
        <v>-92431.9</v>
      </c>
      <c r="E211" s="219">
        <f t="shared" si="76"/>
        <v>-92431.9</v>
      </c>
      <c r="F211" s="73">
        <f>F26</f>
        <v>-92431.9</v>
      </c>
      <c r="G211" s="73">
        <f>G26</f>
        <v>0</v>
      </c>
      <c r="H211" s="73">
        <f>H26</f>
        <v>0</v>
      </c>
      <c r="I211" s="73">
        <f>I26</f>
        <v>0</v>
      </c>
      <c r="J211" s="73">
        <f>J26</f>
        <v>-322967.1</v>
      </c>
      <c r="K211" s="74" t="e">
        <f>J211/#REF!*100</f>
        <v>#REF!</v>
      </c>
      <c r="L211" s="74"/>
      <c r="M211" s="195"/>
      <c r="N211" s="195"/>
      <c r="O211" s="72" t="e">
        <f t="shared" si="81"/>
        <v>#DIV/0!</v>
      </c>
      <c r="P211" s="74">
        <f t="shared" si="79"/>
        <v>349.4108635655006</v>
      </c>
      <c r="Q211" s="73">
        <f t="shared" si="80"/>
        <v>349.4108635655006</v>
      </c>
    </row>
    <row r="212" spans="1:17" ht="12.75">
      <c r="A212" s="77"/>
      <c r="B212" s="78"/>
      <c r="C212" s="79" t="s">
        <v>216</v>
      </c>
      <c r="D212" s="80">
        <f aca="true" t="shared" si="84" ref="D212:J212">D208+D194</f>
        <v>3936917.6</v>
      </c>
      <c r="E212" s="80">
        <f t="shared" si="84"/>
        <v>535986.9</v>
      </c>
      <c r="F212" s="80">
        <f t="shared" si="84"/>
        <v>535986.9</v>
      </c>
      <c r="G212" s="80">
        <f t="shared" si="84"/>
        <v>994851.5</v>
      </c>
      <c r="H212" s="80">
        <f t="shared" si="84"/>
        <v>945206.4</v>
      </c>
      <c r="I212" s="80">
        <f t="shared" si="84"/>
        <v>1460872.8</v>
      </c>
      <c r="J212" s="80">
        <f t="shared" si="84"/>
        <v>101444.70000000001</v>
      </c>
      <c r="K212" s="194" t="e">
        <f>J212/#REF!*100</f>
        <v>#REF!</v>
      </c>
      <c r="L212" s="194">
        <f>J212/H212*100</f>
        <v>10.732544764825969</v>
      </c>
      <c r="M212" s="195"/>
      <c r="N212" s="209" t="e">
        <f>I212+#REF!+#REF!</f>
        <v>#REF!</v>
      </c>
      <c r="O212" s="204">
        <f t="shared" si="81"/>
        <v>6.944115873743423</v>
      </c>
      <c r="P212" s="194">
        <f t="shared" si="79"/>
        <v>18.92671257450509</v>
      </c>
      <c r="Q212" s="80">
        <f t="shared" si="80"/>
        <v>2.576754463949157</v>
      </c>
    </row>
    <row r="213" spans="1:17" ht="12.75">
      <c r="A213" s="184"/>
      <c r="B213" s="184"/>
      <c r="C213" s="253"/>
      <c r="D213" s="253"/>
      <c r="E213" s="253"/>
      <c r="F213" s="253"/>
      <c r="G213" s="253"/>
      <c r="H213" s="254"/>
      <c r="I213" s="184"/>
      <c r="J213" s="184"/>
      <c r="K213" s="184"/>
      <c r="L213" s="184"/>
      <c r="M213" s="184"/>
      <c r="N213" s="184"/>
      <c r="O213" s="184"/>
      <c r="P213" s="184"/>
      <c r="Q213" s="184"/>
    </row>
  </sheetData>
  <sheetProtection/>
  <mergeCells count="41">
    <mergeCell ref="A149:O149"/>
    <mergeCell ref="A164:O164"/>
    <mergeCell ref="A179:O179"/>
    <mergeCell ref="A193:O193"/>
    <mergeCell ref="A29:O29"/>
    <mergeCell ref="C40:L40"/>
    <mergeCell ref="A41:O41"/>
    <mergeCell ref="A57:O57"/>
    <mergeCell ref="A73:O73"/>
    <mergeCell ref="A90:O90"/>
    <mergeCell ref="N4:N6"/>
    <mergeCell ref="O4:O6"/>
    <mergeCell ref="P4:P6"/>
    <mergeCell ref="Q4:Q6"/>
    <mergeCell ref="A7:O7"/>
    <mergeCell ref="A28:L28"/>
    <mergeCell ref="H4:H6"/>
    <mergeCell ref="I4:I6"/>
    <mergeCell ref="J4:J6"/>
    <mergeCell ref="K4:K6"/>
    <mergeCell ref="L4:L6"/>
    <mergeCell ref="M4:M6"/>
    <mergeCell ref="A178:L178"/>
    <mergeCell ref="A192:L192"/>
    <mergeCell ref="A148:L148"/>
    <mergeCell ref="A163:L163"/>
    <mergeCell ref="A133:O133"/>
    <mergeCell ref="A103:L103"/>
    <mergeCell ref="A117:L117"/>
    <mergeCell ref="A132:L132"/>
    <mergeCell ref="A104:O104"/>
    <mergeCell ref="A118:O118"/>
    <mergeCell ref="A56:L56"/>
    <mergeCell ref="A72:L72"/>
    <mergeCell ref="A89:L89"/>
    <mergeCell ref="A1:L1"/>
    <mergeCell ref="A2:L2"/>
    <mergeCell ref="D4:D6"/>
    <mergeCell ref="E4:E6"/>
    <mergeCell ref="F4:F6"/>
    <mergeCell ref="G4:G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PageLayoutView="0" workbookViewId="0" topLeftCell="A1">
      <selection activeCell="A121" sqref="A121:C137"/>
    </sheetView>
  </sheetViews>
  <sheetFormatPr defaultColWidth="9.00390625" defaultRowHeight="12.75"/>
  <cols>
    <col min="2" max="2" width="49.875" style="0" customWidth="1"/>
    <col min="3" max="3" width="13.75390625" style="0" customWidth="1"/>
    <col min="4" max="4" width="12.875" style="0" customWidth="1"/>
    <col min="5" max="5" width="6.25390625" style="0" customWidth="1"/>
    <col min="6" max="6" width="12.625" style="0" customWidth="1"/>
    <col min="7" max="7" width="10.875" style="0" customWidth="1"/>
    <col min="8" max="8" width="8.875" style="0" customWidth="1"/>
    <col min="9" max="9" width="12.625" style="0" customWidth="1"/>
    <col min="10" max="10" width="11.875" style="0" customWidth="1"/>
  </cols>
  <sheetData>
    <row r="1" spans="1:11" ht="24" customHeight="1">
      <c r="A1" s="139" t="s">
        <v>241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 customHeight="1">
      <c r="A3" s="170" t="s">
        <v>98</v>
      </c>
      <c r="B3" s="172" t="s">
        <v>97</v>
      </c>
      <c r="C3" s="174" t="s">
        <v>113</v>
      </c>
      <c r="D3" s="174"/>
      <c r="E3" s="174"/>
      <c r="F3" s="175" t="s">
        <v>112</v>
      </c>
      <c r="G3" s="175"/>
      <c r="H3" s="175"/>
      <c r="I3" s="176" t="s">
        <v>111</v>
      </c>
      <c r="J3" s="176"/>
      <c r="K3" s="177"/>
    </row>
    <row r="4" spans="1:11" ht="12.75" customHeight="1">
      <c r="A4" s="171"/>
      <c r="B4" s="173"/>
      <c r="C4" s="164" t="s">
        <v>78</v>
      </c>
      <c r="D4" s="164" t="s">
        <v>242</v>
      </c>
      <c r="E4" s="164" t="s">
        <v>77</v>
      </c>
      <c r="F4" s="164" t="s">
        <v>78</v>
      </c>
      <c r="G4" s="178" t="s">
        <v>242</v>
      </c>
      <c r="H4" s="178" t="s">
        <v>77</v>
      </c>
      <c r="I4" s="179" t="s">
        <v>78</v>
      </c>
      <c r="J4" s="181" t="s">
        <v>243</v>
      </c>
      <c r="K4" s="167" t="s">
        <v>77</v>
      </c>
    </row>
    <row r="5" spans="1:11" ht="12.75">
      <c r="A5" s="171"/>
      <c r="B5" s="173"/>
      <c r="C5" s="165"/>
      <c r="D5" s="164"/>
      <c r="E5" s="169"/>
      <c r="F5" s="165"/>
      <c r="G5" s="178"/>
      <c r="H5" s="165"/>
      <c r="I5" s="180"/>
      <c r="J5" s="181"/>
      <c r="K5" s="168"/>
    </row>
    <row r="6" spans="1:11" ht="12.75">
      <c r="A6" s="171"/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12.75">
      <c r="A7" s="171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ht="12.75">
      <c r="A8" s="171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ht="12.75">
      <c r="A9" s="85" t="s">
        <v>1</v>
      </c>
      <c r="B9" s="86" t="s">
        <v>2</v>
      </c>
      <c r="C9" s="87">
        <f>SUM(C10:C17)</f>
        <v>246456.6</v>
      </c>
      <c r="D9" s="87">
        <f>SUM(D10:D17)</f>
        <v>49526.100000000006</v>
      </c>
      <c r="E9" s="87">
        <f>D9/C9*100</f>
        <v>20.09526220843751</v>
      </c>
      <c r="F9" s="87">
        <f>F10+F11+F12+F13+F14+F16+F17+F15</f>
        <v>178763</v>
      </c>
      <c r="G9" s="87">
        <f>SUM(G10:G17)</f>
        <v>29361.199999999997</v>
      </c>
      <c r="H9" s="88">
        <f>G9/F9*100</f>
        <v>16.424651633727336</v>
      </c>
      <c r="I9" s="87">
        <f>SUM(I10:I17)</f>
        <v>424916.6</v>
      </c>
      <c r="J9" s="87">
        <f>SUM(J10:J17)</f>
        <v>78887.3</v>
      </c>
      <c r="K9" s="89">
        <f>J9/I9*100</f>
        <v>18.565360826100935</v>
      </c>
    </row>
    <row r="10" spans="1:11" ht="12.75">
      <c r="A10" s="90" t="s">
        <v>3</v>
      </c>
      <c r="B10" s="91" t="s">
        <v>4</v>
      </c>
      <c r="C10" s="81">
        <v>13161.1</v>
      </c>
      <c r="D10" s="81">
        <v>3623.3</v>
      </c>
      <c r="E10" s="81">
        <f>D10/C10*100</f>
        <v>27.5303736009908</v>
      </c>
      <c r="F10" s="92">
        <v>37261.9</v>
      </c>
      <c r="G10" s="83">
        <v>5586.9</v>
      </c>
      <c r="H10" s="92">
        <f>G10/F10*100</f>
        <v>14.99359936020439</v>
      </c>
      <c r="I10" s="93">
        <f aca="true" t="shared" si="0" ref="I10:J73">C10+F10</f>
        <v>50423</v>
      </c>
      <c r="J10" s="84">
        <f t="shared" si="0"/>
        <v>9210.2</v>
      </c>
      <c r="K10" s="94">
        <f aca="true" t="shared" si="1" ref="K10:K75">J10/I10*100</f>
        <v>18.265870733593797</v>
      </c>
    </row>
    <row r="11" spans="1:11" ht="25.5">
      <c r="A11" s="90" t="s">
        <v>5</v>
      </c>
      <c r="B11" s="91" t="s">
        <v>89</v>
      </c>
      <c r="C11" s="81">
        <v>24830.9</v>
      </c>
      <c r="D11" s="81">
        <v>4860.1</v>
      </c>
      <c r="E11" s="81">
        <f aca="true" t="shared" si="2" ref="E11:E19">D11/C11*100</f>
        <v>19.572790353954144</v>
      </c>
      <c r="F11" s="92">
        <v>0</v>
      </c>
      <c r="G11" s="83">
        <v>0</v>
      </c>
      <c r="H11" s="92">
        <v>0</v>
      </c>
      <c r="I11" s="93">
        <f t="shared" si="0"/>
        <v>24830.9</v>
      </c>
      <c r="J11" s="84">
        <f t="shared" si="0"/>
        <v>4860.1</v>
      </c>
      <c r="K11" s="94">
        <f t="shared" si="1"/>
        <v>19.572790353954144</v>
      </c>
    </row>
    <row r="12" spans="1:11" ht="12.75">
      <c r="A12" s="90" t="s">
        <v>6</v>
      </c>
      <c r="B12" s="91" t="s">
        <v>7</v>
      </c>
      <c r="C12" s="81">
        <v>117590</v>
      </c>
      <c r="D12" s="81">
        <v>26712.4</v>
      </c>
      <c r="E12" s="81">
        <f t="shared" si="2"/>
        <v>22.716557530402245</v>
      </c>
      <c r="F12" s="92">
        <v>114320.9</v>
      </c>
      <c r="G12" s="83">
        <v>21768.3</v>
      </c>
      <c r="H12" s="92">
        <f aca="true" t="shared" si="3" ref="H12:H19">G12/F12*100</f>
        <v>19.041400128935305</v>
      </c>
      <c r="I12" s="93">
        <f t="shared" si="0"/>
        <v>231910.9</v>
      </c>
      <c r="J12" s="84">
        <f t="shared" si="0"/>
        <v>48480.7</v>
      </c>
      <c r="K12" s="94">
        <f t="shared" si="1"/>
        <v>20.904882004252496</v>
      </c>
    </row>
    <row r="13" spans="1:11" ht="12.75">
      <c r="A13" s="90" t="s">
        <v>8</v>
      </c>
      <c r="B13" s="91" t="s">
        <v>9</v>
      </c>
      <c r="C13" s="81">
        <v>0</v>
      </c>
      <c r="D13" s="81">
        <v>0</v>
      </c>
      <c r="E13" s="81"/>
      <c r="F13" s="92">
        <v>0</v>
      </c>
      <c r="G13" s="83">
        <v>0</v>
      </c>
      <c r="H13" s="92">
        <v>0</v>
      </c>
      <c r="I13" s="93">
        <f t="shared" si="0"/>
        <v>0</v>
      </c>
      <c r="J13" s="84">
        <f t="shared" si="0"/>
        <v>0</v>
      </c>
      <c r="K13" s="94"/>
    </row>
    <row r="14" spans="1:11" ht="12.75">
      <c r="A14" s="90" t="s">
        <v>10</v>
      </c>
      <c r="B14" s="91" t="s">
        <v>11</v>
      </c>
      <c r="C14" s="81">
        <v>27577.6</v>
      </c>
      <c r="D14" s="81">
        <v>6778.3</v>
      </c>
      <c r="E14" s="81">
        <f t="shared" si="2"/>
        <v>24.57900614991878</v>
      </c>
      <c r="F14" s="92">
        <v>221.6</v>
      </c>
      <c r="G14" s="83">
        <v>68.8</v>
      </c>
      <c r="H14" s="92">
        <f t="shared" si="3"/>
        <v>31.046931407942235</v>
      </c>
      <c r="I14" s="93">
        <f>C14+F14</f>
        <v>27799.199999999997</v>
      </c>
      <c r="J14" s="84">
        <f>D14+G14</f>
        <v>6847.1</v>
      </c>
      <c r="K14" s="94">
        <f t="shared" si="1"/>
        <v>24.630564908342688</v>
      </c>
    </row>
    <row r="15" spans="1:11" ht="12.75">
      <c r="A15" s="95" t="s">
        <v>12</v>
      </c>
      <c r="B15" s="91" t="s">
        <v>169</v>
      </c>
      <c r="C15" s="81"/>
      <c r="D15" s="81"/>
      <c r="E15" s="81"/>
      <c r="F15" s="92">
        <v>170</v>
      </c>
      <c r="G15" s="83">
        <v>170</v>
      </c>
      <c r="H15" s="92">
        <f t="shared" si="3"/>
        <v>100</v>
      </c>
      <c r="I15" s="93">
        <f>C15+F15</f>
        <v>170</v>
      </c>
      <c r="J15" s="84">
        <f t="shared" si="0"/>
        <v>170</v>
      </c>
      <c r="K15" s="94">
        <f t="shared" si="1"/>
        <v>100</v>
      </c>
    </row>
    <row r="16" spans="1:11" ht="12.75">
      <c r="A16" s="95" t="s">
        <v>13</v>
      </c>
      <c r="B16" s="91" t="s">
        <v>14</v>
      </c>
      <c r="C16" s="81">
        <v>4036</v>
      </c>
      <c r="D16" s="81">
        <v>0</v>
      </c>
      <c r="E16" s="81">
        <f t="shared" si="2"/>
        <v>0</v>
      </c>
      <c r="F16" s="92">
        <v>950</v>
      </c>
      <c r="G16" s="83">
        <v>0</v>
      </c>
      <c r="H16" s="92">
        <f t="shared" si="3"/>
        <v>0</v>
      </c>
      <c r="I16" s="93">
        <f t="shared" si="0"/>
        <v>4986</v>
      </c>
      <c r="J16" s="84">
        <f t="shared" si="0"/>
        <v>0</v>
      </c>
      <c r="K16" s="94">
        <f t="shared" si="1"/>
        <v>0</v>
      </c>
    </row>
    <row r="17" spans="1:11" ht="12.75">
      <c r="A17" s="90" t="s">
        <v>80</v>
      </c>
      <c r="B17" s="91" t="s">
        <v>15</v>
      </c>
      <c r="C17" s="81">
        <v>59261</v>
      </c>
      <c r="D17" s="81">
        <v>7552</v>
      </c>
      <c r="E17" s="81">
        <f t="shared" si="2"/>
        <v>12.743625655996354</v>
      </c>
      <c r="F17" s="92">
        <v>25838.6</v>
      </c>
      <c r="G17" s="83">
        <v>1767.2</v>
      </c>
      <c r="H17" s="92">
        <f t="shared" si="3"/>
        <v>6.83937984256113</v>
      </c>
      <c r="I17" s="93">
        <f>C17+F17-303</f>
        <v>84796.6</v>
      </c>
      <c r="J17" s="84">
        <f>D17+G17</f>
        <v>9319.2</v>
      </c>
      <c r="K17" s="94">
        <f t="shared" si="1"/>
        <v>10.990063280839092</v>
      </c>
    </row>
    <row r="18" spans="1:11" ht="12.75">
      <c r="A18" s="85" t="s">
        <v>16</v>
      </c>
      <c r="B18" s="86" t="s">
        <v>17</v>
      </c>
      <c r="C18" s="87">
        <f aca="true" t="shared" si="4" ref="C18:J18">C19</f>
        <v>4782</v>
      </c>
      <c r="D18" s="87">
        <f t="shared" si="4"/>
        <v>0</v>
      </c>
      <c r="E18" s="87">
        <f t="shared" si="4"/>
        <v>0</v>
      </c>
      <c r="F18" s="87">
        <f t="shared" si="4"/>
        <v>4782</v>
      </c>
      <c r="G18" s="87">
        <f t="shared" si="4"/>
        <v>0</v>
      </c>
      <c r="H18" s="96">
        <f t="shared" si="4"/>
        <v>0</v>
      </c>
      <c r="I18" s="87">
        <f t="shared" si="4"/>
        <v>4782</v>
      </c>
      <c r="J18" s="87">
        <f t="shared" si="4"/>
        <v>0</v>
      </c>
      <c r="K18" s="97">
        <f t="shared" si="1"/>
        <v>0</v>
      </c>
    </row>
    <row r="19" spans="1:11" ht="12.75">
      <c r="A19" s="90" t="s">
        <v>18</v>
      </c>
      <c r="B19" s="91" t="s">
        <v>19</v>
      </c>
      <c r="C19" s="81">
        <v>4782</v>
      </c>
      <c r="D19" s="81">
        <v>0</v>
      </c>
      <c r="E19" s="81">
        <f t="shared" si="2"/>
        <v>0</v>
      </c>
      <c r="F19" s="92">
        <v>4782</v>
      </c>
      <c r="G19" s="83">
        <v>0</v>
      </c>
      <c r="H19" s="92">
        <f t="shared" si="3"/>
        <v>0</v>
      </c>
      <c r="I19" s="93">
        <f>C19+F19-4782</f>
        <v>4782</v>
      </c>
      <c r="J19" s="84">
        <f>D19+G19</f>
        <v>0</v>
      </c>
      <c r="K19" s="94">
        <f t="shared" si="1"/>
        <v>0</v>
      </c>
    </row>
    <row r="20" spans="1:11" ht="12.75" customHeight="1">
      <c r="A20" s="182" t="s">
        <v>20</v>
      </c>
      <c r="B20" s="183" t="s">
        <v>102</v>
      </c>
      <c r="C20" s="166">
        <f>C23+C24+C22</f>
        <v>44339.299999999996</v>
      </c>
      <c r="D20" s="166">
        <f>D23+D24+D22</f>
        <v>1961.5</v>
      </c>
      <c r="E20" s="166">
        <f>D20/C20*100</f>
        <v>4.423840701138719</v>
      </c>
      <c r="F20" s="166">
        <f>F23+F24+F22</f>
        <v>8050.8</v>
      </c>
      <c r="G20" s="166">
        <f>G23+G24+G22</f>
        <v>171</v>
      </c>
      <c r="H20" s="166">
        <f>G20/F20*100</f>
        <v>2.124012520494858</v>
      </c>
      <c r="I20" s="166">
        <f>I23+I24+I22</f>
        <v>51629.1</v>
      </c>
      <c r="J20" s="166">
        <f>SUM(J22:J24)</f>
        <v>1371.5000000000002</v>
      </c>
      <c r="K20" s="166">
        <f>J20/I20*100</f>
        <v>2.6564476235301413</v>
      </c>
    </row>
    <row r="21" spans="1:11" ht="12.75">
      <c r="A21" s="182"/>
      <c r="B21" s="183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ht="12.75">
      <c r="A22" s="95" t="s">
        <v>116</v>
      </c>
      <c r="B22" s="91" t="s">
        <v>244</v>
      </c>
      <c r="C22" s="81">
        <v>5428.2</v>
      </c>
      <c r="D22" s="81">
        <v>1111.9</v>
      </c>
      <c r="E22" s="81">
        <f aca="true" t="shared" si="5" ref="E22:E90">D22/C22*100</f>
        <v>20.48376994215394</v>
      </c>
      <c r="F22" s="98">
        <v>761</v>
      </c>
      <c r="G22" s="83">
        <v>10.9</v>
      </c>
      <c r="H22" s="92">
        <f>G22/F22*100</f>
        <v>1.4323258869908015</v>
      </c>
      <c r="I22" s="93">
        <f>C22+F22-761</f>
        <v>5428.2</v>
      </c>
      <c r="J22" s="84">
        <f>D22+G22-761</f>
        <v>361.8000000000002</v>
      </c>
      <c r="K22" s="94">
        <f>J22/I22*100</f>
        <v>6.665192881618219</v>
      </c>
    </row>
    <row r="23" spans="1:11" ht="12.75">
      <c r="A23" s="90" t="s">
        <v>21</v>
      </c>
      <c r="B23" s="91" t="s">
        <v>117</v>
      </c>
      <c r="C23" s="81">
        <v>8856.6</v>
      </c>
      <c r="D23" s="81">
        <v>849.6</v>
      </c>
      <c r="E23" s="81">
        <f t="shared" si="5"/>
        <v>9.59284601314274</v>
      </c>
      <c r="F23" s="92">
        <v>7289.8</v>
      </c>
      <c r="G23" s="83">
        <v>160.1</v>
      </c>
      <c r="H23" s="92">
        <f>G23/F23*100</f>
        <v>2.1962193750171473</v>
      </c>
      <c r="I23" s="93">
        <f>C23+F23</f>
        <v>16146.400000000001</v>
      </c>
      <c r="J23" s="84">
        <f>D23+G23</f>
        <v>1009.7</v>
      </c>
      <c r="K23" s="94">
        <f>J23/I23*100</f>
        <v>6.253406332061635</v>
      </c>
    </row>
    <row r="24" spans="1:11" ht="25.5">
      <c r="A24" s="95" t="s">
        <v>107</v>
      </c>
      <c r="B24" s="91" t="s">
        <v>108</v>
      </c>
      <c r="C24" s="81">
        <v>30054.5</v>
      </c>
      <c r="D24" s="81">
        <v>0</v>
      </c>
      <c r="E24" s="81">
        <f t="shared" si="5"/>
        <v>0</v>
      </c>
      <c r="F24" s="92">
        <v>0</v>
      </c>
      <c r="G24" s="83">
        <v>0</v>
      </c>
      <c r="H24" s="92">
        <v>0</v>
      </c>
      <c r="I24" s="93">
        <f>C24+F24</f>
        <v>30054.5</v>
      </c>
      <c r="J24" s="84">
        <f>D24+G24</f>
        <v>0</v>
      </c>
      <c r="K24" s="94">
        <f>J24/I24*100</f>
        <v>0</v>
      </c>
    </row>
    <row r="25" spans="1:11" ht="12.75">
      <c r="A25" s="85" t="s">
        <v>22</v>
      </c>
      <c r="B25" s="86" t="s">
        <v>23</v>
      </c>
      <c r="C25" s="87">
        <f>SUM(C26:C43)</f>
        <v>187001.5</v>
      </c>
      <c r="D25" s="87">
        <f>SUM(D26:D43)</f>
        <v>6311</v>
      </c>
      <c r="E25" s="87">
        <f>D25/C25*100</f>
        <v>3.3748392392574393</v>
      </c>
      <c r="F25" s="87">
        <f>SUM(F26:F43)</f>
        <v>68762.6</v>
      </c>
      <c r="G25" s="87">
        <f>SUM(G26:G43)</f>
        <v>5240.5</v>
      </c>
      <c r="H25" s="88">
        <f>G25/F25*100</f>
        <v>7.621148705837184</v>
      </c>
      <c r="I25" s="87">
        <f>SUM(I26:I43)</f>
        <v>236991</v>
      </c>
      <c r="J25" s="87">
        <f>SUM(J26:J43)</f>
        <v>9532.400000000001</v>
      </c>
      <c r="K25" s="89">
        <f t="shared" si="1"/>
        <v>4.022262448784976</v>
      </c>
    </row>
    <row r="26" spans="1:11" ht="38.25">
      <c r="A26" s="95" t="s">
        <v>24</v>
      </c>
      <c r="B26" s="99" t="s">
        <v>245</v>
      </c>
      <c r="C26" s="81">
        <v>11292.4</v>
      </c>
      <c r="D26" s="81">
        <v>2031</v>
      </c>
      <c r="E26" s="81">
        <f t="shared" si="5"/>
        <v>17.985547802061564</v>
      </c>
      <c r="F26" s="100">
        <v>2443.7</v>
      </c>
      <c r="G26" s="101">
        <v>656</v>
      </c>
      <c r="H26" s="92">
        <f>G26/F26*100</f>
        <v>26.844539018701152</v>
      </c>
      <c r="I26" s="93">
        <f>C26+F26-2019.1</f>
        <v>11716.999999999998</v>
      </c>
      <c r="J26" s="93">
        <f>D26+G26-2019.1</f>
        <v>667.9000000000001</v>
      </c>
      <c r="K26" s="94">
        <f t="shared" si="1"/>
        <v>5.70026457284288</v>
      </c>
    </row>
    <row r="27" spans="1:11" ht="12.75">
      <c r="A27" s="90" t="s">
        <v>25</v>
      </c>
      <c r="B27" s="91" t="s">
        <v>26</v>
      </c>
      <c r="C27" s="81">
        <v>41040.5</v>
      </c>
      <c r="D27" s="81">
        <v>0</v>
      </c>
      <c r="E27" s="81">
        <f t="shared" si="5"/>
        <v>0</v>
      </c>
      <c r="F27" s="92">
        <v>0</v>
      </c>
      <c r="G27" s="83">
        <v>0</v>
      </c>
      <c r="H27" s="92">
        <v>0</v>
      </c>
      <c r="I27" s="93">
        <f t="shared" si="0"/>
        <v>41040.5</v>
      </c>
      <c r="J27" s="84">
        <f t="shared" si="0"/>
        <v>0</v>
      </c>
      <c r="K27" s="94">
        <f t="shared" si="1"/>
        <v>0</v>
      </c>
    </row>
    <row r="28" spans="1:11" ht="12.75">
      <c r="A28" s="90" t="s">
        <v>27</v>
      </c>
      <c r="B28" s="91" t="s">
        <v>246</v>
      </c>
      <c r="C28" s="100">
        <v>8650</v>
      </c>
      <c r="D28" s="81">
        <v>2000</v>
      </c>
      <c r="E28" s="81">
        <f t="shared" si="5"/>
        <v>23.121387283236995</v>
      </c>
      <c r="F28" s="92">
        <v>0</v>
      </c>
      <c r="G28" s="83">
        <v>0</v>
      </c>
      <c r="H28" s="92">
        <v>0</v>
      </c>
      <c r="I28" s="93">
        <f t="shared" si="0"/>
        <v>8650</v>
      </c>
      <c r="J28" s="84">
        <f t="shared" si="0"/>
        <v>2000</v>
      </c>
      <c r="K28" s="94">
        <f t="shared" si="1"/>
        <v>23.121387283236995</v>
      </c>
    </row>
    <row r="29" spans="1:11" ht="12.75">
      <c r="A29" s="90" t="s">
        <v>27</v>
      </c>
      <c r="B29" s="91" t="s">
        <v>247</v>
      </c>
      <c r="C29" s="100">
        <v>13896</v>
      </c>
      <c r="D29" s="81">
        <v>0</v>
      </c>
      <c r="E29" s="81">
        <f t="shared" si="5"/>
        <v>0</v>
      </c>
      <c r="F29" s="101">
        <v>12592</v>
      </c>
      <c r="G29" s="98">
        <v>614.5</v>
      </c>
      <c r="H29" s="92">
        <f>G29/F29*100</f>
        <v>4.880082592121982</v>
      </c>
      <c r="I29" s="93">
        <f t="shared" si="0"/>
        <v>26488</v>
      </c>
      <c r="J29" s="84">
        <f t="shared" si="0"/>
        <v>614.5</v>
      </c>
      <c r="K29" s="94">
        <f t="shared" si="1"/>
        <v>2.319918453639384</v>
      </c>
    </row>
    <row r="30" spans="1:11" ht="12.75">
      <c r="A30" s="90" t="s">
        <v>27</v>
      </c>
      <c r="B30" s="91" t="s">
        <v>248</v>
      </c>
      <c r="C30" s="100">
        <v>9831</v>
      </c>
      <c r="D30" s="81">
        <v>1918.9</v>
      </c>
      <c r="E30" s="81">
        <f t="shared" si="5"/>
        <v>19.518868884142</v>
      </c>
      <c r="F30" s="98">
        <v>0</v>
      </c>
      <c r="G30" s="98">
        <v>0</v>
      </c>
      <c r="H30" s="92">
        <v>0</v>
      </c>
      <c r="I30" s="93">
        <f t="shared" si="0"/>
        <v>9831</v>
      </c>
      <c r="J30" s="84">
        <f t="shared" si="0"/>
        <v>1918.9</v>
      </c>
      <c r="K30" s="94">
        <f t="shared" si="1"/>
        <v>19.518868884142</v>
      </c>
    </row>
    <row r="31" spans="1:11" ht="38.25">
      <c r="A31" s="90" t="s">
        <v>74</v>
      </c>
      <c r="B31" s="102" t="s">
        <v>249</v>
      </c>
      <c r="C31" s="100">
        <v>1963</v>
      </c>
      <c r="D31" s="100">
        <v>0</v>
      </c>
      <c r="E31" s="81">
        <f t="shared" si="5"/>
        <v>0</v>
      </c>
      <c r="F31" s="98">
        <v>0</v>
      </c>
      <c r="G31" s="98">
        <v>0</v>
      </c>
      <c r="H31" s="92">
        <v>0</v>
      </c>
      <c r="I31" s="93">
        <f t="shared" si="0"/>
        <v>1963</v>
      </c>
      <c r="J31" s="84">
        <f t="shared" si="0"/>
        <v>0</v>
      </c>
      <c r="K31" s="94">
        <f t="shared" si="1"/>
        <v>0</v>
      </c>
    </row>
    <row r="32" spans="1:11" ht="51">
      <c r="A32" s="95" t="s">
        <v>74</v>
      </c>
      <c r="B32" s="102" t="s">
        <v>250</v>
      </c>
      <c r="C32" s="100">
        <f>62658+3163+14254+872.6</f>
        <v>80947.6</v>
      </c>
      <c r="D32" s="81">
        <v>0</v>
      </c>
      <c r="E32" s="81">
        <v>0</v>
      </c>
      <c r="F32" s="101">
        <v>16408.4</v>
      </c>
      <c r="G32" s="101">
        <v>0</v>
      </c>
      <c r="H32" s="92">
        <f>G32/F32*100</f>
        <v>0</v>
      </c>
      <c r="I32" s="93">
        <f>C32+F32-14254</f>
        <v>83102</v>
      </c>
      <c r="J32" s="84">
        <f>D32+G32</f>
        <v>0</v>
      </c>
      <c r="K32" s="94">
        <f>J32/I32*100</f>
        <v>0</v>
      </c>
    </row>
    <row r="33" spans="1:11" ht="76.5">
      <c r="A33" s="95" t="s">
        <v>74</v>
      </c>
      <c r="B33" s="91" t="s">
        <v>251</v>
      </c>
      <c r="C33" s="100">
        <v>2500</v>
      </c>
      <c r="D33" s="81">
        <v>0</v>
      </c>
      <c r="E33" s="81"/>
      <c r="F33" s="101">
        <v>2500</v>
      </c>
      <c r="G33" s="101"/>
      <c r="H33" s="92"/>
      <c r="I33" s="93">
        <f>C33+F33-2500</f>
        <v>2500</v>
      </c>
      <c r="J33" s="84">
        <f>D33+G33</f>
        <v>0</v>
      </c>
      <c r="K33" s="94">
        <f>J33/I33*100</f>
        <v>0</v>
      </c>
    </row>
    <row r="34" spans="1:11" ht="25.5">
      <c r="A34" s="95" t="s">
        <v>74</v>
      </c>
      <c r="B34" s="91" t="s">
        <v>252</v>
      </c>
      <c r="C34" s="100"/>
      <c r="D34" s="81"/>
      <c r="E34" s="81"/>
      <c r="F34" s="101">
        <v>31836.1</v>
      </c>
      <c r="G34" s="101">
        <v>3529.4</v>
      </c>
      <c r="H34" s="92"/>
      <c r="I34" s="93">
        <f>C34+F34</f>
        <v>31836.1</v>
      </c>
      <c r="J34" s="84">
        <f>D34+G34</f>
        <v>3529.4</v>
      </c>
      <c r="K34" s="94">
        <f>J34/I34*100</f>
        <v>11.086156909923012</v>
      </c>
    </row>
    <row r="35" spans="1:11" ht="12.75">
      <c r="A35" s="90" t="s">
        <v>67</v>
      </c>
      <c r="B35" s="91" t="s">
        <v>68</v>
      </c>
      <c r="C35" s="100">
        <v>4038</v>
      </c>
      <c r="D35" s="81">
        <v>343</v>
      </c>
      <c r="E35" s="81">
        <f t="shared" si="5"/>
        <v>8.494304110946013</v>
      </c>
      <c r="F35" s="101">
        <v>2482.4</v>
      </c>
      <c r="G35" s="98">
        <v>440.6</v>
      </c>
      <c r="H35" s="92">
        <f>G35/F35*100</f>
        <v>17.748952626490492</v>
      </c>
      <c r="I35" s="93">
        <f t="shared" si="0"/>
        <v>6520.4</v>
      </c>
      <c r="J35" s="84">
        <f t="shared" si="0"/>
        <v>783.6</v>
      </c>
      <c r="K35" s="94">
        <f t="shared" si="1"/>
        <v>12.0176676277529</v>
      </c>
    </row>
    <row r="36" spans="1:11" ht="25.5">
      <c r="A36" s="90" t="s">
        <v>28</v>
      </c>
      <c r="B36" s="91" t="s">
        <v>253</v>
      </c>
      <c r="C36" s="100">
        <v>0</v>
      </c>
      <c r="D36" s="100">
        <v>0</v>
      </c>
      <c r="E36" s="100">
        <v>0</v>
      </c>
      <c r="F36" s="101">
        <v>500</v>
      </c>
      <c r="G36" s="101">
        <v>0</v>
      </c>
      <c r="H36" s="92">
        <f>G36/F36*100</f>
        <v>0</v>
      </c>
      <c r="I36" s="93">
        <f t="shared" si="0"/>
        <v>500</v>
      </c>
      <c r="J36" s="84">
        <f t="shared" si="0"/>
        <v>0</v>
      </c>
      <c r="K36" s="94">
        <f t="shared" si="1"/>
        <v>0</v>
      </c>
    </row>
    <row r="37" spans="1:11" ht="38.25">
      <c r="A37" s="90" t="s">
        <v>28</v>
      </c>
      <c r="B37" s="102" t="s">
        <v>254</v>
      </c>
      <c r="C37" s="100">
        <v>3532</v>
      </c>
      <c r="D37" s="100">
        <v>0</v>
      </c>
      <c r="E37" s="100">
        <f t="shared" si="5"/>
        <v>0</v>
      </c>
      <c r="F37" s="101">
        <v>0</v>
      </c>
      <c r="G37" s="101">
        <v>0</v>
      </c>
      <c r="H37" s="92">
        <v>0</v>
      </c>
      <c r="I37" s="93">
        <f t="shared" si="0"/>
        <v>3532</v>
      </c>
      <c r="J37" s="84">
        <f t="shared" si="0"/>
        <v>0</v>
      </c>
      <c r="K37" s="94">
        <f t="shared" si="1"/>
        <v>0</v>
      </c>
    </row>
    <row r="38" spans="1:11" ht="38.25">
      <c r="A38" s="90" t="s">
        <v>28</v>
      </c>
      <c r="B38" s="102" t="s">
        <v>255</v>
      </c>
      <c r="C38" s="100">
        <v>4500</v>
      </c>
      <c r="D38" s="101">
        <v>0</v>
      </c>
      <c r="E38" s="100">
        <f t="shared" si="5"/>
        <v>0</v>
      </c>
      <c r="F38" s="101">
        <v>0</v>
      </c>
      <c r="G38" s="101">
        <v>0</v>
      </c>
      <c r="H38" s="92">
        <v>0</v>
      </c>
      <c r="I38" s="93">
        <f t="shared" si="0"/>
        <v>4500</v>
      </c>
      <c r="J38" s="84">
        <f t="shared" si="0"/>
        <v>0</v>
      </c>
      <c r="K38" s="94">
        <f t="shared" si="1"/>
        <v>0</v>
      </c>
    </row>
    <row r="39" spans="1:11" ht="25.5">
      <c r="A39" s="95" t="s">
        <v>28</v>
      </c>
      <c r="B39" s="102" t="s">
        <v>256</v>
      </c>
      <c r="C39" s="100">
        <v>1416.8</v>
      </c>
      <c r="D39" s="101">
        <v>18.1</v>
      </c>
      <c r="E39" s="100">
        <f>D39/C39*100</f>
        <v>1.277526821005082</v>
      </c>
      <c r="F39" s="101">
        <v>0</v>
      </c>
      <c r="G39" s="101">
        <v>0</v>
      </c>
      <c r="H39" s="92">
        <v>0</v>
      </c>
      <c r="I39" s="93">
        <f t="shared" si="0"/>
        <v>1416.8</v>
      </c>
      <c r="J39" s="84">
        <f t="shared" si="0"/>
        <v>18.1</v>
      </c>
      <c r="K39" s="94">
        <f>J39/I39*100</f>
        <v>1.277526821005082</v>
      </c>
    </row>
    <row r="40" spans="1:11" ht="63.75">
      <c r="A40" s="95" t="s">
        <v>28</v>
      </c>
      <c r="B40" s="102" t="s">
        <v>257</v>
      </c>
      <c r="C40" s="100">
        <v>1000</v>
      </c>
      <c r="D40" s="101">
        <v>0</v>
      </c>
      <c r="E40" s="100">
        <f>D40/C40*100</f>
        <v>0</v>
      </c>
      <c r="F40" s="101">
        <v>0</v>
      </c>
      <c r="G40" s="101">
        <v>0</v>
      </c>
      <c r="H40" s="92"/>
      <c r="I40" s="93">
        <f>C40+F40</f>
        <v>1000</v>
      </c>
      <c r="J40" s="84">
        <f t="shared" si="0"/>
        <v>0</v>
      </c>
      <c r="K40" s="94">
        <f>J40/I40*100</f>
        <v>0</v>
      </c>
    </row>
    <row r="41" spans="1:11" ht="76.5">
      <c r="A41" s="95" t="s">
        <v>28</v>
      </c>
      <c r="B41" s="102" t="s">
        <v>258</v>
      </c>
      <c r="C41" s="100">
        <v>61</v>
      </c>
      <c r="D41" s="101"/>
      <c r="E41" s="100"/>
      <c r="F41" s="101"/>
      <c r="G41" s="101"/>
      <c r="H41" s="92"/>
      <c r="I41" s="93">
        <f>C41+F41</f>
        <v>61</v>
      </c>
      <c r="J41" s="84">
        <f t="shared" si="0"/>
        <v>0</v>
      </c>
      <c r="K41" s="94"/>
    </row>
    <row r="42" spans="1:11" ht="51">
      <c r="A42" s="95" t="s">
        <v>28</v>
      </c>
      <c r="B42" s="102" t="s">
        <v>259</v>
      </c>
      <c r="C42" s="100">
        <v>1733.2</v>
      </c>
      <c r="D42" s="101"/>
      <c r="E42" s="100"/>
      <c r="F42" s="101"/>
      <c r="G42" s="101"/>
      <c r="H42" s="92"/>
      <c r="I42" s="93">
        <f>C42+F42</f>
        <v>1733.2</v>
      </c>
      <c r="J42" s="84">
        <f t="shared" si="0"/>
        <v>0</v>
      </c>
      <c r="K42" s="94"/>
    </row>
    <row r="43" spans="1:11" ht="51">
      <c r="A43" s="95" t="s">
        <v>28</v>
      </c>
      <c r="B43" s="102" t="s">
        <v>260</v>
      </c>
      <c r="C43" s="100">
        <v>600</v>
      </c>
      <c r="D43" s="101">
        <v>0</v>
      </c>
      <c r="E43" s="100">
        <f>D43/C43*100</f>
        <v>0</v>
      </c>
      <c r="F43" s="101">
        <v>0</v>
      </c>
      <c r="G43" s="101">
        <v>0</v>
      </c>
      <c r="H43" s="92"/>
      <c r="I43" s="93">
        <f t="shared" si="0"/>
        <v>600</v>
      </c>
      <c r="J43" s="84">
        <f t="shared" si="0"/>
        <v>0</v>
      </c>
      <c r="K43" s="94">
        <f>J43/I43*100</f>
        <v>0</v>
      </c>
    </row>
    <row r="44" spans="1:11" ht="12.75">
      <c r="A44" s="85" t="s">
        <v>29</v>
      </c>
      <c r="B44" s="86" t="s">
        <v>30</v>
      </c>
      <c r="C44" s="87">
        <f>SUM(C45:C64)</f>
        <v>189432.19999999998</v>
      </c>
      <c r="D44" s="87">
        <f>SUM(D45:D64)</f>
        <v>6397.700000000001</v>
      </c>
      <c r="E44" s="87">
        <f>D44/C44*100</f>
        <v>3.3773033306903484</v>
      </c>
      <c r="F44" s="103">
        <f>SUM(F45:F64)</f>
        <v>80021.79999999999</v>
      </c>
      <c r="G44" s="103">
        <f>SUM(G45:G64)</f>
        <v>2721.2000000000003</v>
      </c>
      <c r="H44" s="103">
        <f>G44/F44*100</f>
        <v>3.4005733437638255</v>
      </c>
      <c r="I44" s="103">
        <f>SUM(I45:I64)</f>
        <v>261973.60000000003</v>
      </c>
      <c r="J44" s="103">
        <f>SUM(J45:J64)</f>
        <v>7558.9</v>
      </c>
      <c r="K44" s="89">
        <f t="shared" si="1"/>
        <v>2.885367075155664</v>
      </c>
    </row>
    <row r="45" spans="1:11" ht="12.75">
      <c r="A45" s="104" t="s">
        <v>31</v>
      </c>
      <c r="B45" s="105" t="s">
        <v>261</v>
      </c>
      <c r="C45" s="100">
        <v>721.3</v>
      </c>
      <c r="D45" s="100"/>
      <c r="E45" s="100"/>
      <c r="F45" s="101">
        <v>28530.7</v>
      </c>
      <c r="G45" s="101">
        <v>456.3</v>
      </c>
      <c r="H45" s="101"/>
      <c r="I45" s="93">
        <f t="shared" si="0"/>
        <v>29252</v>
      </c>
      <c r="J45" s="84">
        <f t="shared" si="0"/>
        <v>456.3</v>
      </c>
      <c r="K45" s="94">
        <f t="shared" si="1"/>
        <v>1.559893340626282</v>
      </c>
    </row>
    <row r="46" spans="1:11" ht="63.75">
      <c r="A46" s="90" t="s">
        <v>31</v>
      </c>
      <c r="B46" s="91" t="s">
        <v>262</v>
      </c>
      <c r="C46" s="100">
        <v>2406.9</v>
      </c>
      <c r="D46" s="100"/>
      <c r="E46" s="100"/>
      <c r="F46" s="101"/>
      <c r="G46" s="101">
        <v>0</v>
      </c>
      <c r="H46" s="92"/>
      <c r="I46" s="93">
        <f t="shared" si="0"/>
        <v>2406.9</v>
      </c>
      <c r="J46" s="84">
        <f t="shared" si="0"/>
        <v>0</v>
      </c>
      <c r="K46" s="94">
        <f t="shared" si="1"/>
        <v>0</v>
      </c>
    </row>
    <row r="47" spans="1:11" ht="76.5">
      <c r="A47" s="90" t="s">
        <v>31</v>
      </c>
      <c r="B47" s="91" t="s">
        <v>263</v>
      </c>
      <c r="C47" s="100">
        <f>35880.4+9168.9</f>
        <v>45049.3</v>
      </c>
      <c r="D47" s="100">
        <v>2805.3</v>
      </c>
      <c r="E47" s="100">
        <f t="shared" si="5"/>
        <v>6.2271777807868265</v>
      </c>
      <c r="F47" s="101">
        <v>0</v>
      </c>
      <c r="G47" s="83">
        <v>0</v>
      </c>
      <c r="H47" s="92">
        <v>0</v>
      </c>
      <c r="I47" s="93">
        <f>C47+F47</f>
        <v>45049.3</v>
      </c>
      <c r="J47" s="84">
        <f>D47+G47</f>
        <v>2805.3</v>
      </c>
      <c r="K47" s="94">
        <f t="shared" si="1"/>
        <v>6.2271777807868265</v>
      </c>
    </row>
    <row r="48" spans="1:11" ht="76.5">
      <c r="A48" s="95" t="s">
        <v>31</v>
      </c>
      <c r="B48" s="91" t="s">
        <v>264</v>
      </c>
      <c r="C48" s="100">
        <v>566.1</v>
      </c>
      <c r="D48" s="100">
        <v>0</v>
      </c>
      <c r="E48" s="100">
        <f t="shared" si="5"/>
        <v>0</v>
      </c>
      <c r="F48" s="101">
        <v>584.6</v>
      </c>
      <c r="G48" s="83"/>
      <c r="H48" s="92">
        <f>G48/F48*100</f>
        <v>0</v>
      </c>
      <c r="I48" s="93">
        <f>C48+F48-566.1</f>
        <v>584.6</v>
      </c>
      <c r="J48" s="84">
        <f>D48+G48</f>
        <v>0</v>
      </c>
      <c r="K48" s="94">
        <f t="shared" si="1"/>
        <v>0</v>
      </c>
    </row>
    <row r="49" spans="1:11" ht="51">
      <c r="A49" s="95" t="s">
        <v>31</v>
      </c>
      <c r="B49" s="91" t="s">
        <v>265</v>
      </c>
      <c r="C49" s="100">
        <v>2350</v>
      </c>
      <c r="D49" s="100"/>
      <c r="E49" s="100">
        <v>0</v>
      </c>
      <c r="F49" s="101">
        <f>2050+300</f>
        <v>2350</v>
      </c>
      <c r="G49" s="83"/>
      <c r="H49" s="92">
        <f>G49/F49*100</f>
        <v>0</v>
      </c>
      <c r="I49" s="93">
        <f>C49+F49-2350</f>
        <v>2350</v>
      </c>
      <c r="J49" s="84">
        <f t="shared" si="0"/>
        <v>0</v>
      </c>
      <c r="K49" s="94">
        <f t="shared" si="1"/>
        <v>0</v>
      </c>
    </row>
    <row r="50" spans="1:11" ht="89.25">
      <c r="A50" s="90" t="s">
        <v>32</v>
      </c>
      <c r="B50" s="91" t="s">
        <v>266</v>
      </c>
      <c r="C50" s="100">
        <v>9419.8</v>
      </c>
      <c r="D50" s="100">
        <v>0</v>
      </c>
      <c r="E50" s="100">
        <f t="shared" si="5"/>
        <v>0</v>
      </c>
      <c r="F50" s="101"/>
      <c r="G50" s="83"/>
      <c r="H50" s="92"/>
      <c r="I50" s="93">
        <f t="shared" si="0"/>
        <v>9419.8</v>
      </c>
      <c r="J50" s="84">
        <f t="shared" si="0"/>
        <v>0</v>
      </c>
      <c r="K50" s="94">
        <f t="shared" si="1"/>
        <v>0</v>
      </c>
    </row>
    <row r="51" spans="1:11" ht="89.25">
      <c r="A51" s="90" t="s">
        <v>32</v>
      </c>
      <c r="B51" s="91" t="s">
        <v>267</v>
      </c>
      <c r="C51" s="100">
        <v>5786.2</v>
      </c>
      <c r="D51" s="106">
        <v>0</v>
      </c>
      <c r="E51" s="100">
        <f t="shared" si="5"/>
        <v>0</v>
      </c>
      <c r="F51" s="101"/>
      <c r="G51" s="98"/>
      <c r="H51" s="92"/>
      <c r="I51" s="93">
        <f t="shared" si="0"/>
        <v>5786.2</v>
      </c>
      <c r="J51" s="84">
        <f t="shared" si="0"/>
        <v>0</v>
      </c>
      <c r="K51" s="94">
        <f t="shared" si="1"/>
        <v>0</v>
      </c>
    </row>
    <row r="52" spans="1:11" ht="102">
      <c r="A52" s="90" t="s">
        <v>32</v>
      </c>
      <c r="B52" s="91" t="s">
        <v>268</v>
      </c>
      <c r="C52" s="100">
        <v>12174.8</v>
      </c>
      <c r="D52" s="106">
        <v>0</v>
      </c>
      <c r="E52" s="100">
        <f>D52/C52*100</f>
        <v>0</v>
      </c>
      <c r="F52" s="101"/>
      <c r="G52" s="98"/>
      <c r="H52" s="92"/>
      <c r="I52" s="93">
        <f>C52+F52</f>
        <v>12174.8</v>
      </c>
      <c r="J52" s="84">
        <f>D52+G52</f>
        <v>0</v>
      </c>
      <c r="K52" s="94">
        <f>J52/I52*100</f>
        <v>0</v>
      </c>
    </row>
    <row r="53" spans="1:11" ht="40.5" customHeight="1">
      <c r="A53" s="90" t="s">
        <v>32</v>
      </c>
      <c r="B53" s="91" t="s">
        <v>269</v>
      </c>
      <c r="C53" s="100">
        <v>33888.5</v>
      </c>
      <c r="D53" s="106">
        <v>0</v>
      </c>
      <c r="E53" s="100">
        <f t="shared" si="5"/>
        <v>0</v>
      </c>
      <c r="F53" s="101"/>
      <c r="G53" s="98"/>
      <c r="H53" s="92">
        <v>0</v>
      </c>
      <c r="I53" s="93">
        <f t="shared" si="0"/>
        <v>33888.5</v>
      </c>
      <c r="J53" s="84">
        <f t="shared" si="0"/>
        <v>0</v>
      </c>
      <c r="K53" s="94">
        <f t="shared" si="1"/>
        <v>0</v>
      </c>
    </row>
    <row r="54" spans="1:11" ht="76.5">
      <c r="A54" s="90" t="s">
        <v>32</v>
      </c>
      <c r="B54" s="102" t="s">
        <v>270</v>
      </c>
      <c r="C54" s="100">
        <v>14397</v>
      </c>
      <c r="D54" s="100"/>
      <c r="E54" s="100">
        <f t="shared" si="5"/>
        <v>0</v>
      </c>
      <c r="F54" s="101"/>
      <c r="G54" s="98"/>
      <c r="H54" s="92">
        <v>0</v>
      </c>
      <c r="I54" s="93">
        <f t="shared" si="0"/>
        <v>14397</v>
      </c>
      <c r="J54" s="84">
        <f t="shared" si="0"/>
        <v>0</v>
      </c>
      <c r="K54" s="94">
        <f t="shared" si="1"/>
        <v>0</v>
      </c>
    </row>
    <row r="55" spans="1:11" ht="89.25">
      <c r="A55" s="95" t="s">
        <v>32</v>
      </c>
      <c r="B55" s="102" t="s">
        <v>271</v>
      </c>
      <c r="C55" s="100">
        <v>47764</v>
      </c>
      <c r="D55" s="106"/>
      <c r="E55" s="100">
        <f t="shared" si="5"/>
        <v>0</v>
      </c>
      <c r="F55" s="101"/>
      <c r="G55" s="98"/>
      <c r="H55" s="92" t="e">
        <f>G55/F55*100</f>
        <v>#DIV/0!</v>
      </c>
      <c r="I55" s="93">
        <f>C55+F55</f>
        <v>47764</v>
      </c>
      <c r="J55" s="84">
        <f>D55+G55</f>
        <v>0</v>
      </c>
      <c r="K55" s="94">
        <f t="shared" si="1"/>
        <v>0</v>
      </c>
    </row>
    <row r="56" spans="1:11" ht="63.75">
      <c r="A56" s="95" t="s">
        <v>32</v>
      </c>
      <c r="B56" s="102" t="s">
        <v>272</v>
      </c>
      <c r="C56" s="100">
        <v>1000</v>
      </c>
      <c r="D56" s="106"/>
      <c r="E56" s="100">
        <f t="shared" si="5"/>
        <v>0</v>
      </c>
      <c r="F56" s="101"/>
      <c r="G56" s="98"/>
      <c r="H56" s="92"/>
      <c r="I56" s="93">
        <f>C56+F56</f>
        <v>1000</v>
      </c>
      <c r="J56" s="84">
        <f>D56+G56</f>
        <v>0</v>
      </c>
      <c r="K56" s="94">
        <f t="shared" si="1"/>
        <v>0</v>
      </c>
    </row>
    <row r="57" spans="1:11" ht="89.25">
      <c r="A57" s="95" t="s">
        <v>32</v>
      </c>
      <c r="B57" s="102" t="s">
        <v>273</v>
      </c>
      <c r="C57" s="100">
        <v>1504.3</v>
      </c>
      <c r="D57" s="106">
        <v>0</v>
      </c>
      <c r="E57" s="100">
        <f t="shared" si="5"/>
        <v>0</v>
      </c>
      <c r="F57" s="101">
        <v>1504.3</v>
      </c>
      <c r="G57" s="98"/>
      <c r="H57" s="92">
        <f>G57/F57*100</f>
        <v>0</v>
      </c>
      <c r="I57" s="93">
        <f>C57+F57-1504.3</f>
        <v>1504.3</v>
      </c>
      <c r="J57" s="84">
        <f>D57+G57</f>
        <v>0</v>
      </c>
      <c r="K57" s="94">
        <f t="shared" si="1"/>
        <v>0</v>
      </c>
    </row>
    <row r="58" spans="1:11" ht="12.75">
      <c r="A58" s="95" t="s">
        <v>32</v>
      </c>
      <c r="B58" s="102" t="s">
        <v>274</v>
      </c>
      <c r="C58" s="100"/>
      <c r="D58" s="106"/>
      <c r="E58" s="100"/>
      <c r="F58" s="101">
        <v>12150</v>
      </c>
      <c r="G58" s="98"/>
      <c r="H58" s="92"/>
      <c r="I58" s="93">
        <f t="shared" si="0"/>
        <v>12150</v>
      </c>
      <c r="J58" s="84">
        <f>D58+G58</f>
        <v>0</v>
      </c>
      <c r="K58" s="94">
        <f t="shared" si="1"/>
        <v>0</v>
      </c>
    </row>
    <row r="59" spans="1:11" ht="76.5">
      <c r="A59" s="95" t="s">
        <v>33</v>
      </c>
      <c r="B59" s="102" t="s">
        <v>275</v>
      </c>
      <c r="C59" s="100">
        <v>3000</v>
      </c>
      <c r="D59" s="106">
        <v>2032.4</v>
      </c>
      <c r="E59" s="100">
        <f>D59/C59*100</f>
        <v>67.74666666666667</v>
      </c>
      <c r="F59" s="101"/>
      <c r="G59" s="98"/>
      <c r="H59" s="92"/>
      <c r="I59" s="93">
        <f t="shared" si="0"/>
        <v>3000</v>
      </c>
      <c r="J59" s="84">
        <f>D59+G59</f>
        <v>2032.4</v>
      </c>
      <c r="K59" s="94">
        <f t="shared" si="1"/>
        <v>67.74666666666667</v>
      </c>
    </row>
    <row r="60" spans="1:11" ht="51">
      <c r="A60" s="95" t="s">
        <v>33</v>
      </c>
      <c r="B60" s="102" t="s">
        <v>276</v>
      </c>
      <c r="C60" s="100">
        <v>6344</v>
      </c>
      <c r="D60" s="106"/>
      <c r="E60" s="100"/>
      <c r="F60" s="101"/>
      <c r="G60" s="98"/>
      <c r="H60" s="92"/>
      <c r="I60" s="93">
        <f t="shared" si="0"/>
        <v>6344</v>
      </c>
      <c r="J60" s="84">
        <f>D60+G60</f>
        <v>0</v>
      </c>
      <c r="K60" s="94">
        <f t="shared" si="1"/>
        <v>0</v>
      </c>
    </row>
    <row r="61" spans="1:11" ht="38.25">
      <c r="A61" s="95" t="s">
        <v>33</v>
      </c>
      <c r="B61" s="102" t="s">
        <v>277</v>
      </c>
      <c r="C61" s="100">
        <v>1560</v>
      </c>
      <c r="D61" s="106">
        <v>1560</v>
      </c>
      <c r="E61" s="100">
        <f>D61/C61*100</f>
        <v>100</v>
      </c>
      <c r="F61" s="101">
        <v>1560</v>
      </c>
      <c r="G61" s="98"/>
      <c r="H61" s="92"/>
      <c r="I61" s="93">
        <f>C61+F61-1560</f>
        <v>1560</v>
      </c>
      <c r="J61" s="84">
        <f>D61+G61-1560</f>
        <v>0</v>
      </c>
      <c r="K61" s="94"/>
    </row>
    <row r="62" spans="1:11" ht="114.75">
      <c r="A62" s="90" t="s">
        <v>33</v>
      </c>
      <c r="B62" s="91" t="s">
        <v>278</v>
      </c>
      <c r="C62" s="100"/>
      <c r="D62" s="100">
        <v>0</v>
      </c>
      <c r="E62" s="100">
        <v>0</v>
      </c>
      <c r="F62" s="100">
        <v>1919.2</v>
      </c>
      <c r="G62" s="101"/>
      <c r="H62" s="92">
        <v>0</v>
      </c>
      <c r="I62" s="93">
        <f t="shared" si="0"/>
        <v>1919.2</v>
      </c>
      <c r="J62" s="84">
        <f t="shared" si="0"/>
        <v>0</v>
      </c>
      <c r="K62" s="94">
        <f t="shared" si="1"/>
        <v>0</v>
      </c>
    </row>
    <row r="63" spans="1:11" ht="63.75">
      <c r="A63" s="95" t="s">
        <v>33</v>
      </c>
      <c r="B63" s="91" t="s">
        <v>279</v>
      </c>
      <c r="C63" s="100">
        <v>1500</v>
      </c>
      <c r="D63" s="100">
        <v>0</v>
      </c>
      <c r="E63" s="100">
        <f t="shared" si="5"/>
        <v>0</v>
      </c>
      <c r="F63" s="100">
        <v>1500</v>
      </c>
      <c r="G63" s="101"/>
      <c r="H63" s="92">
        <f>G63/F63*100</f>
        <v>0</v>
      </c>
      <c r="I63" s="93">
        <f>C63+F63-1500</f>
        <v>1500</v>
      </c>
      <c r="J63" s="84">
        <f>D63+G63</f>
        <v>0</v>
      </c>
      <c r="K63" s="94">
        <f t="shared" si="1"/>
        <v>0</v>
      </c>
    </row>
    <row r="64" spans="1:11" ht="12.75">
      <c r="A64" s="90" t="s">
        <v>33</v>
      </c>
      <c r="B64" s="91" t="s">
        <v>280</v>
      </c>
      <c r="C64" s="100"/>
      <c r="D64" s="100">
        <v>0</v>
      </c>
      <c r="E64" s="100">
        <v>0</v>
      </c>
      <c r="F64" s="100">
        <v>29923</v>
      </c>
      <c r="G64" s="101">
        <v>2264.9</v>
      </c>
      <c r="H64" s="92">
        <f>G64/F64*100</f>
        <v>7.5690940079537485</v>
      </c>
      <c r="I64" s="93">
        <f>C64+F64</f>
        <v>29923</v>
      </c>
      <c r="J64" s="84">
        <f>D64+G64</f>
        <v>2264.9</v>
      </c>
      <c r="K64" s="94">
        <f t="shared" si="1"/>
        <v>7.5690940079537485</v>
      </c>
    </row>
    <row r="65" spans="1:11" ht="12.75">
      <c r="A65" s="107" t="s">
        <v>34</v>
      </c>
      <c r="B65" s="108" t="s">
        <v>35</v>
      </c>
      <c r="C65" s="103">
        <f aca="true" t="shared" si="6" ref="C65:H65">C66</f>
        <v>0</v>
      </c>
      <c r="D65" s="103">
        <f t="shared" si="6"/>
        <v>0</v>
      </c>
      <c r="E65" s="87">
        <v>0</v>
      </c>
      <c r="F65" s="103">
        <f t="shared" si="6"/>
        <v>0</v>
      </c>
      <c r="G65" s="103">
        <f t="shared" si="6"/>
        <v>0</v>
      </c>
      <c r="H65" s="88">
        <f t="shared" si="6"/>
        <v>0</v>
      </c>
      <c r="I65" s="103">
        <f t="shared" si="0"/>
        <v>0</v>
      </c>
      <c r="J65" s="103">
        <f t="shared" si="0"/>
        <v>0</v>
      </c>
      <c r="K65" s="89">
        <v>0</v>
      </c>
    </row>
    <row r="66" spans="1:11" ht="25.5">
      <c r="A66" s="95" t="s">
        <v>36</v>
      </c>
      <c r="B66" s="109" t="s">
        <v>37</v>
      </c>
      <c r="C66" s="101">
        <v>0</v>
      </c>
      <c r="D66" s="92">
        <v>0</v>
      </c>
      <c r="E66" s="81">
        <v>0</v>
      </c>
      <c r="F66" s="92">
        <v>0</v>
      </c>
      <c r="G66" s="83">
        <v>0</v>
      </c>
      <c r="H66" s="92">
        <v>0</v>
      </c>
      <c r="I66" s="93">
        <f t="shared" si="0"/>
        <v>0</v>
      </c>
      <c r="J66" s="84">
        <f t="shared" si="0"/>
        <v>0</v>
      </c>
      <c r="K66" s="94">
        <v>0</v>
      </c>
    </row>
    <row r="67" spans="1:11" ht="12.75">
      <c r="A67" s="85" t="s">
        <v>38</v>
      </c>
      <c r="B67" s="86" t="s">
        <v>39</v>
      </c>
      <c r="C67" s="87">
        <f>SUM(C68:C73)</f>
        <v>2625142.4000000004</v>
      </c>
      <c r="D67" s="87">
        <f>SUM(D68:D73)</f>
        <v>203994.69999999995</v>
      </c>
      <c r="E67" s="87">
        <f>D67/C67*100</f>
        <v>7.770805118990875</v>
      </c>
      <c r="F67" s="103">
        <f>F68+F69+F70+F72+F73</f>
        <v>0</v>
      </c>
      <c r="G67" s="103">
        <f>SUM(G68:G73)</f>
        <v>0</v>
      </c>
      <c r="H67" s="88">
        <v>0</v>
      </c>
      <c r="I67" s="87">
        <f>SUM(I68:I73)</f>
        <v>2625142.4000000004</v>
      </c>
      <c r="J67" s="87">
        <f>SUM(J68:J73)</f>
        <v>203994.69999999995</v>
      </c>
      <c r="K67" s="89">
        <f t="shared" si="1"/>
        <v>7.770805118990875</v>
      </c>
    </row>
    <row r="68" spans="1:11" ht="12.75">
      <c r="A68" s="90" t="s">
        <v>40</v>
      </c>
      <c r="B68" s="91" t="s">
        <v>41</v>
      </c>
      <c r="C68" s="81">
        <v>579753.8</v>
      </c>
      <c r="D68" s="81">
        <v>72404.9</v>
      </c>
      <c r="E68" s="81">
        <f t="shared" si="5"/>
        <v>12.488904773026064</v>
      </c>
      <c r="F68" s="92">
        <v>0</v>
      </c>
      <c r="G68" s="83">
        <v>0</v>
      </c>
      <c r="H68" s="92">
        <v>0</v>
      </c>
      <c r="I68" s="93">
        <f t="shared" si="0"/>
        <v>579753.8</v>
      </c>
      <c r="J68" s="84">
        <f t="shared" si="0"/>
        <v>72404.9</v>
      </c>
      <c r="K68" s="94">
        <f t="shared" si="1"/>
        <v>12.488904773026064</v>
      </c>
    </row>
    <row r="69" spans="1:11" ht="12.75">
      <c r="A69" s="90" t="s">
        <v>42</v>
      </c>
      <c r="B69" s="91" t="s">
        <v>43</v>
      </c>
      <c r="C69" s="81">
        <f>1975754.6-C70-C71</f>
        <v>1097209.2000000002</v>
      </c>
      <c r="D69" s="81">
        <f>126443.1-D70-D71</f>
        <v>109624</v>
      </c>
      <c r="E69" s="81">
        <f t="shared" si="5"/>
        <v>9.991166679973151</v>
      </c>
      <c r="F69" s="92">
        <v>0</v>
      </c>
      <c r="G69" s="83">
        <v>0</v>
      </c>
      <c r="H69" s="92">
        <v>0</v>
      </c>
      <c r="I69" s="93">
        <f t="shared" si="0"/>
        <v>1097209.2000000002</v>
      </c>
      <c r="J69" s="84">
        <f t="shared" si="0"/>
        <v>109624</v>
      </c>
      <c r="K69" s="94">
        <f t="shared" si="1"/>
        <v>9.991166679973151</v>
      </c>
    </row>
    <row r="70" spans="1:11" ht="12.75">
      <c r="A70" s="90" t="s">
        <v>42</v>
      </c>
      <c r="B70" s="91" t="s">
        <v>281</v>
      </c>
      <c r="C70" s="81">
        <v>43771</v>
      </c>
      <c r="D70" s="81">
        <v>4443.8</v>
      </c>
      <c r="E70" s="81">
        <f t="shared" si="5"/>
        <v>10.152383998537845</v>
      </c>
      <c r="F70" s="92">
        <v>0</v>
      </c>
      <c r="G70" s="83">
        <v>0</v>
      </c>
      <c r="H70" s="92">
        <v>0</v>
      </c>
      <c r="I70" s="93">
        <f t="shared" si="0"/>
        <v>43771</v>
      </c>
      <c r="J70" s="84">
        <f t="shared" si="0"/>
        <v>4443.8</v>
      </c>
      <c r="K70" s="94">
        <f t="shared" si="1"/>
        <v>10.152383998537845</v>
      </c>
    </row>
    <row r="71" spans="1:11" ht="76.5">
      <c r="A71" s="90" t="s">
        <v>42</v>
      </c>
      <c r="B71" s="91" t="s">
        <v>282</v>
      </c>
      <c r="C71" s="81">
        <v>834774.4</v>
      </c>
      <c r="D71" s="81">
        <v>12375.3</v>
      </c>
      <c r="E71" s="81">
        <f t="shared" si="5"/>
        <v>1.4824723901451695</v>
      </c>
      <c r="F71" s="92">
        <v>0</v>
      </c>
      <c r="G71" s="83">
        <v>0</v>
      </c>
      <c r="H71" s="92">
        <v>0</v>
      </c>
      <c r="I71" s="93">
        <f t="shared" si="0"/>
        <v>834774.4</v>
      </c>
      <c r="J71" s="84">
        <f t="shared" si="0"/>
        <v>12375.3</v>
      </c>
      <c r="K71" s="94">
        <f t="shared" si="1"/>
        <v>1.4824723901451695</v>
      </c>
    </row>
    <row r="72" spans="1:11" ht="12.75">
      <c r="A72" s="90" t="s">
        <v>44</v>
      </c>
      <c r="B72" s="91" t="s">
        <v>45</v>
      </c>
      <c r="C72" s="81">
        <v>19310</v>
      </c>
      <c r="D72" s="81">
        <v>202.8</v>
      </c>
      <c r="E72" s="81">
        <f t="shared" si="5"/>
        <v>1.0502330398757123</v>
      </c>
      <c r="F72" s="92">
        <v>0</v>
      </c>
      <c r="G72" s="83">
        <v>0</v>
      </c>
      <c r="H72" s="92">
        <v>0</v>
      </c>
      <c r="I72" s="93">
        <f t="shared" si="0"/>
        <v>19310</v>
      </c>
      <c r="J72" s="84">
        <f t="shared" si="0"/>
        <v>202.8</v>
      </c>
      <c r="K72" s="94">
        <f t="shared" si="1"/>
        <v>1.0502330398757123</v>
      </c>
    </row>
    <row r="73" spans="1:11" ht="12.75">
      <c r="A73" s="90" t="s">
        <v>46</v>
      </c>
      <c r="B73" s="91" t="s">
        <v>47</v>
      </c>
      <c r="C73" s="81">
        <v>50324</v>
      </c>
      <c r="D73" s="81">
        <v>4943.9</v>
      </c>
      <c r="E73" s="81">
        <f t="shared" si="5"/>
        <v>9.824139575550433</v>
      </c>
      <c r="F73" s="92">
        <v>0</v>
      </c>
      <c r="G73" s="83">
        <v>0</v>
      </c>
      <c r="H73" s="92">
        <v>0</v>
      </c>
      <c r="I73" s="93">
        <f t="shared" si="0"/>
        <v>50324</v>
      </c>
      <c r="J73" s="84">
        <f t="shared" si="0"/>
        <v>4943.9</v>
      </c>
      <c r="K73" s="94">
        <f t="shared" si="1"/>
        <v>9.824139575550433</v>
      </c>
    </row>
    <row r="74" spans="1:11" ht="12.75">
      <c r="A74" s="85" t="s">
        <v>48</v>
      </c>
      <c r="B74" s="86" t="s">
        <v>49</v>
      </c>
      <c r="C74" s="87">
        <f>SUM(C75:C79)</f>
        <v>288310.5</v>
      </c>
      <c r="D74" s="87">
        <f>SUM(D75:D79)</f>
        <v>8931.7</v>
      </c>
      <c r="E74" s="87">
        <f>D74/C74*100</f>
        <v>3.0979447505380486</v>
      </c>
      <c r="F74" s="103">
        <f>SUM(F75:F79)</f>
        <v>94621.5</v>
      </c>
      <c r="G74" s="103">
        <f>SUM(G75:G79)</f>
        <v>7843</v>
      </c>
      <c r="H74" s="88">
        <f>G74/F74*100</f>
        <v>8.288813853088357</v>
      </c>
      <c r="I74" s="103">
        <f>SUM(I75:I79)</f>
        <v>381161.8</v>
      </c>
      <c r="J74" s="103">
        <f>SUM(J75:J79)</f>
        <v>16774.7</v>
      </c>
      <c r="K74" s="89">
        <f t="shared" si="1"/>
        <v>4.400939443564387</v>
      </c>
    </row>
    <row r="75" spans="1:11" ht="12.75">
      <c r="A75" s="90" t="s">
        <v>50</v>
      </c>
      <c r="B75" s="91" t="s">
        <v>90</v>
      </c>
      <c r="C75" s="81">
        <f>280104.5-C76-C77</f>
        <v>48646.200000000026</v>
      </c>
      <c r="D75" s="81">
        <f>7691.6-D76-D77</f>
        <v>6302.700000000001</v>
      </c>
      <c r="E75" s="81">
        <f t="shared" si="5"/>
        <v>12.95620212884048</v>
      </c>
      <c r="F75" s="92">
        <f>93403.5-F77</f>
        <v>92083.3</v>
      </c>
      <c r="G75" s="83">
        <v>7823.1</v>
      </c>
      <c r="H75" s="92">
        <f>G75/F75*100</f>
        <v>8.495677283503088</v>
      </c>
      <c r="I75" s="93">
        <f>C75+F75</f>
        <v>140729.50000000003</v>
      </c>
      <c r="J75" s="84">
        <f>D75+G75</f>
        <v>14125.800000000001</v>
      </c>
      <c r="K75" s="94">
        <f t="shared" si="1"/>
        <v>10.037554315193331</v>
      </c>
    </row>
    <row r="76" spans="1:11" ht="51">
      <c r="A76" s="110" t="s">
        <v>50</v>
      </c>
      <c r="B76" s="111" t="s">
        <v>283</v>
      </c>
      <c r="C76" s="81">
        <f>231458.3-1320.2</f>
        <v>230138.09999999998</v>
      </c>
      <c r="D76" s="81">
        <v>1388.9</v>
      </c>
      <c r="E76" s="81">
        <f t="shared" si="5"/>
        <v>0.6035071985038549</v>
      </c>
      <c r="F76" s="92">
        <v>0</v>
      </c>
      <c r="G76" s="83">
        <v>0</v>
      </c>
      <c r="H76" s="92">
        <v>0</v>
      </c>
      <c r="I76" s="93">
        <f aca="true" t="shared" si="7" ref="I76:J93">C76+F76</f>
        <v>230138.09999999998</v>
      </c>
      <c r="J76" s="84">
        <f t="shared" si="7"/>
        <v>1388.9</v>
      </c>
      <c r="K76" s="94">
        <f>J76/I76*100</f>
        <v>0.6035071985038549</v>
      </c>
    </row>
    <row r="77" spans="1:11" ht="12.75">
      <c r="A77" s="110" t="s">
        <v>50</v>
      </c>
      <c r="B77" s="111" t="s">
        <v>284</v>
      </c>
      <c r="C77" s="81">
        <v>1320.2</v>
      </c>
      <c r="D77" s="81">
        <v>0</v>
      </c>
      <c r="E77" s="81">
        <f t="shared" si="5"/>
        <v>0</v>
      </c>
      <c r="F77" s="92">
        <v>1320.2</v>
      </c>
      <c r="G77" s="83">
        <v>0</v>
      </c>
      <c r="H77" s="92"/>
      <c r="I77" s="93">
        <f>C77+F77-1320.2</f>
        <v>1320.2</v>
      </c>
      <c r="J77" s="84">
        <f t="shared" si="7"/>
        <v>0</v>
      </c>
      <c r="K77" s="94">
        <f>J77/I77*100</f>
        <v>0</v>
      </c>
    </row>
    <row r="78" spans="1:11" ht="12.75">
      <c r="A78" s="90" t="s">
        <v>51</v>
      </c>
      <c r="B78" s="91" t="s">
        <v>52</v>
      </c>
      <c r="C78" s="81">
        <v>650</v>
      </c>
      <c r="D78" s="81">
        <v>105</v>
      </c>
      <c r="E78" s="81">
        <f t="shared" si="5"/>
        <v>16.153846153846153</v>
      </c>
      <c r="F78" s="92">
        <v>768</v>
      </c>
      <c r="G78" s="83">
        <v>19.9</v>
      </c>
      <c r="H78" s="92">
        <f>G78/F78*100</f>
        <v>2.591145833333333</v>
      </c>
      <c r="I78" s="93">
        <f t="shared" si="7"/>
        <v>1418</v>
      </c>
      <c r="J78" s="84">
        <f t="shared" si="7"/>
        <v>124.9</v>
      </c>
      <c r="K78" s="94">
        <f aca="true" t="shared" si="8" ref="K78:K108">J78/I78*100</f>
        <v>8.80818053596615</v>
      </c>
    </row>
    <row r="79" spans="1:11" ht="12.75">
      <c r="A79" s="90" t="s">
        <v>53</v>
      </c>
      <c r="B79" s="91" t="s">
        <v>91</v>
      </c>
      <c r="C79" s="81">
        <v>7556</v>
      </c>
      <c r="D79" s="81">
        <v>1135.1</v>
      </c>
      <c r="E79" s="81">
        <f t="shared" si="5"/>
        <v>15.022498676548437</v>
      </c>
      <c r="F79" s="92">
        <v>450</v>
      </c>
      <c r="G79" s="83">
        <v>0</v>
      </c>
      <c r="H79" s="92"/>
      <c r="I79" s="93">
        <f>C79+F79-450</f>
        <v>7556</v>
      </c>
      <c r="J79" s="84">
        <f>D79+G79</f>
        <v>1135.1</v>
      </c>
      <c r="K79" s="94">
        <f t="shared" si="8"/>
        <v>15.022498676548437</v>
      </c>
    </row>
    <row r="80" spans="1:11" ht="12.75">
      <c r="A80" s="85" t="s">
        <v>54</v>
      </c>
      <c r="B80" s="86" t="s">
        <v>92</v>
      </c>
      <c r="C80" s="87">
        <f>C81+C82</f>
        <v>113139.7</v>
      </c>
      <c r="D80" s="87">
        <f>SUM(D82:D82)</f>
        <v>0</v>
      </c>
      <c r="E80" s="87">
        <f>D80/C80*100</f>
        <v>0</v>
      </c>
      <c r="F80" s="103">
        <v>0</v>
      </c>
      <c r="G80" s="103">
        <v>0</v>
      </c>
      <c r="H80" s="88"/>
      <c r="I80" s="103">
        <f>C80+F80</f>
        <v>113139.7</v>
      </c>
      <c r="J80" s="103">
        <f t="shared" si="7"/>
        <v>0</v>
      </c>
      <c r="K80" s="89">
        <f t="shared" si="8"/>
        <v>0</v>
      </c>
    </row>
    <row r="81" spans="1:11" ht="12.75">
      <c r="A81" s="95" t="s">
        <v>104</v>
      </c>
      <c r="B81" s="91" t="s">
        <v>285</v>
      </c>
      <c r="C81" s="81">
        <v>166.7</v>
      </c>
      <c r="D81" s="82"/>
      <c r="E81" s="82"/>
      <c r="F81" s="93"/>
      <c r="G81" s="93"/>
      <c r="H81" s="92"/>
      <c r="I81" s="93">
        <v>166.7</v>
      </c>
      <c r="J81" s="93"/>
      <c r="K81" s="94"/>
    </row>
    <row r="82" spans="1:11" ht="38.25">
      <c r="A82" s="95" t="s">
        <v>104</v>
      </c>
      <c r="B82" s="111" t="s">
        <v>132</v>
      </c>
      <c r="C82" s="81">
        <v>112973</v>
      </c>
      <c r="D82" s="92">
        <v>0</v>
      </c>
      <c r="E82" s="81">
        <f t="shared" si="5"/>
        <v>0</v>
      </c>
      <c r="F82" s="92">
        <v>0</v>
      </c>
      <c r="G82" s="83">
        <v>0</v>
      </c>
      <c r="H82" s="92">
        <v>0</v>
      </c>
      <c r="I82" s="93">
        <f t="shared" si="7"/>
        <v>112973</v>
      </c>
      <c r="J82" s="84">
        <f t="shared" si="7"/>
        <v>0</v>
      </c>
      <c r="K82" s="94">
        <f t="shared" si="8"/>
        <v>0</v>
      </c>
    </row>
    <row r="83" spans="1:11" ht="12.75">
      <c r="A83" s="85">
        <v>10</v>
      </c>
      <c r="B83" s="86" t="s">
        <v>60</v>
      </c>
      <c r="C83" s="87">
        <f>SUM(C84:C95)</f>
        <v>156759.7</v>
      </c>
      <c r="D83" s="87">
        <f>SUM(D84:D95)</f>
        <v>18001.199999999997</v>
      </c>
      <c r="E83" s="87">
        <f>D83/C83*100</f>
        <v>11.483308528913998</v>
      </c>
      <c r="F83" s="87">
        <f>SUM(F84:F93)</f>
        <v>240</v>
      </c>
      <c r="G83" s="87">
        <f>SUM(G84:G93)</f>
        <v>20</v>
      </c>
      <c r="H83" s="88">
        <f>G83/F83*100</f>
        <v>8.333333333333332</v>
      </c>
      <c r="I83" s="87">
        <f>SUM(I84:I95)</f>
        <v>156999.7</v>
      </c>
      <c r="J83" s="87">
        <f>SUM(J84:J95)</f>
        <v>18021.199999999997</v>
      </c>
      <c r="K83" s="89">
        <f t="shared" si="8"/>
        <v>11.478493271006247</v>
      </c>
    </row>
    <row r="84" spans="1:11" ht="12.75">
      <c r="A84" s="95">
        <v>1001</v>
      </c>
      <c r="B84" s="91" t="s">
        <v>61</v>
      </c>
      <c r="C84" s="81">
        <v>3425</v>
      </c>
      <c r="D84" s="81">
        <v>563.5</v>
      </c>
      <c r="E84" s="81">
        <f t="shared" si="5"/>
        <v>16.452554744525546</v>
      </c>
      <c r="F84" s="92">
        <v>240</v>
      </c>
      <c r="G84" s="83">
        <v>20</v>
      </c>
      <c r="H84" s="92">
        <f>G84/F84*100</f>
        <v>8.333333333333332</v>
      </c>
      <c r="I84" s="93">
        <f t="shared" si="7"/>
        <v>3665</v>
      </c>
      <c r="J84" s="84">
        <f t="shared" si="7"/>
        <v>583.5</v>
      </c>
      <c r="K84" s="94">
        <f t="shared" si="8"/>
        <v>15.920873124147338</v>
      </c>
    </row>
    <row r="85" spans="1:11" ht="51">
      <c r="A85" s="95">
        <v>1003</v>
      </c>
      <c r="B85" s="91" t="s">
        <v>286</v>
      </c>
      <c r="C85" s="100">
        <v>1414.8</v>
      </c>
      <c r="D85" s="81">
        <v>0</v>
      </c>
      <c r="E85" s="81">
        <f t="shared" si="5"/>
        <v>0</v>
      </c>
      <c r="F85" s="92">
        <v>0</v>
      </c>
      <c r="G85" s="83">
        <v>0</v>
      </c>
      <c r="H85" s="92">
        <v>0</v>
      </c>
      <c r="I85" s="93">
        <f t="shared" si="7"/>
        <v>1414.8</v>
      </c>
      <c r="J85" s="84">
        <f t="shared" si="7"/>
        <v>0</v>
      </c>
      <c r="K85" s="94">
        <f t="shared" si="8"/>
        <v>0</v>
      </c>
    </row>
    <row r="86" spans="1:11" ht="102">
      <c r="A86" s="95">
        <v>1003</v>
      </c>
      <c r="B86" s="91" t="s">
        <v>287</v>
      </c>
      <c r="C86" s="81">
        <v>528.7</v>
      </c>
      <c r="D86" s="81">
        <v>0</v>
      </c>
      <c r="E86" s="81">
        <f t="shared" si="5"/>
        <v>0</v>
      </c>
      <c r="F86" s="92">
        <v>0</v>
      </c>
      <c r="G86" s="83">
        <v>0</v>
      </c>
      <c r="H86" s="92">
        <v>0</v>
      </c>
      <c r="I86" s="93">
        <f t="shared" si="7"/>
        <v>528.7</v>
      </c>
      <c r="J86" s="84">
        <f t="shared" si="7"/>
        <v>0</v>
      </c>
      <c r="K86" s="94">
        <f t="shared" si="8"/>
        <v>0</v>
      </c>
    </row>
    <row r="87" spans="1:11" ht="51">
      <c r="A87" s="95">
        <v>1003</v>
      </c>
      <c r="B87" s="91" t="s">
        <v>288</v>
      </c>
      <c r="C87" s="81">
        <v>1463</v>
      </c>
      <c r="D87" s="81">
        <v>0</v>
      </c>
      <c r="E87" s="81">
        <f t="shared" si="5"/>
        <v>0</v>
      </c>
      <c r="F87" s="92">
        <v>0</v>
      </c>
      <c r="G87" s="83">
        <v>0</v>
      </c>
      <c r="H87" s="92">
        <v>0</v>
      </c>
      <c r="I87" s="93">
        <f t="shared" si="7"/>
        <v>1463</v>
      </c>
      <c r="J87" s="84">
        <f t="shared" si="7"/>
        <v>0</v>
      </c>
      <c r="K87" s="94">
        <f t="shared" si="8"/>
        <v>0</v>
      </c>
    </row>
    <row r="88" spans="1:11" ht="51">
      <c r="A88" s="95" t="s">
        <v>168</v>
      </c>
      <c r="B88" s="91" t="s">
        <v>289</v>
      </c>
      <c r="C88" s="81">
        <v>1036.5</v>
      </c>
      <c r="D88" s="81"/>
      <c r="E88" s="81"/>
      <c r="F88" s="92"/>
      <c r="G88" s="83"/>
      <c r="H88" s="92"/>
      <c r="I88" s="93">
        <f t="shared" si="7"/>
        <v>1036.5</v>
      </c>
      <c r="J88" s="84">
        <f t="shared" si="7"/>
        <v>0</v>
      </c>
      <c r="K88" s="94">
        <f t="shared" si="8"/>
        <v>0</v>
      </c>
    </row>
    <row r="89" spans="1:11" ht="127.5">
      <c r="A89" s="95" t="s">
        <v>168</v>
      </c>
      <c r="B89" s="91" t="s">
        <v>290</v>
      </c>
      <c r="C89" s="81">
        <v>790</v>
      </c>
      <c r="D89" s="81"/>
      <c r="E89" s="81"/>
      <c r="F89" s="92"/>
      <c r="G89" s="83"/>
      <c r="H89" s="92"/>
      <c r="I89" s="93">
        <f t="shared" si="7"/>
        <v>790</v>
      </c>
      <c r="J89" s="84">
        <f t="shared" si="7"/>
        <v>0</v>
      </c>
      <c r="K89" s="94">
        <f t="shared" si="8"/>
        <v>0</v>
      </c>
    </row>
    <row r="90" spans="1:11" ht="63.75">
      <c r="A90" s="95">
        <v>1004</v>
      </c>
      <c r="B90" s="91" t="s">
        <v>291</v>
      </c>
      <c r="C90" s="100">
        <v>16641</v>
      </c>
      <c r="D90" s="81">
        <v>1942</v>
      </c>
      <c r="E90" s="81">
        <f t="shared" si="5"/>
        <v>11.669971756505019</v>
      </c>
      <c r="F90" s="92">
        <v>0</v>
      </c>
      <c r="G90" s="83">
        <v>0</v>
      </c>
      <c r="H90" s="92">
        <v>0</v>
      </c>
      <c r="I90" s="93">
        <f t="shared" si="7"/>
        <v>16641</v>
      </c>
      <c r="J90" s="84">
        <f t="shared" si="7"/>
        <v>1942</v>
      </c>
      <c r="K90" s="94">
        <f t="shared" si="8"/>
        <v>11.669971756505019</v>
      </c>
    </row>
    <row r="91" spans="1:11" ht="38.25">
      <c r="A91" s="95">
        <v>1004</v>
      </c>
      <c r="B91" s="91" t="s">
        <v>292</v>
      </c>
      <c r="C91" s="100">
        <v>656</v>
      </c>
      <c r="D91" s="81">
        <v>0</v>
      </c>
      <c r="E91" s="81">
        <f aca="true" t="shared" si="9" ref="E91:E106">D91/C91*100</f>
        <v>0</v>
      </c>
      <c r="F91" s="92">
        <v>0</v>
      </c>
      <c r="G91" s="92">
        <v>0</v>
      </c>
      <c r="H91" s="92">
        <v>0</v>
      </c>
      <c r="I91" s="93">
        <f t="shared" si="7"/>
        <v>656</v>
      </c>
      <c r="J91" s="93">
        <f t="shared" si="7"/>
        <v>0</v>
      </c>
      <c r="K91" s="94">
        <f t="shared" si="8"/>
        <v>0</v>
      </c>
    </row>
    <row r="92" spans="1:11" ht="114.75">
      <c r="A92" s="95">
        <v>1004</v>
      </c>
      <c r="B92" s="91" t="s">
        <v>293</v>
      </c>
      <c r="C92" s="100">
        <v>82820</v>
      </c>
      <c r="D92" s="81">
        <v>8347.4</v>
      </c>
      <c r="E92" s="81">
        <f t="shared" si="9"/>
        <v>10.078966433228688</v>
      </c>
      <c r="F92" s="92">
        <v>0</v>
      </c>
      <c r="G92" s="83">
        <v>0</v>
      </c>
      <c r="H92" s="92">
        <v>0</v>
      </c>
      <c r="I92" s="93">
        <f t="shared" si="7"/>
        <v>82820</v>
      </c>
      <c r="J92" s="84">
        <f t="shared" si="7"/>
        <v>8347.4</v>
      </c>
      <c r="K92" s="94">
        <f t="shared" si="8"/>
        <v>10.078966433228688</v>
      </c>
    </row>
    <row r="93" spans="1:11" ht="102">
      <c r="A93" s="95">
        <v>1004</v>
      </c>
      <c r="B93" s="91" t="s">
        <v>294</v>
      </c>
      <c r="C93" s="100">
        <v>636.6</v>
      </c>
      <c r="D93" s="81">
        <v>0</v>
      </c>
      <c r="E93" s="81">
        <f t="shared" si="9"/>
        <v>0</v>
      </c>
      <c r="F93" s="92">
        <v>0</v>
      </c>
      <c r="G93" s="83">
        <v>0</v>
      </c>
      <c r="H93" s="92">
        <v>0</v>
      </c>
      <c r="I93" s="93">
        <f t="shared" si="7"/>
        <v>636.6</v>
      </c>
      <c r="J93" s="84">
        <f t="shared" si="7"/>
        <v>0</v>
      </c>
      <c r="K93" s="94">
        <f t="shared" si="8"/>
        <v>0</v>
      </c>
    </row>
    <row r="94" spans="1:11" ht="114.75">
      <c r="A94" s="95" t="s">
        <v>110</v>
      </c>
      <c r="B94" s="91" t="s">
        <v>295</v>
      </c>
      <c r="C94" s="100">
        <v>32664.2</v>
      </c>
      <c r="D94" s="81">
        <v>5610.7</v>
      </c>
      <c r="E94" s="81">
        <f>D94/C94*100</f>
        <v>17.176909276822943</v>
      </c>
      <c r="F94" s="92">
        <v>0</v>
      </c>
      <c r="G94" s="83">
        <v>0</v>
      </c>
      <c r="H94" s="92">
        <v>0</v>
      </c>
      <c r="I94" s="93">
        <f>C94+F94</f>
        <v>32664.2</v>
      </c>
      <c r="J94" s="84">
        <f>D94+G94</f>
        <v>5610.7</v>
      </c>
      <c r="K94" s="94">
        <f>J94/I94*100</f>
        <v>17.176909276822943</v>
      </c>
    </row>
    <row r="95" spans="1:11" ht="25.5">
      <c r="A95" s="95">
        <v>1006</v>
      </c>
      <c r="B95" s="91" t="s">
        <v>63</v>
      </c>
      <c r="C95" s="81">
        <v>14683.9</v>
      </c>
      <c r="D95" s="81">
        <v>1537.6</v>
      </c>
      <c r="E95" s="81">
        <f t="shared" si="9"/>
        <v>10.47133254789259</v>
      </c>
      <c r="F95" s="92">
        <v>0</v>
      </c>
      <c r="G95" s="83">
        <v>0</v>
      </c>
      <c r="H95" s="92">
        <v>0</v>
      </c>
      <c r="I95" s="93">
        <f>C95+F95</f>
        <v>14683.9</v>
      </c>
      <c r="J95" s="84">
        <f>D95+G95</f>
        <v>1537.6</v>
      </c>
      <c r="K95" s="94">
        <f t="shared" si="8"/>
        <v>10.47133254789259</v>
      </c>
    </row>
    <row r="96" spans="1:11" ht="12.75">
      <c r="A96" s="107">
        <v>1100</v>
      </c>
      <c r="B96" s="86" t="s">
        <v>59</v>
      </c>
      <c r="C96" s="87">
        <f>SUM(C97:C98)</f>
        <v>85361.4</v>
      </c>
      <c r="D96" s="87">
        <f>SUM(D97:D98)</f>
        <v>2530.4</v>
      </c>
      <c r="E96" s="87">
        <f>D96/C96*100</f>
        <v>2.964337510865567</v>
      </c>
      <c r="F96" s="103">
        <f>F97+F98</f>
        <v>10725</v>
      </c>
      <c r="G96" s="103">
        <f>G97+G98</f>
        <v>1149.8999999999999</v>
      </c>
      <c r="H96" s="88">
        <f>G96/F96*100</f>
        <v>10.72167832167832</v>
      </c>
      <c r="I96" s="103">
        <f>SUM(I97:I98)</f>
        <v>95861.4</v>
      </c>
      <c r="J96" s="103">
        <f>SUM(J97:J98)</f>
        <v>3680.3</v>
      </c>
      <c r="K96" s="89">
        <f t="shared" si="8"/>
        <v>3.8391886619640445</v>
      </c>
    </row>
    <row r="97" spans="1:11" ht="12.75">
      <c r="A97" s="95">
        <v>1101</v>
      </c>
      <c r="B97" s="91" t="s">
        <v>83</v>
      </c>
      <c r="C97" s="81">
        <v>12463</v>
      </c>
      <c r="D97" s="81">
        <v>1234</v>
      </c>
      <c r="E97" s="81">
        <f t="shared" si="9"/>
        <v>9.901307871299045</v>
      </c>
      <c r="F97" s="92">
        <v>10612</v>
      </c>
      <c r="G97" s="83">
        <v>1110.3</v>
      </c>
      <c r="H97" s="92">
        <f>G97/F97*100</f>
        <v>10.462683754240482</v>
      </c>
      <c r="I97" s="93">
        <f>C97+F97-225</f>
        <v>22850</v>
      </c>
      <c r="J97" s="93">
        <f>D97+G97</f>
        <v>2344.3</v>
      </c>
      <c r="K97" s="94">
        <f t="shared" si="8"/>
        <v>10.259518599562364</v>
      </c>
    </row>
    <row r="98" spans="1:11" ht="12.75">
      <c r="A98" s="95">
        <v>1102</v>
      </c>
      <c r="B98" s="91" t="s">
        <v>84</v>
      </c>
      <c r="C98" s="81">
        <v>72898.4</v>
      </c>
      <c r="D98" s="81">
        <v>1296.4</v>
      </c>
      <c r="E98" s="81">
        <f t="shared" si="9"/>
        <v>1.7783655059644659</v>
      </c>
      <c r="F98" s="92">
        <v>113</v>
      </c>
      <c r="G98" s="83">
        <v>39.6</v>
      </c>
      <c r="H98" s="92">
        <f>G98/F98*100</f>
        <v>35.04424778761062</v>
      </c>
      <c r="I98" s="93">
        <f>C98+F98</f>
        <v>73011.4</v>
      </c>
      <c r="J98" s="93">
        <f>D98+G98</f>
        <v>1336</v>
      </c>
      <c r="K98" s="94">
        <f t="shared" si="8"/>
        <v>1.8298512287122288</v>
      </c>
    </row>
    <row r="99" spans="1:11" ht="12.75">
      <c r="A99" s="107">
        <v>1200</v>
      </c>
      <c r="B99" s="86" t="s">
        <v>85</v>
      </c>
      <c r="C99" s="87">
        <f>C101+C100</f>
        <v>9203</v>
      </c>
      <c r="D99" s="87">
        <f>D101+D100</f>
        <v>2429.2</v>
      </c>
      <c r="E99" s="87">
        <f>E101</f>
        <v>24.14909090909091</v>
      </c>
      <c r="F99" s="87">
        <f>F101+F100</f>
        <v>0</v>
      </c>
      <c r="G99" s="87">
        <f>G101+G100</f>
        <v>0</v>
      </c>
      <c r="H99" s="96">
        <f>H101</f>
        <v>0</v>
      </c>
      <c r="I99" s="87">
        <f aca="true" t="shared" si="10" ref="I99:J103">C99+F99</f>
        <v>9203</v>
      </c>
      <c r="J99" s="87">
        <f t="shared" si="10"/>
        <v>2429.2</v>
      </c>
      <c r="K99" s="97">
        <f t="shared" si="8"/>
        <v>26.39574051939585</v>
      </c>
    </row>
    <row r="100" spans="1:11" ht="12.75">
      <c r="A100" s="95" t="s">
        <v>114</v>
      </c>
      <c r="B100" s="91" t="s">
        <v>115</v>
      </c>
      <c r="C100" s="81">
        <v>3703</v>
      </c>
      <c r="D100" s="81">
        <v>1101</v>
      </c>
      <c r="E100" s="81">
        <f>D100/C100*100</f>
        <v>29.732649203348636</v>
      </c>
      <c r="F100" s="92">
        <v>0</v>
      </c>
      <c r="G100" s="83">
        <v>0</v>
      </c>
      <c r="H100" s="92">
        <v>0</v>
      </c>
      <c r="I100" s="93">
        <f t="shared" si="10"/>
        <v>3703</v>
      </c>
      <c r="J100" s="93">
        <f t="shared" si="10"/>
        <v>1101</v>
      </c>
      <c r="K100" s="94">
        <f>J100/I100*100</f>
        <v>29.732649203348636</v>
      </c>
    </row>
    <row r="101" spans="1:11" ht="12.75">
      <c r="A101" s="95">
        <v>1202</v>
      </c>
      <c r="B101" s="91" t="s">
        <v>101</v>
      </c>
      <c r="C101" s="81">
        <v>5500</v>
      </c>
      <c r="D101" s="81">
        <v>1328.2</v>
      </c>
      <c r="E101" s="81">
        <f t="shared" si="9"/>
        <v>24.14909090909091</v>
      </c>
      <c r="F101" s="92">
        <v>0</v>
      </c>
      <c r="G101" s="83">
        <v>0</v>
      </c>
      <c r="H101" s="92">
        <v>0</v>
      </c>
      <c r="I101" s="93">
        <f t="shared" si="10"/>
        <v>5500</v>
      </c>
      <c r="J101" s="93">
        <f t="shared" si="10"/>
        <v>1328.2</v>
      </c>
      <c r="K101" s="94">
        <f t="shared" si="8"/>
        <v>24.14909090909091</v>
      </c>
    </row>
    <row r="102" spans="1:11" ht="12.75">
      <c r="A102" s="107">
        <v>1300</v>
      </c>
      <c r="B102" s="86" t="s">
        <v>86</v>
      </c>
      <c r="C102" s="87">
        <f aca="true" t="shared" si="11" ref="C102:H102">C103</f>
        <v>370</v>
      </c>
      <c r="D102" s="87">
        <f t="shared" si="11"/>
        <v>40.4</v>
      </c>
      <c r="E102" s="87">
        <f t="shared" si="11"/>
        <v>10.91891891891892</v>
      </c>
      <c r="F102" s="87">
        <f t="shared" si="11"/>
        <v>0</v>
      </c>
      <c r="G102" s="87">
        <f t="shared" si="11"/>
        <v>0</v>
      </c>
      <c r="H102" s="96">
        <f t="shared" si="11"/>
        <v>0</v>
      </c>
      <c r="I102" s="87">
        <f t="shared" si="10"/>
        <v>370</v>
      </c>
      <c r="J102" s="87">
        <f t="shared" si="10"/>
        <v>40.4</v>
      </c>
      <c r="K102" s="97">
        <f t="shared" si="8"/>
        <v>10.91891891891892</v>
      </c>
    </row>
    <row r="103" spans="1:11" ht="25.5">
      <c r="A103" s="95">
        <v>1301</v>
      </c>
      <c r="B103" s="91" t="s">
        <v>87</v>
      </c>
      <c r="C103" s="81">
        <v>370</v>
      </c>
      <c r="D103" s="81">
        <v>40.4</v>
      </c>
      <c r="E103" s="81">
        <f t="shared" si="9"/>
        <v>10.91891891891892</v>
      </c>
      <c r="F103" s="92"/>
      <c r="G103" s="83">
        <v>0</v>
      </c>
      <c r="H103" s="92">
        <v>0</v>
      </c>
      <c r="I103" s="93">
        <f t="shared" si="10"/>
        <v>370</v>
      </c>
      <c r="J103" s="93">
        <f t="shared" si="10"/>
        <v>40.4</v>
      </c>
      <c r="K103" s="94">
        <f t="shared" si="8"/>
        <v>10.91891891891892</v>
      </c>
    </row>
    <row r="104" spans="1:11" ht="12.75">
      <c r="A104" s="107">
        <v>1400</v>
      </c>
      <c r="B104" s="86" t="s">
        <v>64</v>
      </c>
      <c r="C104" s="87">
        <f>SUM(C105:C107)</f>
        <v>295866.3</v>
      </c>
      <c r="D104" s="87">
        <f>SUM(D105:D107)</f>
        <v>39833.1</v>
      </c>
      <c r="E104" s="87">
        <f>D104/C104*100</f>
        <v>13.463209564590493</v>
      </c>
      <c r="F104" s="103">
        <f>F105+F106+F107</f>
        <v>31693.6</v>
      </c>
      <c r="G104" s="103">
        <f>SUM(G105:G107)</f>
        <v>0</v>
      </c>
      <c r="H104" s="103">
        <f>G104/F104*100</f>
        <v>0</v>
      </c>
      <c r="I104" s="103">
        <v>0</v>
      </c>
      <c r="J104" s="103">
        <v>0</v>
      </c>
      <c r="K104" s="89">
        <v>0</v>
      </c>
    </row>
    <row r="105" spans="1:11" ht="25.5">
      <c r="A105" s="95">
        <v>1401</v>
      </c>
      <c r="B105" s="91" t="s">
        <v>81</v>
      </c>
      <c r="C105" s="81">
        <v>118984.4</v>
      </c>
      <c r="D105" s="81">
        <v>15864.6</v>
      </c>
      <c r="E105" s="81">
        <f t="shared" si="9"/>
        <v>13.333344539284141</v>
      </c>
      <c r="F105" s="92">
        <v>0</v>
      </c>
      <c r="G105" s="83">
        <v>0</v>
      </c>
      <c r="H105" s="92">
        <v>0</v>
      </c>
      <c r="I105" s="93">
        <v>0</v>
      </c>
      <c r="J105" s="84">
        <v>0</v>
      </c>
      <c r="K105" s="94">
        <v>0</v>
      </c>
    </row>
    <row r="106" spans="1:11" ht="39" customHeight="1">
      <c r="A106" s="95">
        <v>1402</v>
      </c>
      <c r="B106" s="91" t="s">
        <v>82</v>
      </c>
      <c r="C106" s="81">
        <v>174181.9</v>
      </c>
      <c r="D106" s="81">
        <v>23968.5</v>
      </c>
      <c r="E106" s="81">
        <f t="shared" si="9"/>
        <v>13.76061462184073</v>
      </c>
      <c r="F106" s="92">
        <v>0</v>
      </c>
      <c r="G106" s="83">
        <v>0</v>
      </c>
      <c r="H106" s="92">
        <v>0</v>
      </c>
      <c r="I106" s="93">
        <v>0</v>
      </c>
      <c r="J106" s="84">
        <v>0</v>
      </c>
      <c r="K106" s="94">
        <v>0</v>
      </c>
    </row>
    <row r="107" spans="1:11" ht="12.75">
      <c r="A107" s="95">
        <v>1403</v>
      </c>
      <c r="B107" s="91" t="s">
        <v>95</v>
      </c>
      <c r="C107" s="81">
        <v>2700</v>
      </c>
      <c r="D107" s="81"/>
      <c r="E107" s="81">
        <v>0</v>
      </c>
      <c r="F107" s="92">
        <v>31693.6</v>
      </c>
      <c r="G107" s="83">
        <v>0</v>
      </c>
      <c r="H107" s="92">
        <f>G107/F107*100</f>
        <v>0</v>
      </c>
      <c r="I107" s="93">
        <v>0</v>
      </c>
      <c r="J107" s="84">
        <v>0</v>
      </c>
      <c r="K107" s="94">
        <v>0</v>
      </c>
    </row>
    <row r="108" spans="1:11" ht="13.5" thickBot="1">
      <c r="A108" s="152" t="s">
        <v>65</v>
      </c>
      <c r="B108" s="153"/>
      <c r="C108" s="29">
        <f>C9+C18+C20+C25+C44+C65+C67+C74+C80+C83+C96+C99+C102+C104</f>
        <v>4246164.600000001</v>
      </c>
      <c r="D108" s="29">
        <f>D104+D102+D99+D96+D83+D80+D74+D67+D65+D44+D25+D20+D18+D9</f>
        <v>339957</v>
      </c>
      <c r="E108" s="29">
        <f>D108/C108*100</f>
        <v>8.006213419046448</v>
      </c>
      <c r="F108" s="29">
        <f>F9+F18+F20+F25+F44+F65+F67+F74+F80+F83+F96+F99+F102+F104</f>
        <v>477660.29999999993</v>
      </c>
      <c r="G108" s="29">
        <f>G104+G102+G99+G83+G80+G74+G67+G44+G25+G21+G18+G9+G20+G96</f>
        <v>46506.799999999996</v>
      </c>
      <c r="H108" s="47">
        <f>G108/F108*100</f>
        <v>9.736375411563406</v>
      </c>
      <c r="I108" s="29">
        <f>I104+I102+I99+I96+I83+I80+I74+I67+I65+I44+I25+I20+I18+I9</f>
        <v>4362170.300000001</v>
      </c>
      <c r="J108" s="29">
        <f>J104+J102+J99+J96+J83+J80+J74+J67+J65+J44+J25+J20+J18+J9</f>
        <v>342290.5999999999</v>
      </c>
      <c r="K108" s="30">
        <f t="shared" si="8"/>
        <v>7.846795894236405</v>
      </c>
    </row>
    <row r="109" spans="1:11" ht="12.75">
      <c r="A109" s="9"/>
      <c r="B109" s="5"/>
      <c r="C109" s="53"/>
      <c r="D109" s="31"/>
      <c r="E109" s="41"/>
      <c r="F109" s="21"/>
      <c r="G109" s="33"/>
      <c r="H109" s="33"/>
      <c r="I109" s="45"/>
      <c r="J109" s="45"/>
      <c r="K109" s="45"/>
    </row>
    <row r="110" spans="1:11" ht="12.75">
      <c r="A110" s="10"/>
      <c r="B110" s="6"/>
      <c r="C110" s="54"/>
      <c r="D110" s="32"/>
      <c r="E110" s="41"/>
      <c r="F110" s="21"/>
      <c r="G110" s="33"/>
      <c r="H110" s="33"/>
      <c r="I110" s="44"/>
      <c r="J110" s="44"/>
      <c r="K110" s="45"/>
    </row>
    <row r="111" spans="1:11" ht="12.75">
      <c r="A111" s="10"/>
      <c r="B111" s="6"/>
      <c r="C111" s="54"/>
      <c r="D111" s="32"/>
      <c r="E111" s="41"/>
      <c r="F111" s="21"/>
      <c r="G111" s="33"/>
      <c r="H111" s="33"/>
      <c r="I111" s="44"/>
      <c r="J111" s="44"/>
      <c r="K111" s="45"/>
    </row>
    <row r="112" spans="1:11" ht="12.75">
      <c r="A112" s="161" t="s">
        <v>124</v>
      </c>
      <c r="B112" s="161"/>
      <c r="C112" s="161"/>
      <c r="D112" s="112"/>
      <c r="E112" s="113"/>
      <c r="F112" s="113"/>
      <c r="G112" s="33"/>
      <c r="H112" s="33"/>
      <c r="I112" s="45"/>
      <c r="J112" s="45"/>
      <c r="K112" s="45"/>
    </row>
    <row r="113" spans="1:11" ht="12.75">
      <c r="A113" s="161" t="s">
        <v>125</v>
      </c>
      <c r="B113" s="161"/>
      <c r="C113" s="161"/>
      <c r="D113" s="114"/>
      <c r="E113" s="162" t="s">
        <v>66</v>
      </c>
      <c r="F113" s="162"/>
      <c r="G113" s="33"/>
      <c r="H113" s="33"/>
      <c r="I113" s="44"/>
      <c r="J113" s="45"/>
      <c r="K113" s="45"/>
    </row>
    <row r="114" spans="1:11" ht="12.75">
      <c r="A114" s="115"/>
      <c r="B114" s="116"/>
      <c r="C114" s="117"/>
      <c r="D114" s="118"/>
      <c r="E114" s="119"/>
      <c r="F114" s="120"/>
      <c r="G114" s="33"/>
      <c r="H114" s="33"/>
      <c r="I114" s="44"/>
      <c r="J114" s="45"/>
      <c r="K114" s="45"/>
    </row>
    <row r="115" spans="1:11" ht="12.75">
      <c r="A115" s="161" t="s">
        <v>151</v>
      </c>
      <c r="B115" s="161"/>
      <c r="C115" s="161"/>
      <c r="D115" s="121"/>
      <c r="E115" s="162" t="s">
        <v>123</v>
      </c>
      <c r="F115" s="162"/>
      <c r="G115" s="33"/>
      <c r="H115" s="33"/>
      <c r="I115" s="44"/>
      <c r="J115" s="45"/>
      <c r="K115" s="45"/>
    </row>
    <row r="116" spans="1:11" ht="12.75">
      <c r="A116" s="115"/>
      <c r="B116" s="122"/>
      <c r="C116" s="123"/>
      <c r="D116" s="124"/>
      <c r="E116" s="119"/>
      <c r="F116" s="120"/>
      <c r="G116" s="33"/>
      <c r="H116" s="33"/>
      <c r="I116" s="44"/>
      <c r="J116" s="45"/>
      <c r="K116" s="45"/>
    </row>
    <row r="117" spans="1:11" ht="12.75">
      <c r="A117" s="161" t="s">
        <v>154</v>
      </c>
      <c r="B117" s="161"/>
      <c r="C117" s="161"/>
      <c r="D117" s="121"/>
      <c r="E117" s="163" t="s">
        <v>155</v>
      </c>
      <c r="F117" s="163"/>
      <c r="G117" s="33"/>
      <c r="H117" s="33"/>
      <c r="I117" s="44"/>
      <c r="J117" s="45"/>
      <c r="K117" s="45"/>
    </row>
    <row r="118" spans="1:11" ht="12.75">
      <c r="A118" s="125"/>
      <c r="B118" s="126"/>
      <c r="C118" s="127"/>
      <c r="D118" s="112"/>
      <c r="E118" s="112"/>
      <c r="F118" s="113"/>
      <c r="G118" s="33"/>
      <c r="H118" s="33"/>
      <c r="I118" s="45"/>
      <c r="J118" s="45"/>
      <c r="K118" s="45"/>
    </row>
    <row r="119" spans="1:6" ht="12.75">
      <c r="A119" s="128"/>
      <c r="B119" s="128"/>
      <c r="C119" s="129" t="s">
        <v>296</v>
      </c>
      <c r="D119" s="128" t="s">
        <v>157</v>
      </c>
      <c r="E119" s="130" t="s">
        <v>297</v>
      </c>
      <c r="F119" s="128"/>
    </row>
    <row r="120" spans="1:6" ht="12.75">
      <c r="A120" s="128"/>
      <c r="B120" s="128"/>
      <c r="C120" s="128"/>
      <c r="D120" s="128"/>
      <c r="E120" s="128"/>
      <c r="F120" s="128"/>
    </row>
    <row r="123" ht="12.75">
      <c r="B123" s="7"/>
    </row>
  </sheetData>
  <sheetProtection/>
  <mergeCells count="35">
    <mergeCell ref="A108:B108"/>
    <mergeCell ref="A112:C112"/>
    <mergeCell ref="K20:K21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13:C113"/>
    <mergeCell ref="E113:F113"/>
    <mergeCell ref="A115:C115"/>
    <mergeCell ref="E115:F115"/>
    <mergeCell ref="A117:C117"/>
    <mergeCell ref="E117:F11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2014-04-16T10:33:48Z</dcterms:modified>
  <cp:category/>
  <cp:version/>
  <cp:contentType/>
  <cp:contentStatus/>
</cp:coreProperties>
</file>