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<sst xmlns="http://schemas.openxmlformats.org/spreadsheetml/2006/main" count="660" uniqueCount="257">
  <si>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</si>
  <si>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</si>
  <si>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</si>
  <si>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</si>
  <si>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</si>
  <si>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</si>
  <si>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</si>
  <si>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</si>
  <si>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</si>
  <si>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</si>
  <si>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</si>
  <si>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</si>
  <si>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</si>
  <si>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</si>
  <si>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</si>
  <si>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</si>
  <si>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</si>
  <si>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</si>
  <si>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</si>
  <si>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</si>
  <si>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</si>
  <si>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</si>
  <si>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</si>
  <si>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</si>
  <si>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</si>
  <si>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</si>
  <si>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</si>
  <si>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</si>
  <si>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</si>
  <si>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</si>
  <si>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</si>
  <si>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</si>
  <si>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</si>
  <si>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</si>
  <si>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</si>
  <si>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</si>
  <si>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</si>
  <si>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</si>
  <si>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</si>
  <si>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</si>
  <si>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</si>
  <si>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</si>
  <si>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</si>
  <si>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</si>
  <si>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</si>
  <si>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</si>
  <si>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</si>
  <si>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</si>
  <si>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</si>
  <si>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</si>
  <si>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</si>
  <si>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</si>
  <si>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</si>
  <si>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</si>
  <si>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</si>
  <si>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</si>
  <si>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</si>
  <si>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</si>
  <si>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</si>
  <si>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</si>
  <si>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</si>
  <si>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</si>
  <si>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</si>
  <si>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</si>
  <si>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</si>
  <si>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</si>
  <si>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</si>
  <si>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</si>
  <si>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</si>
  <si>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</si>
  <si>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</si>
  <si>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</si>
  <si>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</si>
  <si>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</si>
  <si>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</si>
  <si>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</si>
  <si>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Первонач. план на 2019 год</t>
  </si>
  <si>
    <t>Уточн. план на 2019 год</t>
  </si>
  <si>
    <t xml:space="preserve">% исп-ия к уточн. плану на 2019 год </t>
  </si>
  <si>
    <t xml:space="preserve">% исп-ия к первонач. плану на 2019 год </t>
  </si>
  <si>
    <t>План                 на 9 месяцев 2019 года</t>
  </si>
  <si>
    <t xml:space="preserve">% исп-ия к плану за 9 месяцев 2019 года </t>
  </si>
  <si>
    <t>00020700000000000150</t>
  </si>
  <si>
    <t>Отчет об исполнении консолидированного бюджета Октябрьского района по состоянию на 01.10.2019</t>
  </si>
  <si>
    <t>Исполнение на 01.10.2019</t>
  </si>
  <si>
    <t>Отчет  об  исполнении  консолидированного  бюджета  района  по  расходам на 1 октября 2019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</si>
  <si>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</si>
  <si>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</si>
  <si>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</si>
  <si>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</si>
  <si>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</si>
  <si>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</si>
  <si>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01.10.2019</t>
  </si>
  <si>
    <t>% исполнения</t>
  </si>
  <si>
    <t>исполнения на 01.10.2019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</si>
  <si>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</si>
  <si>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</si>
  <si>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</si>
  <si>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</si>
  <si>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</si>
  <si>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</si>
  <si>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</si>
  <si>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</si>
  <si>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</si>
  <si>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</si>
  <si>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</si>
  <si>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</si>
  <si>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</si>
  <si>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</si>
  <si>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</si>
  <si>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</si>
  <si>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</si>
  <si>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</si>
  <si>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</si>
  <si>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</si>
  <si>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</si>
  <si>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</si>
  <si>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</si>
  <si>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</si>
  <si>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</si>
  <si>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</si>
  <si>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</si>
  <si>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</si>
  <si>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</si>
  <si>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</si>
  <si>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</si>
  <si>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</si>
  <si>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</si>
  <si>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</si>
  <si>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</si>
  <si>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</si>
  <si>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</si>
  <si>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</si>
  <si>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</si>
  <si>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</si>
  <si>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</si>
  <si>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</si>
  <si>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</si>
  <si>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</si>
  <si>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(1110199990, 1150182730, 11501S2730)  (дорожный фонд)</t>
  </si>
  <si>
    <t>Основное мероприятие "Внедрение автоматизированных и роботизированных технологий организации дорожного движения и контроля за соблюдением правил дорожного движения" (1150199999)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</si>
  <si>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(150029990)</t>
  </si>
  <si>
    <t>Основное мероприятие "Реализация мероприятий в рамках дорожной деятельности" (2200299990)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</si>
  <si>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</si>
  <si>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</si>
  <si>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</si>
  <si>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</si>
  <si>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</si>
  <si>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района" земля (1800299990)</t>
  </si>
  <si>
    <t>Расходы на стимулирование развития жилищного строительства (0910282671, 09102S2671)</t>
  </si>
  <si>
    <t>Реализация мероприятий муниципальной программы "Поддержка малого и среднего предпринимательства в Октябрьском районе" (0800299990, 0800199990, 080I8S2380)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</si>
  <si>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(080I482380, 080I882380, 080I4S2380) окружной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</si>
  <si>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</si>
  <si>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</si>
  <si>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</si>
  <si>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</si>
  <si>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</si>
  <si>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</si>
  <si>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09101S2661, 091F382661, 091F3S2661 ) 01.40.04, 01.02.00, 01.00.00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</si>
  <si>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</si>
  <si>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</si>
  <si>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</si>
  <si>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"Реализация мероприятий обеспечения качественными коммунальными услугами" (1010199990)</t>
  </si>
  <si>
    <t>Капитальный ремонт жилого фонда 1030142120 (40600S2420,  40600S2430, 4060099990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</si>
  <si>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</si>
  <si>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на теплоснабжение, водоснабжение, водоотведение, услуги бани) (1020161100 т.с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</si>
  <si>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01.04)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</si>
  <si>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</si>
  <si>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</si>
  <si>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 "Жилищно-коммунальный комплекс и городская среда в муниципальном образовании Октябрьский район" 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</si>
  <si>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"Жилищно-коммунальный комплекс и городская среда в муниципальном образовании Октябрьский район" ОЗП (1010182591, 10101S2591, 1010199990)</t>
  </si>
  <si>
    <t>Реконструкция, расширение, модернизация, строительство и капитальный ремонт коммунального комплекса (1010182190, 10101S2190)</t>
  </si>
  <si>
    <t>Расходы на капитальный ремонт муниципального жилищного фонда (1030142120)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</si>
  <si>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</si>
  <si>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</si>
  <si>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(4110089020)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</si>
  <si>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</si>
  <si>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(150019990)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</si>
  <si>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</si>
  <si>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строительство и реконструкция объектов муниципальной собственности (0600142110)</t>
  </si>
  <si>
    <t>"Улучшение экологической ситуации на территории Октябрьского района"  утилизация  отходов на территории муниципального образования Октябрьский район (0600299990)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</si>
  <si>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</si>
  <si>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</si>
  <si>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</si>
  <si>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</si>
  <si>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</si>
  <si>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Увеличение количества благоустроенных дворовых территорий и мест общего пользования (1050199990)</t>
  </si>
  <si>
    <t>Внешнее благоустройство 1060199990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</si>
  <si>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</si>
  <si>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</si>
  <si>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</si>
  <si>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</si>
  <si>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</si>
  <si>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</si>
  <si>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</si>
  <si>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</si>
  <si>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</si>
  <si>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</si>
  <si>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(0140482030, 01404S2030) 01.40.18 и местн.</t>
  </si>
  <si>
    <t>0702</t>
  </si>
  <si>
    <t>Общее образование</t>
  </si>
  <si>
    <t>Бесплатное питание (0140284030)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</si>
  <si>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</si>
  <si>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</si>
  <si>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</si>
  <si>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</si>
  <si>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</si>
  <si>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</si>
  <si>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</si>
  <si>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</si>
  <si>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</si>
  <si>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</si>
  <si>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</si>
  <si>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</si>
  <si>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</si>
  <si>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</si>
  <si>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</si>
  <si>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</si>
  <si>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</si>
  <si>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</si>
  <si>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</si>
  <si>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</si>
  <si>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</si>
  <si>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</si>
  <si>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</si>
  <si>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r>
      <t xml:space="preserve"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</t>
    </r>
    <r>
      <rPr>
        <sz val="11"/>
        <color indexed="10"/>
        <rFont val="Times New Roman"/>
        <family val="1"/>
      </rPr>
      <t>(09202D1340 01.30.15)</t>
    </r>
  </si>
  <si>
    <t>1003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</si>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</sst>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_-* #,##0.0_р_._-;\-* #,##0.0_р_._-;_-* &quot;-&quot;?_р_._-;_-@_-"/>
    <numFmt numFmtId="180" formatCode="_-* #,##0.0\ _₽_-;\-* #,##0.0\ _₽_-;_-* &quot;-&quot;?\ _₽_-;_-@_-"/>
    <numFmt numFmtId="181" formatCode="#,##0.00_ ;\-#,##0.00\ "/>
  </numFmts>
  <fonts count="52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176" fontId="5" fillId="0" borderId="10" xfId="0" applyNumberFormat="1" applyFont="1" applyFill="1" applyBorder="1" applyAlignment="1">
      <alignment horizontal="right" vertical="top"/>
    </xf>
    <xf numFmtId="176" fontId="5" fillId="0" borderId="10" xfId="0" applyNumberFormat="1" applyFont="1" applyFill="1" applyBorder="1" applyAlignment="1">
      <alignment vertical="top"/>
    </xf>
    <xf numFmtId="176" fontId="5" fillId="0" borderId="11" xfId="0" applyNumberFormat="1" applyFont="1" applyFill="1" applyBorder="1" applyAlignment="1">
      <alignment horizontal="right" vertical="top"/>
    </xf>
    <xf numFmtId="176" fontId="4" fillId="0" borderId="10" xfId="0" applyNumberFormat="1" applyFont="1" applyFill="1" applyBorder="1" applyAlignment="1">
      <alignment vertical="top"/>
    </xf>
    <xf numFmtId="176" fontId="4" fillId="0" borderId="11" xfId="0" applyNumberFormat="1" applyFont="1" applyFill="1" applyBorder="1" applyAlignment="1">
      <alignment horizontal="right" vertical="top"/>
    </xf>
    <xf numFmtId="176" fontId="1" fillId="0" borderId="10" xfId="0" applyNumberFormat="1" applyFont="1" applyFill="1" applyBorder="1" applyAlignment="1">
      <alignment horizontal="right" vertical="top" wrapText="1"/>
    </xf>
    <xf numFmtId="177" fontId="5" fillId="0" borderId="10" xfId="0" applyNumberFormat="1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horizontal="right" vertical="top" wrapText="1"/>
    </xf>
    <xf numFmtId="176" fontId="0" fillId="0" borderId="0" xfId="0" applyNumberFormat="1" applyFill="1" applyAlignment="1">
      <alignment vertical="top" wrapText="1"/>
    </xf>
    <xf numFmtId="176" fontId="2" fillId="0" borderId="1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6" fontId="4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176" fontId="5" fillId="0" borderId="11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 shrinkToFit="1"/>
    </xf>
    <xf numFmtId="176" fontId="2" fillId="0" borderId="10" xfId="0" applyNumberFormat="1" applyFont="1" applyFill="1" applyBorder="1" applyAlignment="1">
      <alignment vertical="top" wrapText="1" shrinkToFit="1"/>
    </xf>
    <xf numFmtId="49" fontId="2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/>
    </xf>
    <xf numFmtId="49" fontId="5" fillId="0" borderId="16" xfId="0" applyNumberFormat="1" applyFont="1" applyFill="1" applyBorder="1" applyAlignment="1">
      <alignment horizontal="center" vertical="top"/>
    </xf>
    <xf numFmtId="176" fontId="2" fillId="0" borderId="16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6" fontId="5" fillId="0" borderId="13" xfId="0" applyNumberFormat="1" applyFont="1" applyFill="1" applyBorder="1" applyAlignment="1">
      <alignment horizontal="right" vertical="top"/>
    </xf>
    <xf numFmtId="176" fontId="2" fillId="0" borderId="10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4" fillId="0" borderId="13" xfId="0" applyNumberFormat="1" applyFont="1" applyFill="1" applyBorder="1" applyAlignment="1">
      <alignment vertical="top"/>
    </xf>
    <xf numFmtId="176" fontId="2" fillId="0" borderId="11" xfId="0" applyNumberFormat="1" applyFont="1" applyFill="1" applyBorder="1" applyAlignment="1">
      <alignment horizontal="right" vertical="top" wrapText="1"/>
    </xf>
    <xf numFmtId="176" fontId="1" fillId="0" borderId="17" xfId="0" applyNumberFormat="1" applyFont="1" applyFill="1" applyBorder="1" applyAlignment="1">
      <alignment horizontal="right" vertical="top" wrapText="1"/>
    </xf>
    <xf numFmtId="176" fontId="2" fillId="0" borderId="10" xfId="0" applyNumberFormat="1" applyFont="1" applyFill="1" applyBorder="1" applyAlignment="1">
      <alignment horizontal="right" vertical="top"/>
    </xf>
    <xf numFmtId="0" fontId="2" fillId="0" borderId="17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6" fontId="1" fillId="0" borderId="10" xfId="0" applyNumberFormat="1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left" vertical="top"/>
    </xf>
    <xf numFmtId="49" fontId="2" fillId="0" borderId="16" xfId="0" applyNumberFormat="1" applyFont="1" applyFill="1" applyBorder="1" applyAlignment="1">
      <alignment horizontal="left" vertical="top" wrapText="1"/>
    </xf>
    <xf numFmtId="176" fontId="2" fillId="33" borderId="10" xfId="0" applyNumberFormat="1" applyFont="1" applyFill="1" applyBorder="1" applyAlignment="1">
      <alignment vertical="top" wrapText="1"/>
    </xf>
    <xf numFmtId="176" fontId="5" fillId="33" borderId="10" xfId="0" applyNumberFormat="1" applyFont="1" applyFill="1" applyBorder="1" applyAlignment="1">
      <alignment horizontal="right" vertical="top"/>
    </xf>
    <xf numFmtId="0" fontId="2" fillId="33" borderId="16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176" fontId="4" fillId="0" borderId="18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170" fontId="2" fillId="0" borderId="12" xfId="42" applyFont="1" applyFill="1" applyBorder="1" applyAlignment="1">
      <alignment horizontal="center" vertical="top" wrapText="1"/>
    </xf>
    <xf numFmtId="170" fontId="2" fillId="0" borderId="18" xfId="42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5" fillId="0" borderId="21" xfId="53" applyNumberFormat="1" applyFont="1" applyBorder="1" applyAlignment="1">
      <alignment horizontal="center" vertical="center" wrapText="1"/>
      <protection/>
    </xf>
    <xf numFmtId="0" fontId="25" fillId="0" borderId="22" xfId="53" applyNumberFormat="1" applyFont="1" applyBorder="1" applyAlignment="1">
      <alignment horizontal="center" vertical="center" wrapText="1"/>
      <protection/>
    </xf>
    <xf numFmtId="179" fontId="26" fillId="0" borderId="22" xfId="53" applyNumberFormat="1" applyFont="1" applyFill="1" applyBorder="1" applyAlignment="1">
      <alignment horizontal="center" vertical="center" wrapText="1"/>
      <protection/>
    </xf>
    <xf numFmtId="179" fontId="26" fillId="0" borderId="22" xfId="0" applyNumberFormat="1" applyFont="1" applyBorder="1" applyAlignment="1">
      <alignment horizontal="center" vertical="center" wrapText="1"/>
    </xf>
    <xf numFmtId="179" fontId="27" fillId="0" borderId="22" xfId="0" applyNumberFormat="1" applyFont="1" applyFill="1" applyBorder="1" applyAlignment="1">
      <alignment horizontal="center" vertical="center" wrapText="1"/>
    </xf>
    <xf numFmtId="179" fontId="27" fillId="0" borderId="23" xfId="0" applyNumberFormat="1" applyFont="1" applyFill="1" applyBorder="1" applyAlignment="1">
      <alignment horizontal="center" vertical="center" wrapText="1"/>
    </xf>
    <xf numFmtId="49" fontId="25" fillId="0" borderId="24" xfId="53" applyNumberFormat="1" applyFont="1" applyBorder="1" applyAlignment="1">
      <alignment horizontal="center" vertical="center" wrapText="1"/>
      <protection/>
    </xf>
    <xf numFmtId="0" fontId="25" fillId="0" borderId="10" xfId="53" applyNumberFormat="1" applyFont="1" applyBorder="1" applyAlignment="1">
      <alignment horizontal="center" vertical="center" wrapText="1"/>
      <protection/>
    </xf>
    <xf numFmtId="179" fontId="26" fillId="34" borderId="10" xfId="53" applyNumberFormat="1" applyFont="1" applyFill="1" applyBorder="1" applyAlignment="1">
      <alignment horizontal="center" vertical="center" wrapText="1"/>
      <protection/>
    </xf>
    <xf numFmtId="179" fontId="26" fillId="0" borderId="10" xfId="53" applyNumberFormat="1" applyFont="1" applyFill="1" applyBorder="1" applyAlignment="1">
      <alignment horizontal="center" vertical="center" wrapText="1"/>
      <protection/>
    </xf>
    <xf numFmtId="179" fontId="26" fillId="0" borderId="10" xfId="53" applyNumberFormat="1" applyFont="1" applyBorder="1" applyAlignment="1">
      <alignment horizontal="center" vertical="center" wrapText="1"/>
      <protection/>
    </xf>
    <xf numFmtId="179" fontId="27" fillId="0" borderId="10" xfId="53" applyNumberFormat="1" applyFont="1" applyFill="1" applyBorder="1" applyAlignment="1">
      <alignment horizontal="center" vertical="center" wrapText="1"/>
      <protection/>
    </xf>
    <xf numFmtId="179" fontId="27" fillId="34" borderId="10" xfId="53" applyNumberFormat="1" applyFont="1" applyFill="1" applyBorder="1" applyAlignment="1">
      <alignment horizontal="center" vertical="center" wrapText="1"/>
      <protection/>
    </xf>
    <xf numFmtId="179" fontId="27" fillId="0" borderId="25" xfId="53" applyNumberFormat="1" applyFont="1" applyBorder="1" applyAlignment="1">
      <alignment horizontal="center" vertical="center" wrapText="1"/>
      <protection/>
    </xf>
    <xf numFmtId="179" fontId="26" fillId="34" borderId="10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Border="1" applyAlignment="1">
      <alignment horizontal="center" vertical="center" wrapText="1"/>
    </xf>
    <xf numFmtId="179" fontId="27" fillId="0" borderId="10" xfId="0" applyNumberFormat="1" applyFont="1" applyBorder="1" applyAlignment="1">
      <alignment horizontal="center" vertical="center" wrapText="1"/>
    </xf>
    <xf numFmtId="179" fontId="27" fillId="0" borderId="25" xfId="0" applyNumberFormat="1" applyFont="1" applyBorder="1" applyAlignment="1">
      <alignment horizontal="center" vertical="center" wrapText="1"/>
    </xf>
    <xf numFmtId="0" fontId="28" fillId="0" borderId="10" xfId="53" applyNumberFormat="1" applyFont="1" applyFill="1" applyBorder="1" applyAlignment="1">
      <alignment horizontal="center" vertical="center" wrapText="1"/>
      <protection/>
    </xf>
    <xf numFmtId="0" fontId="28" fillId="0" borderId="25" xfId="53" applyNumberFormat="1" applyFont="1" applyFill="1" applyBorder="1" applyAlignment="1">
      <alignment horizontal="center" vertical="center" wrapText="1"/>
      <protection/>
    </xf>
    <xf numFmtId="49" fontId="28" fillId="35" borderId="24" xfId="53" applyNumberFormat="1" applyFont="1" applyFill="1" applyBorder="1" applyAlignment="1" quotePrefix="1">
      <alignment horizontal="center" vertical="center" wrapText="1"/>
      <protection/>
    </xf>
    <xf numFmtId="0" fontId="28" fillId="35" borderId="10" xfId="53" applyNumberFormat="1" applyFont="1" applyFill="1" applyBorder="1" applyAlignment="1">
      <alignment horizontal="left" vertical="center" wrapText="1"/>
      <protection/>
    </xf>
    <xf numFmtId="179" fontId="27" fillId="33" borderId="10" xfId="53" applyNumberFormat="1" applyFont="1" applyFill="1" applyBorder="1" applyAlignment="1">
      <alignment horizontal="center" vertical="center" wrapText="1"/>
      <protection/>
    </xf>
    <xf numFmtId="179" fontId="26" fillId="33" borderId="10" xfId="0" applyNumberFormat="1" applyFont="1" applyFill="1" applyBorder="1" applyAlignment="1">
      <alignment horizontal="center" vertical="center" wrapText="1"/>
    </xf>
    <xf numFmtId="179" fontId="27" fillId="35" borderId="25" xfId="0" applyNumberFormat="1" applyFont="1" applyFill="1" applyBorder="1" applyAlignment="1">
      <alignment horizontal="center" vertical="center" wrapText="1"/>
    </xf>
    <xf numFmtId="49" fontId="25" fillId="0" borderId="24" xfId="53" applyNumberFormat="1" applyFont="1" applyFill="1" applyBorder="1" applyAlignment="1" quotePrefix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left" vertical="center" wrapText="1"/>
      <protection/>
    </xf>
    <xf numFmtId="179" fontId="26" fillId="34" borderId="10" xfId="53" applyNumberFormat="1" applyFont="1" applyFill="1" applyBorder="1" applyAlignment="1">
      <alignment horizontal="center" vertical="center" wrapText="1"/>
      <protection/>
    </xf>
    <xf numFmtId="179" fontId="26" fillId="0" borderId="10" xfId="53" applyNumberFormat="1" applyFont="1" applyFill="1" applyBorder="1" applyAlignment="1">
      <alignment horizontal="center" vertical="center" wrapText="1"/>
      <protection/>
    </xf>
    <xf numFmtId="179" fontId="26" fillId="34" borderId="10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Fill="1" applyBorder="1" applyAlignment="1">
      <alignment horizontal="center" vertical="center" wrapText="1"/>
    </xf>
    <xf numFmtId="179" fontId="27" fillId="0" borderId="10" xfId="0" applyNumberFormat="1" applyFont="1" applyFill="1" applyBorder="1" applyAlignment="1">
      <alignment horizontal="center" vertical="center" wrapText="1"/>
    </xf>
    <xf numFmtId="179" fontId="27" fillId="34" borderId="10" xfId="0" applyNumberFormat="1" applyFont="1" applyFill="1" applyBorder="1" applyAlignment="1">
      <alignment horizontal="center" vertical="center" wrapText="1"/>
    </xf>
    <xf numFmtId="179" fontId="27" fillId="0" borderId="25" xfId="0" applyNumberFormat="1" applyFont="1" applyFill="1" applyBorder="1" applyAlignment="1">
      <alignment horizontal="center" vertical="center" wrapText="1"/>
    </xf>
    <xf numFmtId="179" fontId="50" fillId="34" borderId="10" xfId="0" applyNumberFormat="1" applyFont="1" applyFill="1" applyBorder="1" applyAlignment="1">
      <alignment horizontal="center" vertical="center" wrapText="1"/>
    </xf>
    <xf numFmtId="49" fontId="25" fillId="0" borderId="24" xfId="53" applyNumberFormat="1" applyFont="1" applyFill="1" applyBorder="1" applyAlignment="1">
      <alignment horizontal="center" vertical="center" wrapText="1"/>
      <protection/>
    </xf>
    <xf numFmtId="179" fontId="50" fillId="36" borderId="10" xfId="0" applyNumberFormat="1" applyFont="1" applyFill="1" applyBorder="1" applyAlignment="1">
      <alignment horizontal="center" vertical="center" wrapText="1"/>
    </xf>
    <xf numFmtId="179" fontId="27" fillId="36" borderId="10" xfId="0" applyNumberFormat="1" applyFont="1" applyFill="1" applyBorder="1" applyAlignment="1">
      <alignment horizontal="center" vertical="center" wrapText="1"/>
    </xf>
    <xf numFmtId="179" fontId="26" fillId="33" borderId="10" xfId="53" applyNumberFormat="1" applyFont="1" applyFill="1" applyBorder="1" applyAlignment="1">
      <alignment horizontal="center" vertical="center" wrapText="1"/>
      <protection/>
    </xf>
    <xf numFmtId="179" fontId="27" fillId="33" borderId="25" xfId="53" applyNumberFormat="1" applyFont="1" applyFill="1" applyBorder="1" applyAlignment="1">
      <alignment horizontal="center" vertical="center" wrapText="1"/>
      <protection/>
    </xf>
    <xf numFmtId="49" fontId="28" fillId="35" borderId="24" xfId="53" applyNumberFormat="1" applyFont="1" applyFill="1" applyBorder="1" applyAlignment="1" quotePrefix="1">
      <alignment horizontal="center" vertical="center" wrapText="1"/>
      <protection/>
    </xf>
    <xf numFmtId="0" fontId="28" fillId="35" borderId="10" xfId="53" applyNumberFormat="1" applyFont="1" applyFill="1" applyBorder="1" applyAlignment="1">
      <alignment horizontal="left" vertical="center" wrapText="1"/>
      <protection/>
    </xf>
    <xf numFmtId="179" fontId="27" fillId="33" borderId="10" xfId="53" applyNumberFormat="1" applyFont="1" applyFill="1" applyBorder="1" applyAlignment="1">
      <alignment horizontal="center" vertical="center" wrapText="1"/>
      <protection/>
    </xf>
    <xf numFmtId="179" fontId="27" fillId="33" borderId="25" xfId="0" applyNumberFormat="1" applyFont="1" applyFill="1" applyBorder="1" applyAlignment="1">
      <alignment horizontal="center" vertical="center" wrapText="1"/>
    </xf>
    <xf numFmtId="0" fontId="25" fillId="37" borderId="10" xfId="53" applyNumberFormat="1" applyFont="1" applyFill="1" applyBorder="1" applyAlignment="1">
      <alignment horizontal="left" vertical="center" wrapText="1"/>
      <protection/>
    </xf>
    <xf numFmtId="0" fontId="26" fillId="0" borderId="10" xfId="52" applyNumberFormat="1" applyFont="1" applyFill="1" applyBorder="1" applyAlignment="1" applyProtection="1">
      <alignment horizontal="left" vertical="center" wrapText="1"/>
      <protection hidden="1"/>
    </xf>
    <xf numFmtId="179" fontId="27" fillId="38" borderId="10" xfId="0" applyNumberFormat="1" applyFont="1" applyFill="1" applyBorder="1" applyAlignment="1">
      <alignment horizontal="center" vertical="center" wrapText="1"/>
    </xf>
    <xf numFmtId="179" fontId="27" fillId="33" borderId="10" xfId="0" applyNumberFormat="1" applyFont="1" applyFill="1" applyBorder="1" applyAlignment="1">
      <alignment horizontal="center" vertical="center" wrapText="1"/>
    </xf>
    <xf numFmtId="2" fontId="27" fillId="0" borderId="25" xfId="0" applyNumberFormat="1" applyFont="1" applyFill="1" applyBorder="1" applyAlignment="1">
      <alignment horizontal="center" vertical="center" wrapText="1"/>
    </xf>
    <xf numFmtId="0" fontId="25" fillId="0" borderId="0" xfId="53" applyNumberFormat="1" applyFont="1" applyFill="1" applyBorder="1" applyAlignment="1">
      <alignment horizontal="left" vertical="center" wrapText="1"/>
      <protection/>
    </xf>
    <xf numFmtId="177" fontId="27" fillId="0" borderId="25" xfId="0" applyNumberFormat="1" applyFont="1" applyFill="1" applyBorder="1" applyAlignment="1">
      <alignment horizontal="center" vertical="center" wrapText="1"/>
    </xf>
    <xf numFmtId="49" fontId="28" fillId="35" borderId="24" xfId="53" applyNumberFormat="1" applyFont="1" applyFill="1" applyBorder="1" applyAlignment="1">
      <alignment horizontal="center" vertical="center" wrapText="1"/>
      <protection/>
    </xf>
    <xf numFmtId="0" fontId="28" fillId="35" borderId="10" xfId="0" applyNumberFormat="1" applyFont="1" applyFill="1" applyBorder="1" applyAlignment="1">
      <alignment horizontal="left" vertical="center" wrapText="1"/>
    </xf>
    <xf numFmtId="177" fontId="27" fillId="33" borderId="25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49" fontId="26" fillId="0" borderId="24" xfId="53" applyNumberFormat="1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left" vertical="center" wrapText="1"/>
      <protection/>
    </xf>
    <xf numFmtId="179" fontId="27" fillId="35" borderId="25" xfId="53" applyNumberFormat="1" applyFont="1" applyFill="1" applyBorder="1" applyAlignment="1">
      <alignment horizontal="center" vertical="center" wrapText="1"/>
      <protection/>
    </xf>
    <xf numFmtId="0" fontId="31" fillId="6" borderId="26" xfId="53" applyNumberFormat="1" applyFont="1" applyFill="1" applyBorder="1" applyAlignment="1">
      <alignment horizontal="center" vertical="center" wrapText="1"/>
      <protection/>
    </xf>
    <xf numFmtId="0" fontId="31" fillId="6" borderId="27" xfId="53" applyNumberFormat="1" applyFont="1" applyFill="1" applyBorder="1" applyAlignment="1">
      <alignment horizontal="center" vertical="center" wrapText="1"/>
      <protection/>
    </xf>
    <xf numFmtId="179" fontId="27" fillId="39" borderId="27" xfId="53" applyNumberFormat="1" applyFont="1" applyFill="1" applyBorder="1" applyAlignment="1">
      <alignment horizontal="center" vertical="center" wrapText="1"/>
      <protection/>
    </xf>
    <xf numFmtId="179" fontId="27" fillId="39" borderId="27" xfId="0" applyNumberFormat="1" applyFont="1" applyFill="1" applyBorder="1" applyAlignment="1">
      <alignment horizontal="center" vertical="center" wrapText="1"/>
    </xf>
    <xf numFmtId="179" fontId="27" fillId="39" borderId="28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Border="1" applyAlignment="1">
      <alignment horizontal="center" vertical="center"/>
    </xf>
    <xf numFmtId="0" fontId="32" fillId="0" borderId="0" xfId="53" applyNumberFormat="1" applyFont="1" applyAlignment="1">
      <alignment horizontal="center" vertical="center" wrapText="1"/>
      <protection/>
    </xf>
    <xf numFmtId="0" fontId="26" fillId="0" borderId="0" xfId="0" applyFont="1" applyAlignment="1">
      <alignment/>
    </xf>
    <xf numFmtId="49" fontId="25" fillId="0" borderId="0" xfId="53" applyNumberFormat="1" applyFont="1" applyAlignment="1">
      <alignment horizontal="center" vertical="center" wrapText="1"/>
      <protection/>
    </xf>
    <xf numFmtId="0" fontId="25" fillId="0" borderId="0" xfId="53" applyNumberFormat="1" applyFont="1" applyAlignment="1">
      <alignment horizontal="left" vertical="center" wrapText="1"/>
      <protection/>
    </xf>
    <xf numFmtId="179" fontId="51" fillId="34" borderId="0" xfId="53" applyNumberFormat="1" applyFont="1" applyFill="1" applyAlignment="1">
      <alignment horizontal="center" vertical="center" wrapText="1"/>
      <protection/>
    </xf>
    <xf numFmtId="179" fontId="26" fillId="34" borderId="0" xfId="53" applyNumberFormat="1" applyFont="1" applyFill="1" applyBorder="1" applyAlignment="1">
      <alignment horizontal="center" vertical="center" wrapText="1"/>
      <protection/>
    </xf>
    <xf numFmtId="179" fontId="26" fillId="0" borderId="0" xfId="53" applyNumberFormat="1" applyFont="1" applyFill="1" applyAlignment="1">
      <alignment horizontal="center" vertical="center" wrapText="1"/>
      <protection/>
    </xf>
    <xf numFmtId="179" fontId="26" fillId="34" borderId="0" xfId="0" applyNumberFormat="1" applyFont="1" applyFill="1" applyAlignment="1">
      <alignment horizontal="center" vertical="center" wrapText="1"/>
    </xf>
    <xf numFmtId="179" fontId="26" fillId="0" borderId="0" xfId="0" applyNumberFormat="1" applyFont="1" applyAlignment="1">
      <alignment horizontal="center" vertical="center" wrapText="1"/>
    </xf>
    <xf numFmtId="179" fontId="27" fillId="0" borderId="0" xfId="0" applyNumberFormat="1" applyFont="1" applyFill="1" applyAlignment="1">
      <alignment horizontal="center" vertical="center" wrapText="1"/>
    </xf>
    <xf numFmtId="179" fontId="27" fillId="34" borderId="0" xfId="0" applyNumberFormat="1" applyFont="1" applyFill="1" applyAlignment="1">
      <alignment horizontal="center" vertical="center" wrapText="1"/>
    </xf>
    <xf numFmtId="179" fontId="27" fillId="0" borderId="0" xfId="0" applyNumberFormat="1" applyFont="1" applyAlignment="1">
      <alignment horizontal="center" vertical="center" wrapText="1"/>
    </xf>
    <xf numFmtId="180" fontId="26" fillId="0" borderId="0" xfId="0" applyNumberFormat="1" applyFont="1" applyAlignment="1">
      <alignment/>
    </xf>
    <xf numFmtId="49" fontId="25" fillId="0" borderId="0" xfId="53" applyNumberFormat="1" applyFont="1" applyFill="1" applyBorder="1" applyAlignment="1">
      <alignment horizontal="center" vertical="center" wrapText="1"/>
      <protection/>
    </xf>
    <xf numFmtId="181" fontId="51" fillId="34" borderId="0" xfId="53" applyNumberFormat="1" applyFont="1" applyFill="1" applyBorder="1" applyAlignment="1">
      <alignment horizontal="center" vertical="center" wrapText="1"/>
      <protection/>
    </xf>
    <xf numFmtId="179" fontId="27" fillId="0" borderId="0" xfId="53" applyNumberFormat="1" applyFont="1" applyFill="1" applyBorder="1" applyAlignment="1">
      <alignment horizontal="center" vertical="center" wrapText="1"/>
      <protection/>
    </xf>
    <xf numFmtId="49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179" fontId="51" fillId="34" borderId="0" xfId="0" applyNumberFormat="1" applyFont="1" applyFill="1" applyBorder="1" applyAlignment="1">
      <alignment horizontal="center" vertical="center" wrapText="1"/>
    </xf>
    <xf numFmtId="179" fontId="51" fillId="0" borderId="0" xfId="0" applyNumberFormat="1" applyFont="1" applyFill="1" applyBorder="1" applyAlignment="1">
      <alignment horizontal="center" vertical="center" wrapText="1"/>
    </xf>
    <xf numFmtId="179" fontId="26" fillId="34" borderId="0" xfId="0" applyNumberFormat="1" applyFont="1" applyFill="1" applyBorder="1" applyAlignment="1">
      <alignment horizontal="center" vertical="center" wrapText="1"/>
    </xf>
    <xf numFmtId="0" fontId="25" fillId="0" borderId="0" xfId="53" applyNumberFormat="1" applyFont="1" applyFill="1" applyBorder="1" applyAlignment="1">
      <alignment horizontal="right" vertical="center" wrapText="1"/>
      <protection/>
    </xf>
    <xf numFmtId="179" fontId="26" fillId="34" borderId="16" xfId="53" applyNumberFormat="1" applyFont="1" applyFill="1" applyBorder="1" applyAlignment="1">
      <alignment horizontal="center" vertical="center" wrapText="1"/>
      <protection/>
    </xf>
    <xf numFmtId="179" fontId="26" fillId="0" borderId="0" xfId="53" applyNumberFormat="1" applyFont="1" applyFill="1" applyBorder="1" applyAlignment="1">
      <alignment horizontal="left" vertical="center" wrapText="1"/>
      <protection/>
    </xf>
    <xf numFmtId="49" fontId="25" fillId="0" borderId="0" xfId="0" applyNumberFormat="1" applyFont="1" applyFill="1" applyBorder="1" applyAlignment="1">
      <alignment horizontal="right" vertical="center" wrapText="1"/>
    </xf>
    <xf numFmtId="179" fontId="51" fillId="34" borderId="0" xfId="53" applyNumberFormat="1" applyFont="1" applyFill="1" applyBorder="1" applyAlignment="1">
      <alignment horizontal="center" vertical="center" wrapText="1"/>
      <protection/>
    </xf>
    <xf numFmtId="179" fontId="26" fillId="0" borderId="0" xfId="0" applyNumberFormat="1" applyFont="1" applyFill="1" applyBorder="1" applyAlignment="1">
      <alignment horizontal="left" vertical="center" wrapText="1"/>
    </xf>
    <xf numFmtId="179" fontId="26" fillId="34" borderId="0" xfId="0" applyNumberFormat="1" applyFont="1" applyFill="1" applyAlignment="1">
      <alignment horizontal="left" vertical="center" wrapText="1"/>
    </xf>
    <xf numFmtId="179" fontId="26" fillId="34" borderId="16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79" fontId="51" fillId="34" borderId="0" xfId="0" applyNumberFormat="1" applyFont="1" applyFill="1" applyAlignment="1">
      <alignment horizontal="center" vertical="center" wrapText="1"/>
    </xf>
    <xf numFmtId="179" fontId="26" fillId="0" borderId="0" xfId="0" applyNumberFormat="1" applyFont="1" applyFill="1" applyAlignment="1">
      <alignment horizontal="center" vertical="center" wrapText="1"/>
    </xf>
    <xf numFmtId="0" fontId="26" fillId="34" borderId="0" xfId="0" applyFont="1" applyFill="1" applyAlignment="1">
      <alignment horizontal="right"/>
    </xf>
    <xf numFmtId="0" fontId="26" fillId="34" borderId="16" xfId="0" applyFont="1" applyFill="1" applyBorder="1" applyAlignment="1">
      <alignment/>
    </xf>
    <xf numFmtId="0" fontId="26" fillId="34" borderId="0" xfId="0" applyFont="1" applyFill="1" applyAlignment="1">
      <alignment/>
    </xf>
    <xf numFmtId="0" fontId="26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8"/>
  <sheetViews>
    <sheetView zoomScalePageLayoutView="0" workbookViewId="0" topLeftCell="A1">
      <pane ySplit="1" topLeftCell="A37" activePane="bottomLeft" state="frozen"/>
      <selection pane="topLeft" activeCell="A1" sqref="A1"/>
      <selection pane="bottomLeft" activeCell="D246" sqref="D246:K252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49.00390625" style="1" customWidth="1"/>
    <col min="4" max="4" width="10.375" style="1" customWidth="1"/>
    <col min="5" max="5" width="11.625" style="1" customWidth="1"/>
    <col min="6" max="6" width="12.625" style="1" customWidth="1"/>
    <col min="7" max="7" width="9.875" style="1" hidden="1" customWidth="1"/>
    <col min="8" max="8" width="10.25390625" style="1" hidden="1" customWidth="1"/>
    <col min="9" max="9" width="9.625" style="1" hidden="1" customWidth="1"/>
    <col min="10" max="10" width="11.125" style="1" hidden="1" customWidth="1" outlineLevel="1"/>
    <col min="11" max="11" width="11.00390625" style="1" customWidth="1" collapsed="1"/>
    <col min="12" max="12" width="8.25390625" style="1" customWidth="1"/>
    <col min="13" max="13" width="8.00390625" style="1" customWidth="1"/>
    <col min="14" max="16384" width="9.125" style="1" customWidth="1"/>
  </cols>
  <sheetData>
    <row r="1" spans="1:14" ht="12.75">
      <c r="A1" s="97" t="s">
        <v>83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1" ht="9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4.25" customHeight="1">
      <c r="A3" s="22"/>
      <c r="B3" s="22"/>
      <c r="C3" s="23"/>
      <c r="D3" s="23"/>
      <c r="E3" s="23"/>
      <c r="F3" s="23"/>
      <c r="G3" s="23"/>
      <c r="H3" s="23"/>
      <c r="I3" s="24"/>
      <c r="J3" s="24"/>
      <c r="K3" s="25" t="s">
        <v>69</v>
      </c>
    </row>
    <row r="4" spans="1:14" ht="12.75" customHeight="1">
      <c r="A4" s="26" t="s">
        <v>41</v>
      </c>
      <c r="B4" s="26"/>
      <c r="C4" s="27"/>
      <c r="D4" s="94" t="s">
        <v>76</v>
      </c>
      <c r="E4" s="94" t="s">
        <v>77</v>
      </c>
      <c r="F4" s="94" t="s">
        <v>80</v>
      </c>
      <c r="G4" s="98" t="s">
        <v>72</v>
      </c>
      <c r="H4" s="98" t="s">
        <v>73</v>
      </c>
      <c r="I4" s="98" t="s">
        <v>74</v>
      </c>
      <c r="J4" s="98" t="s">
        <v>75</v>
      </c>
      <c r="K4" s="94" t="s">
        <v>84</v>
      </c>
      <c r="L4" s="94" t="s">
        <v>81</v>
      </c>
      <c r="M4" s="94" t="s">
        <v>78</v>
      </c>
      <c r="N4" s="94" t="s">
        <v>79</v>
      </c>
    </row>
    <row r="5" spans="1:14" ht="27.75" customHeight="1">
      <c r="A5" s="28" t="s">
        <v>46</v>
      </c>
      <c r="B5" s="28"/>
      <c r="C5" s="29" t="s">
        <v>16</v>
      </c>
      <c r="D5" s="95"/>
      <c r="E5" s="95"/>
      <c r="F5" s="95"/>
      <c r="G5" s="99"/>
      <c r="H5" s="99"/>
      <c r="I5" s="99"/>
      <c r="J5" s="99"/>
      <c r="K5" s="95"/>
      <c r="L5" s="95"/>
      <c r="M5" s="95"/>
      <c r="N5" s="95"/>
    </row>
    <row r="6" spans="1:14" ht="39.75" customHeight="1">
      <c r="A6" s="28"/>
      <c r="B6" s="28"/>
      <c r="C6" s="29"/>
      <c r="D6" s="96"/>
      <c r="E6" s="96"/>
      <c r="F6" s="96"/>
      <c r="G6" s="100"/>
      <c r="H6" s="100"/>
      <c r="I6" s="100"/>
      <c r="J6" s="100"/>
      <c r="K6" s="96"/>
      <c r="L6" s="96"/>
      <c r="M6" s="96"/>
      <c r="N6" s="96"/>
    </row>
    <row r="7" spans="1:14" ht="12.75">
      <c r="A7" s="91" t="s">
        <v>24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ht="12.75">
      <c r="A8" s="32" t="s">
        <v>3</v>
      </c>
      <c r="B8" s="32"/>
      <c r="C8" s="33" t="s">
        <v>68</v>
      </c>
      <c r="D8" s="34">
        <f aca="true" t="shared" si="0" ref="D8:J8">D9+D11+D12+D13+D15+D16+D18+D20+D14+D21+D17+D19+D10</f>
        <v>790943.5000000001</v>
      </c>
      <c r="E8" s="34">
        <f t="shared" si="0"/>
        <v>866310.2000000003</v>
      </c>
      <c r="F8" s="34">
        <f t="shared" si="0"/>
        <v>649170.3</v>
      </c>
      <c r="G8" s="34">
        <f t="shared" si="0"/>
        <v>212683.8</v>
      </c>
      <c r="H8" s="34">
        <f t="shared" si="0"/>
        <v>247200.89999999997</v>
      </c>
      <c r="I8" s="34">
        <f t="shared" si="0"/>
        <v>189285.6</v>
      </c>
      <c r="J8" s="34">
        <f t="shared" si="0"/>
        <v>217139.90000000002</v>
      </c>
      <c r="K8" s="34">
        <f>K9+K11+K12+K13+K15+K16+K18+K20+K14+K21+K17+K19+K10</f>
        <v>672347.9999999999</v>
      </c>
      <c r="L8" s="34">
        <f aca="true" t="shared" si="1" ref="L8:L13">K8*100/F8</f>
        <v>103.57035742393018</v>
      </c>
      <c r="M8" s="15">
        <f aca="true" t="shared" si="2" ref="M8:M13">K8*100/E8</f>
        <v>77.61053719556801</v>
      </c>
      <c r="N8" s="15">
        <f aca="true" t="shared" si="3" ref="N8:N20">K8*100/D8</f>
        <v>85.0058189997136</v>
      </c>
    </row>
    <row r="9" spans="1:14" ht="12.75">
      <c r="A9" s="35" t="s">
        <v>23</v>
      </c>
      <c r="B9" s="35"/>
      <c r="C9" s="36" t="s">
        <v>22</v>
      </c>
      <c r="D9" s="21">
        <v>599585.5</v>
      </c>
      <c r="E9" s="51">
        <f>G9+H9+I9+J9</f>
        <v>635880.6000000001</v>
      </c>
      <c r="F9" s="21">
        <f>G9+H9+I9</f>
        <v>470877.20000000007</v>
      </c>
      <c r="G9" s="21">
        <v>160258.2</v>
      </c>
      <c r="H9" s="21">
        <v>169706.6</v>
      </c>
      <c r="I9" s="14">
        <v>140912.4</v>
      </c>
      <c r="J9" s="37">
        <v>165003.4</v>
      </c>
      <c r="K9" s="37">
        <v>468354.1</v>
      </c>
      <c r="L9" s="14">
        <f t="shared" si="1"/>
        <v>99.46417027624186</v>
      </c>
      <c r="M9" s="37">
        <f t="shared" si="2"/>
        <v>73.65440933407938</v>
      </c>
      <c r="N9" s="13">
        <f t="shared" si="3"/>
        <v>78.11297971682103</v>
      </c>
    </row>
    <row r="10" spans="1:14" ht="12.75">
      <c r="A10" s="35" t="s">
        <v>70</v>
      </c>
      <c r="B10" s="35"/>
      <c r="C10" s="38" t="s">
        <v>71</v>
      </c>
      <c r="D10" s="39">
        <v>5380.3</v>
      </c>
      <c r="E10" s="39">
        <f aca="true" t="shared" si="4" ref="E10:E26">G10+H10+I10+J10</f>
        <v>5600</v>
      </c>
      <c r="F10" s="21">
        <f aca="true" t="shared" si="5" ref="F10:F26">G10+H10+I10</f>
        <v>4295.4</v>
      </c>
      <c r="G10" s="39">
        <v>1434.4</v>
      </c>
      <c r="H10" s="39">
        <v>1369.4</v>
      </c>
      <c r="I10" s="12">
        <v>1491.6</v>
      </c>
      <c r="J10" s="13">
        <v>1304.6</v>
      </c>
      <c r="K10" s="13">
        <v>4403</v>
      </c>
      <c r="L10" s="14">
        <f t="shared" si="1"/>
        <v>102.50500535456536</v>
      </c>
      <c r="M10" s="13">
        <f t="shared" si="2"/>
        <v>78.625</v>
      </c>
      <c r="N10" s="13">
        <f t="shared" si="3"/>
        <v>81.83558537628014</v>
      </c>
    </row>
    <row r="11" spans="1:14" ht="12.75">
      <c r="A11" s="35" t="s">
        <v>8</v>
      </c>
      <c r="B11" s="35"/>
      <c r="C11" s="38" t="s">
        <v>5</v>
      </c>
      <c r="D11" s="39">
        <v>45380</v>
      </c>
      <c r="E11" s="39">
        <f t="shared" si="4"/>
        <v>46850</v>
      </c>
      <c r="F11" s="21">
        <f t="shared" si="5"/>
        <v>38996.3</v>
      </c>
      <c r="G11" s="39">
        <v>8285.2</v>
      </c>
      <c r="H11" s="39">
        <v>20370.1</v>
      </c>
      <c r="I11" s="12">
        <v>10341</v>
      </c>
      <c r="J11" s="13">
        <v>7853.7</v>
      </c>
      <c r="K11" s="13">
        <v>39556.2</v>
      </c>
      <c r="L11" s="14">
        <f t="shared" si="1"/>
        <v>101.43577724040485</v>
      </c>
      <c r="M11" s="13">
        <f t="shared" si="2"/>
        <v>84.43159018143008</v>
      </c>
      <c r="N11" s="13">
        <f t="shared" si="3"/>
        <v>87.16659321286909</v>
      </c>
    </row>
    <row r="12" spans="1:14" ht="12.75">
      <c r="A12" s="35" t="s">
        <v>9</v>
      </c>
      <c r="B12" s="35"/>
      <c r="C12" s="38" t="s">
        <v>6</v>
      </c>
      <c r="D12" s="39">
        <v>2500</v>
      </c>
      <c r="E12" s="39">
        <f t="shared" si="4"/>
        <v>3700.0000000000005</v>
      </c>
      <c r="F12" s="21">
        <f t="shared" si="5"/>
        <v>2953.1000000000004</v>
      </c>
      <c r="G12" s="39">
        <v>1005.8</v>
      </c>
      <c r="H12" s="39">
        <v>972.6</v>
      </c>
      <c r="I12" s="12">
        <v>974.7</v>
      </c>
      <c r="J12" s="13">
        <v>746.9</v>
      </c>
      <c r="K12" s="13">
        <v>2942.1</v>
      </c>
      <c r="L12" s="14">
        <f t="shared" si="1"/>
        <v>99.62751007415935</v>
      </c>
      <c r="M12" s="13">
        <f t="shared" si="2"/>
        <v>79.51621621621621</v>
      </c>
      <c r="N12" s="13">
        <f t="shared" si="3"/>
        <v>117.684</v>
      </c>
    </row>
    <row r="13" spans="1:14" ht="12.75">
      <c r="A13" s="35" t="s">
        <v>10</v>
      </c>
      <c r="B13" s="35"/>
      <c r="C13" s="38" t="s">
        <v>21</v>
      </c>
      <c r="D13" s="39">
        <v>3105</v>
      </c>
      <c r="E13" s="39">
        <f t="shared" si="4"/>
        <v>3300</v>
      </c>
      <c r="F13" s="21">
        <f t="shared" si="5"/>
        <v>2658.6</v>
      </c>
      <c r="G13" s="39">
        <v>932.5</v>
      </c>
      <c r="H13" s="39">
        <v>914.1</v>
      </c>
      <c r="I13" s="12">
        <v>812</v>
      </c>
      <c r="J13" s="13">
        <v>641.4</v>
      </c>
      <c r="K13" s="13">
        <v>2755.5</v>
      </c>
      <c r="L13" s="14">
        <f t="shared" si="1"/>
        <v>103.64477544572331</v>
      </c>
      <c r="M13" s="13">
        <f t="shared" si="2"/>
        <v>83.5</v>
      </c>
      <c r="N13" s="13">
        <f t="shared" si="3"/>
        <v>88.74396135265701</v>
      </c>
    </row>
    <row r="14" spans="1:14" ht="21.75" customHeight="1" hidden="1">
      <c r="A14" s="35" t="s">
        <v>37</v>
      </c>
      <c r="B14" s="35"/>
      <c r="C14" s="38" t="s">
        <v>38</v>
      </c>
      <c r="D14" s="39"/>
      <c r="E14" s="39">
        <f t="shared" si="4"/>
        <v>0</v>
      </c>
      <c r="F14" s="21">
        <f t="shared" si="5"/>
        <v>0</v>
      </c>
      <c r="G14" s="39"/>
      <c r="H14" s="39"/>
      <c r="I14" s="12"/>
      <c r="J14" s="13"/>
      <c r="K14" s="13"/>
      <c r="L14" s="14"/>
      <c r="M14" s="13"/>
      <c r="N14" s="13" t="e">
        <f t="shared" si="3"/>
        <v>#DIV/0!</v>
      </c>
    </row>
    <row r="15" spans="1:14" ht="24">
      <c r="A15" s="40" t="s">
        <v>11</v>
      </c>
      <c r="B15" s="40"/>
      <c r="C15" s="38" t="s">
        <v>17</v>
      </c>
      <c r="D15" s="39">
        <v>99505.9</v>
      </c>
      <c r="E15" s="39">
        <f t="shared" si="4"/>
        <v>115635.9</v>
      </c>
      <c r="F15" s="21">
        <f t="shared" si="5"/>
        <v>87942.3</v>
      </c>
      <c r="G15" s="39">
        <v>26388.1</v>
      </c>
      <c r="H15" s="39">
        <v>38724.3</v>
      </c>
      <c r="I15" s="12">
        <v>22829.9</v>
      </c>
      <c r="J15" s="13">
        <v>27693.6</v>
      </c>
      <c r="K15" s="13">
        <v>92605.4</v>
      </c>
      <c r="L15" s="14">
        <f aca="true" t="shared" si="6" ref="L15:L20">K15*100/F15</f>
        <v>105.3024539954038</v>
      </c>
      <c r="M15" s="13">
        <f aca="true" t="shared" si="7" ref="M15:M20">K15*100/E15</f>
        <v>80.08360725345676</v>
      </c>
      <c r="N15" s="13">
        <f t="shared" si="3"/>
        <v>93.06523532775444</v>
      </c>
    </row>
    <row r="16" spans="1:14" ht="12.75">
      <c r="A16" s="41" t="s">
        <v>14</v>
      </c>
      <c r="B16" s="41"/>
      <c r="C16" s="38" t="s">
        <v>13</v>
      </c>
      <c r="D16" s="39">
        <v>4251.8</v>
      </c>
      <c r="E16" s="39">
        <f t="shared" si="4"/>
        <v>5000.900000000001</v>
      </c>
      <c r="F16" s="21">
        <f t="shared" si="5"/>
        <v>3817.7000000000003</v>
      </c>
      <c r="G16" s="39">
        <v>1766.5</v>
      </c>
      <c r="H16" s="39">
        <v>763.3</v>
      </c>
      <c r="I16" s="12">
        <v>1287.9</v>
      </c>
      <c r="J16" s="13">
        <v>1183.2</v>
      </c>
      <c r="K16" s="13">
        <v>3828.6</v>
      </c>
      <c r="L16" s="14">
        <f t="shared" si="6"/>
        <v>100.28551221939911</v>
      </c>
      <c r="M16" s="13">
        <f t="shared" si="7"/>
        <v>76.5582195204863</v>
      </c>
      <c r="N16" s="13">
        <f t="shared" si="3"/>
        <v>90.04656851215955</v>
      </c>
    </row>
    <row r="17" spans="1:14" ht="24">
      <c r="A17" s="42" t="s">
        <v>42</v>
      </c>
      <c r="B17" s="42"/>
      <c r="C17" s="38" t="s">
        <v>43</v>
      </c>
      <c r="D17" s="39">
        <v>14097.8</v>
      </c>
      <c r="E17" s="39">
        <f t="shared" si="4"/>
        <v>15397.800000000001</v>
      </c>
      <c r="F17" s="21">
        <f t="shared" si="5"/>
        <v>9543.7</v>
      </c>
      <c r="G17" s="39">
        <v>3645.4</v>
      </c>
      <c r="H17" s="39">
        <v>3545.9</v>
      </c>
      <c r="I17" s="12">
        <v>2352.4</v>
      </c>
      <c r="J17" s="13">
        <v>5854.1</v>
      </c>
      <c r="K17" s="13">
        <v>20915.6</v>
      </c>
      <c r="L17" s="14">
        <f t="shared" si="6"/>
        <v>219.156092500812</v>
      </c>
      <c r="M17" s="13">
        <f t="shared" si="7"/>
        <v>135.8349894140721</v>
      </c>
      <c r="N17" s="13">
        <f t="shared" si="3"/>
        <v>148.36073713629077</v>
      </c>
    </row>
    <row r="18" spans="1:14" ht="24">
      <c r="A18" s="42" t="s">
        <v>18</v>
      </c>
      <c r="B18" s="42"/>
      <c r="C18" s="38" t="s">
        <v>15</v>
      </c>
      <c r="D18" s="39">
        <v>16903.5</v>
      </c>
      <c r="E18" s="39">
        <f t="shared" si="4"/>
        <v>22084.4</v>
      </c>
      <c r="F18" s="21">
        <f t="shared" si="5"/>
        <v>16428.9</v>
      </c>
      <c r="G18" s="39">
        <v>4861.4</v>
      </c>
      <c r="H18" s="39">
        <v>5061.8</v>
      </c>
      <c r="I18" s="12">
        <v>6505.7</v>
      </c>
      <c r="J18" s="13">
        <v>5655.5</v>
      </c>
      <c r="K18" s="13">
        <v>17713.5</v>
      </c>
      <c r="L18" s="14">
        <f t="shared" si="6"/>
        <v>107.81914796486679</v>
      </c>
      <c r="M18" s="13">
        <f t="shared" si="7"/>
        <v>80.20820126424081</v>
      </c>
      <c r="N18" s="13">
        <f t="shared" si="3"/>
        <v>104.79190700150856</v>
      </c>
    </row>
    <row r="19" spans="1:14" ht="12.75">
      <c r="A19" s="42" t="s">
        <v>60</v>
      </c>
      <c r="B19" s="42"/>
      <c r="C19" s="38" t="s">
        <v>61</v>
      </c>
      <c r="D19" s="39">
        <v>6</v>
      </c>
      <c r="E19" s="39">
        <f t="shared" si="4"/>
        <v>9</v>
      </c>
      <c r="F19" s="21">
        <f t="shared" si="5"/>
        <v>9</v>
      </c>
      <c r="G19" s="39">
        <v>5</v>
      </c>
      <c r="H19" s="39">
        <v>3</v>
      </c>
      <c r="I19" s="12">
        <v>1</v>
      </c>
      <c r="J19" s="13">
        <v>0</v>
      </c>
      <c r="K19" s="13">
        <v>9</v>
      </c>
      <c r="L19" s="14">
        <f t="shared" si="6"/>
        <v>100</v>
      </c>
      <c r="M19" s="13">
        <f t="shared" si="7"/>
        <v>100</v>
      </c>
      <c r="N19" s="13">
        <f t="shared" si="3"/>
        <v>150</v>
      </c>
    </row>
    <row r="20" spans="1:14" ht="12.75">
      <c r="A20" s="43" t="s">
        <v>12</v>
      </c>
      <c r="B20" s="43"/>
      <c r="C20" s="38" t="s">
        <v>7</v>
      </c>
      <c r="D20" s="39">
        <v>227.7</v>
      </c>
      <c r="E20" s="39">
        <f t="shared" si="4"/>
        <v>12838.8</v>
      </c>
      <c r="F20" s="21">
        <f t="shared" si="5"/>
        <v>11635.3</v>
      </c>
      <c r="G20" s="39">
        <v>4088.5</v>
      </c>
      <c r="H20" s="39">
        <v>5769.8</v>
      </c>
      <c r="I20" s="12">
        <v>1777</v>
      </c>
      <c r="J20" s="13">
        <v>1203.5</v>
      </c>
      <c r="K20" s="13">
        <v>18628.1</v>
      </c>
      <c r="L20" s="14">
        <f t="shared" si="6"/>
        <v>160.0998685036054</v>
      </c>
      <c r="M20" s="13">
        <f t="shared" si="7"/>
        <v>145.0922204567405</v>
      </c>
      <c r="N20" s="13">
        <f t="shared" si="3"/>
        <v>8180.983750548968</v>
      </c>
    </row>
    <row r="21" spans="1:14" ht="12.75">
      <c r="A21" s="44" t="s">
        <v>39</v>
      </c>
      <c r="B21" s="45"/>
      <c r="C21" s="46" t="s">
        <v>40</v>
      </c>
      <c r="D21" s="39">
        <v>0</v>
      </c>
      <c r="E21" s="39">
        <f t="shared" si="4"/>
        <v>12.8</v>
      </c>
      <c r="F21" s="21">
        <f t="shared" si="5"/>
        <v>12.8</v>
      </c>
      <c r="G21" s="39">
        <v>12.8</v>
      </c>
      <c r="H21" s="39"/>
      <c r="I21" s="12"/>
      <c r="J21" s="13"/>
      <c r="K21" s="13">
        <v>636.9</v>
      </c>
      <c r="L21" s="14">
        <f>K21*100/F21</f>
        <v>4975.78125</v>
      </c>
      <c r="M21" s="13">
        <f>K21*100/E21</f>
        <v>4975.78125</v>
      </c>
      <c r="N21" s="13"/>
    </row>
    <row r="22" spans="1:14" ht="12.75">
      <c r="A22" s="47" t="s">
        <v>1</v>
      </c>
      <c r="B22" s="47"/>
      <c r="C22" s="48" t="s">
        <v>0</v>
      </c>
      <c r="D22" s="17">
        <f aca="true" t="shared" si="8" ref="D22:J22">D23+D24+D26+D25</f>
        <v>2692801.9</v>
      </c>
      <c r="E22" s="17">
        <f>E23+E24+E26+E25</f>
        <v>2868100.3</v>
      </c>
      <c r="F22" s="17">
        <f t="shared" si="8"/>
        <v>2073223</v>
      </c>
      <c r="G22" s="17">
        <f t="shared" si="8"/>
        <v>847501.6</v>
      </c>
      <c r="H22" s="17">
        <f t="shared" si="8"/>
        <v>732372.6</v>
      </c>
      <c r="I22" s="17">
        <f t="shared" si="8"/>
        <v>493348.8</v>
      </c>
      <c r="J22" s="17">
        <f t="shared" si="8"/>
        <v>794877.3</v>
      </c>
      <c r="K22" s="17">
        <f>K23+K24+K26+K25</f>
        <v>2064986.5</v>
      </c>
      <c r="L22" s="16">
        <f aca="true" t="shared" si="9" ref="L22:L27">K22*100/F22</f>
        <v>99.60272001612948</v>
      </c>
      <c r="M22" s="15">
        <f aca="true" t="shared" si="10" ref="M22:M27">K22*100/E22</f>
        <v>71.9984060529543</v>
      </c>
      <c r="N22" s="15">
        <f>K22*100/D22</f>
        <v>76.68542197626941</v>
      </c>
    </row>
    <row r="23" spans="1:14" ht="24">
      <c r="A23" s="49" t="s">
        <v>67</v>
      </c>
      <c r="B23" s="35"/>
      <c r="C23" s="50" t="s">
        <v>20</v>
      </c>
      <c r="D23" s="51">
        <v>2692801.9</v>
      </c>
      <c r="E23" s="39">
        <f t="shared" si="4"/>
        <v>2839818.8</v>
      </c>
      <c r="F23" s="21">
        <f t="shared" si="5"/>
        <v>2045279.4</v>
      </c>
      <c r="G23" s="39">
        <v>844555</v>
      </c>
      <c r="H23" s="39">
        <v>707724.4</v>
      </c>
      <c r="I23" s="13">
        <v>493000</v>
      </c>
      <c r="J23" s="13">
        <v>794539.4</v>
      </c>
      <c r="K23" s="13">
        <v>2045262.5</v>
      </c>
      <c r="L23" s="14">
        <f t="shared" si="9"/>
        <v>99.99917370702507</v>
      </c>
      <c r="M23" s="13">
        <f t="shared" si="10"/>
        <v>72.02088034630943</v>
      </c>
      <c r="N23" s="13">
        <f>K23*100/D23</f>
        <v>75.95295071650091</v>
      </c>
    </row>
    <row r="24" spans="1:14" ht="13.5" customHeight="1">
      <c r="A24" s="49" t="s">
        <v>82</v>
      </c>
      <c r="B24" s="49"/>
      <c r="C24" s="52" t="s">
        <v>19</v>
      </c>
      <c r="D24" s="53">
        <v>0</v>
      </c>
      <c r="E24" s="39">
        <f t="shared" si="4"/>
        <v>30000.000000000004</v>
      </c>
      <c r="F24" s="21">
        <f t="shared" si="5"/>
        <v>29662.100000000002</v>
      </c>
      <c r="G24" s="53">
        <v>4665.1</v>
      </c>
      <c r="H24" s="53">
        <v>24648.2</v>
      </c>
      <c r="I24" s="13">
        <v>348.8</v>
      </c>
      <c r="J24" s="13">
        <v>337.9</v>
      </c>
      <c r="K24" s="13">
        <v>32049.3</v>
      </c>
      <c r="L24" s="14">
        <f t="shared" si="9"/>
        <v>108.04798041945782</v>
      </c>
      <c r="M24" s="13">
        <f t="shared" si="10"/>
        <v>106.83099999999999</v>
      </c>
      <c r="N24" s="13"/>
    </row>
    <row r="25" spans="1:14" ht="40.5" customHeight="1" hidden="1">
      <c r="A25" s="49" t="s">
        <v>65</v>
      </c>
      <c r="B25" s="54" t="s">
        <v>64</v>
      </c>
      <c r="C25" s="46" t="s">
        <v>64</v>
      </c>
      <c r="D25" s="39">
        <v>0</v>
      </c>
      <c r="E25" s="39">
        <f t="shared" si="4"/>
        <v>0</v>
      </c>
      <c r="F25" s="21">
        <f t="shared" si="5"/>
        <v>0</v>
      </c>
      <c r="G25" s="39"/>
      <c r="H25" s="39"/>
      <c r="I25" s="13"/>
      <c r="J25" s="13"/>
      <c r="K25" s="13"/>
      <c r="L25" s="14" t="e">
        <f t="shared" si="9"/>
        <v>#DIV/0!</v>
      </c>
      <c r="M25" s="13" t="e">
        <f t="shared" si="10"/>
        <v>#DIV/0!</v>
      </c>
      <c r="N25" s="13"/>
    </row>
    <row r="26" spans="1:14" ht="39" customHeight="1">
      <c r="A26" s="49" t="s">
        <v>66</v>
      </c>
      <c r="B26" s="55"/>
      <c r="C26" s="56" t="s">
        <v>63</v>
      </c>
      <c r="D26" s="57">
        <v>0</v>
      </c>
      <c r="E26" s="39">
        <f t="shared" si="4"/>
        <v>-1718.5</v>
      </c>
      <c r="F26" s="21">
        <f t="shared" si="5"/>
        <v>-1718.5</v>
      </c>
      <c r="G26" s="57">
        <v>-1718.5</v>
      </c>
      <c r="H26" s="57"/>
      <c r="I26" s="13"/>
      <c r="J26" s="13"/>
      <c r="K26" s="13">
        <v>-12325.3</v>
      </c>
      <c r="L26" s="14">
        <f t="shared" si="9"/>
        <v>717.2126854815245</v>
      </c>
      <c r="M26" s="13">
        <f t="shared" si="10"/>
        <v>717.2126854815245</v>
      </c>
      <c r="N26" s="13"/>
    </row>
    <row r="27" spans="1:14" ht="12.75">
      <c r="A27" s="43"/>
      <c r="B27" s="58"/>
      <c r="C27" s="59" t="s">
        <v>4</v>
      </c>
      <c r="D27" s="15">
        <f aca="true" t="shared" si="11" ref="D27:K27">D22+D8</f>
        <v>3483745.4</v>
      </c>
      <c r="E27" s="15">
        <f t="shared" si="11"/>
        <v>3734410.5</v>
      </c>
      <c r="F27" s="15">
        <f t="shared" si="11"/>
        <v>2722393.3</v>
      </c>
      <c r="G27" s="15">
        <f t="shared" si="11"/>
        <v>1060185.4</v>
      </c>
      <c r="H27" s="15">
        <f t="shared" si="11"/>
        <v>979573.5</v>
      </c>
      <c r="I27" s="15">
        <f t="shared" si="11"/>
        <v>682634.4</v>
      </c>
      <c r="J27" s="15">
        <f t="shared" si="11"/>
        <v>1012017.2000000001</v>
      </c>
      <c r="K27" s="15">
        <f t="shared" si="11"/>
        <v>2737334.5</v>
      </c>
      <c r="L27" s="16">
        <f t="shared" si="9"/>
        <v>100.5488259172545</v>
      </c>
      <c r="M27" s="15">
        <f t="shared" si="10"/>
        <v>73.30031071838513</v>
      </c>
      <c r="N27" s="15">
        <f>K27*100/D27</f>
        <v>78.57447045355266</v>
      </c>
    </row>
    <row r="28" spans="1:14" ht="12.75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16"/>
      <c r="M28" s="15"/>
      <c r="N28" s="13"/>
    </row>
    <row r="29" spans="1:14" ht="12.75">
      <c r="A29" s="91" t="s">
        <v>25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3"/>
    </row>
    <row r="30" spans="1:14" ht="12.75">
      <c r="A30" s="47" t="s">
        <v>3</v>
      </c>
      <c r="B30" s="47"/>
      <c r="C30" s="60" t="s">
        <v>68</v>
      </c>
      <c r="D30" s="16">
        <f aca="true" t="shared" si="12" ref="D30:J30">D31+D33+D35+D37+D34+D36+D39+D32</f>
        <v>18979.500000000004</v>
      </c>
      <c r="E30" s="16">
        <f t="shared" si="12"/>
        <v>19295.300000000003</v>
      </c>
      <c r="F30" s="16">
        <f t="shared" si="12"/>
        <v>14550.4</v>
      </c>
      <c r="G30" s="16">
        <f t="shared" si="12"/>
        <v>4744.8</v>
      </c>
      <c r="H30" s="16">
        <f t="shared" si="12"/>
        <v>4744.900000000001</v>
      </c>
      <c r="I30" s="16">
        <f t="shared" si="12"/>
        <v>5060.700000000001</v>
      </c>
      <c r="J30" s="16">
        <f t="shared" si="12"/>
        <v>4744.900000000001</v>
      </c>
      <c r="K30" s="16">
        <f>K31+K33+K35+K37+K34+K36+K39+K32+K38+0.1</f>
        <v>14028.6</v>
      </c>
      <c r="L30" s="16">
        <f aca="true" t="shared" si="13" ref="L30:L37">K30*100/F30</f>
        <v>96.4138442929404</v>
      </c>
      <c r="M30" s="15">
        <f aca="true" t="shared" si="14" ref="M30:M37">K30*100/E30</f>
        <v>72.70475193440889</v>
      </c>
      <c r="N30" s="15">
        <f aca="true" t="shared" si="15" ref="N30:N37">K30*100/D30</f>
        <v>73.91448668300006</v>
      </c>
    </row>
    <row r="31" spans="1:14" ht="12.75">
      <c r="A31" s="35" t="s">
        <v>23</v>
      </c>
      <c r="B31" s="35"/>
      <c r="C31" s="36" t="s">
        <v>22</v>
      </c>
      <c r="D31" s="21">
        <v>13550</v>
      </c>
      <c r="E31" s="39">
        <f aca="true" t="shared" si="16" ref="E31:E38">G31+H31+I31+J31</f>
        <v>14300</v>
      </c>
      <c r="F31" s="21">
        <f aca="true" t="shared" si="17" ref="F31:F41">G31+H31+I31</f>
        <v>10912.5</v>
      </c>
      <c r="G31" s="21">
        <v>3387.5</v>
      </c>
      <c r="H31" s="21">
        <v>3387.5</v>
      </c>
      <c r="I31" s="12">
        <f>3387.5+750</f>
        <v>4137.5</v>
      </c>
      <c r="J31" s="13">
        <v>3387.5</v>
      </c>
      <c r="K31" s="37">
        <v>10825.5</v>
      </c>
      <c r="L31" s="14">
        <f t="shared" si="13"/>
        <v>99.20274914089347</v>
      </c>
      <c r="M31" s="13">
        <f t="shared" si="14"/>
        <v>75.7027972027972</v>
      </c>
      <c r="N31" s="13">
        <f t="shared" si="15"/>
        <v>79.8929889298893</v>
      </c>
    </row>
    <row r="32" spans="1:14" ht="12.75">
      <c r="A32" s="35" t="s">
        <v>70</v>
      </c>
      <c r="B32" s="35"/>
      <c r="C32" s="38" t="s">
        <v>71</v>
      </c>
      <c r="D32" s="39">
        <v>1549.2</v>
      </c>
      <c r="E32" s="39">
        <f t="shared" si="16"/>
        <v>1549.2</v>
      </c>
      <c r="F32" s="21">
        <f t="shared" si="17"/>
        <v>1161.9</v>
      </c>
      <c r="G32" s="21">
        <v>387.3</v>
      </c>
      <c r="H32" s="21">
        <v>387.3</v>
      </c>
      <c r="I32" s="12">
        <v>387.3</v>
      </c>
      <c r="J32" s="13">
        <v>387.3</v>
      </c>
      <c r="K32" s="37">
        <v>1267.8</v>
      </c>
      <c r="L32" s="14">
        <f t="shared" si="13"/>
        <v>109.11438161631808</v>
      </c>
      <c r="M32" s="13">
        <f t="shared" si="14"/>
        <v>81.83578621223857</v>
      </c>
      <c r="N32" s="13">
        <f t="shared" si="15"/>
        <v>81.83578621223857</v>
      </c>
    </row>
    <row r="33" spans="1:14" ht="12.75">
      <c r="A33" s="35" t="s">
        <v>9</v>
      </c>
      <c r="B33" s="35"/>
      <c r="C33" s="38" t="s">
        <v>6</v>
      </c>
      <c r="D33" s="39">
        <v>900</v>
      </c>
      <c r="E33" s="39">
        <f t="shared" si="16"/>
        <v>1000</v>
      </c>
      <c r="F33" s="21">
        <f t="shared" si="17"/>
        <v>775</v>
      </c>
      <c r="G33" s="39">
        <v>225</v>
      </c>
      <c r="H33" s="39">
        <v>225</v>
      </c>
      <c r="I33" s="12">
        <f>225+100</f>
        <v>325</v>
      </c>
      <c r="J33" s="13">
        <v>225</v>
      </c>
      <c r="K33" s="13">
        <v>530.6</v>
      </c>
      <c r="L33" s="14">
        <f t="shared" si="13"/>
        <v>68.46451612903226</v>
      </c>
      <c r="M33" s="13">
        <f t="shared" si="14"/>
        <v>53.06</v>
      </c>
      <c r="N33" s="13">
        <f t="shared" si="15"/>
        <v>58.955555555555556</v>
      </c>
    </row>
    <row r="34" spans="1:14" ht="12.75">
      <c r="A34" s="35" t="s">
        <v>10</v>
      </c>
      <c r="B34" s="35"/>
      <c r="C34" s="38" t="s">
        <v>21</v>
      </c>
      <c r="D34" s="39">
        <v>24.7</v>
      </c>
      <c r="E34" s="39">
        <f t="shared" si="16"/>
        <v>10.7</v>
      </c>
      <c r="F34" s="21">
        <f t="shared" si="17"/>
        <v>4.6000000000000005</v>
      </c>
      <c r="G34" s="39">
        <v>6.2</v>
      </c>
      <c r="H34" s="39">
        <v>6.2</v>
      </c>
      <c r="I34" s="12">
        <f>6.2-14</f>
        <v>-7.8</v>
      </c>
      <c r="J34" s="13">
        <v>6.1</v>
      </c>
      <c r="K34" s="13">
        <v>4.5</v>
      </c>
      <c r="L34" s="14">
        <f t="shared" si="13"/>
        <v>97.82608695652173</v>
      </c>
      <c r="M34" s="13">
        <f t="shared" si="14"/>
        <v>42.056074766355145</v>
      </c>
      <c r="N34" s="13">
        <f t="shared" si="15"/>
        <v>18.21862348178138</v>
      </c>
    </row>
    <row r="35" spans="1:14" ht="24">
      <c r="A35" s="40" t="s">
        <v>11</v>
      </c>
      <c r="B35" s="40"/>
      <c r="C35" s="38" t="s">
        <v>17</v>
      </c>
      <c r="D35" s="39">
        <v>2015.2</v>
      </c>
      <c r="E35" s="39">
        <f t="shared" si="16"/>
        <v>1490</v>
      </c>
      <c r="F35" s="21">
        <f t="shared" si="17"/>
        <v>986.2</v>
      </c>
      <c r="G35" s="39">
        <v>503.8</v>
      </c>
      <c r="H35" s="39">
        <v>503.8</v>
      </c>
      <c r="I35" s="12">
        <f>503.8-525.2</f>
        <v>-21.400000000000034</v>
      </c>
      <c r="J35" s="13">
        <v>503.8</v>
      </c>
      <c r="K35" s="13">
        <v>782.6</v>
      </c>
      <c r="L35" s="14">
        <f t="shared" si="13"/>
        <v>79.35510038531737</v>
      </c>
      <c r="M35" s="13">
        <f t="shared" si="14"/>
        <v>52.52348993288591</v>
      </c>
      <c r="N35" s="13">
        <f t="shared" si="15"/>
        <v>38.834855101230644</v>
      </c>
    </row>
    <row r="36" spans="1:14" ht="15" customHeight="1">
      <c r="A36" s="42" t="s">
        <v>42</v>
      </c>
      <c r="B36" s="42"/>
      <c r="C36" s="38" t="s">
        <v>43</v>
      </c>
      <c r="D36" s="39">
        <v>755.9</v>
      </c>
      <c r="E36" s="39">
        <f t="shared" si="16"/>
        <v>860.9</v>
      </c>
      <c r="F36" s="21">
        <f t="shared" si="17"/>
        <v>671.9</v>
      </c>
      <c r="G36" s="39">
        <v>188.9</v>
      </c>
      <c r="H36" s="39">
        <v>189</v>
      </c>
      <c r="I36" s="12">
        <f>189+105</f>
        <v>294</v>
      </c>
      <c r="J36" s="13">
        <v>189</v>
      </c>
      <c r="K36" s="13">
        <v>555.5</v>
      </c>
      <c r="L36" s="14">
        <f t="shared" si="13"/>
        <v>82.67599345140646</v>
      </c>
      <c r="M36" s="13">
        <f t="shared" si="14"/>
        <v>64.52549657335346</v>
      </c>
      <c r="N36" s="13">
        <f t="shared" si="15"/>
        <v>73.48855668739252</v>
      </c>
    </row>
    <row r="37" spans="1:14" ht="14.25" customHeight="1">
      <c r="A37" s="41" t="s">
        <v>18</v>
      </c>
      <c r="B37" s="41"/>
      <c r="C37" s="38" t="s">
        <v>15</v>
      </c>
      <c r="D37" s="39">
        <v>184.5</v>
      </c>
      <c r="E37" s="39">
        <f t="shared" si="16"/>
        <v>84.5</v>
      </c>
      <c r="F37" s="21">
        <f t="shared" si="17"/>
        <v>38.300000000000004</v>
      </c>
      <c r="G37" s="39">
        <v>46.1</v>
      </c>
      <c r="H37" s="39">
        <v>46.1</v>
      </c>
      <c r="I37" s="12">
        <f>46.1-100</f>
        <v>-53.9</v>
      </c>
      <c r="J37" s="13">
        <v>46.2</v>
      </c>
      <c r="K37" s="13">
        <v>62</v>
      </c>
      <c r="L37" s="14">
        <f t="shared" si="13"/>
        <v>161.87989556135767</v>
      </c>
      <c r="M37" s="13">
        <f t="shared" si="14"/>
        <v>73.37278106508876</v>
      </c>
      <c r="N37" s="13">
        <f t="shared" si="15"/>
        <v>33.60433604336043</v>
      </c>
    </row>
    <row r="38" spans="1:14" ht="14.25" customHeight="1" hidden="1">
      <c r="A38" s="43" t="s">
        <v>12</v>
      </c>
      <c r="B38" s="61"/>
      <c r="C38" s="38" t="s">
        <v>7</v>
      </c>
      <c r="D38" s="62"/>
      <c r="E38" s="39">
        <f t="shared" si="16"/>
        <v>0</v>
      </c>
      <c r="F38" s="21">
        <f t="shared" si="17"/>
        <v>0</v>
      </c>
      <c r="G38" s="39"/>
      <c r="H38" s="39"/>
      <c r="I38" s="12"/>
      <c r="J38" s="13"/>
      <c r="K38" s="13"/>
      <c r="L38" s="14"/>
      <c r="M38" s="13"/>
      <c r="N38" s="13"/>
    </row>
    <row r="39" spans="1:14" ht="15.75" customHeight="1">
      <c r="A39" s="44" t="s">
        <v>39</v>
      </c>
      <c r="B39" s="45"/>
      <c r="C39" s="46" t="s">
        <v>40</v>
      </c>
      <c r="D39" s="62"/>
      <c r="E39" s="38"/>
      <c r="F39" s="21">
        <f t="shared" si="17"/>
        <v>0</v>
      </c>
      <c r="G39" s="39"/>
      <c r="H39" s="39"/>
      <c r="I39" s="12"/>
      <c r="J39" s="13"/>
      <c r="K39" s="13"/>
      <c r="L39" s="16"/>
      <c r="M39" s="15"/>
      <c r="N39" s="13"/>
    </row>
    <row r="40" spans="1:14" ht="12.75">
      <c r="A40" s="47" t="s">
        <v>1</v>
      </c>
      <c r="B40" s="47"/>
      <c r="C40" s="48" t="s">
        <v>0</v>
      </c>
      <c r="D40" s="17">
        <f>D41+D42</f>
        <v>11863.2</v>
      </c>
      <c r="E40" s="17">
        <f>E41+E42</f>
        <v>16345.7</v>
      </c>
      <c r="F40" s="17">
        <f aca="true" t="shared" si="18" ref="F40:K40">F41+F42</f>
        <v>13379.900000000001</v>
      </c>
      <c r="G40" s="17">
        <f t="shared" si="18"/>
        <v>5375</v>
      </c>
      <c r="H40" s="17">
        <f t="shared" si="18"/>
        <v>3824.7</v>
      </c>
      <c r="I40" s="17">
        <f t="shared" si="18"/>
        <v>4180.2</v>
      </c>
      <c r="J40" s="17">
        <f t="shared" si="18"/>
        <v>2965.8</v>
      </c>
      <c r="K40" s="17">
        <f t="shared" si="18"/>
        <v>10063.1</v>
      </c>
      <c r="L40" s="16">
        <f>K40*100/F40</f>
        <v>75.21057705961927</v>
      </c>
      <c r="M40" s="15">
        <f>K40*100/E40</f>
        <v>61.56420342964816</v>
      </c>
      <c r="N40" s="15">
        <f>K40*100/D40</f>
        <v>84.82618517769235</v>
      </c>
    </row>
    <row r="41" spans="1:14" ht="24">
      <c r="A41" s="49" t="s">
        <v>67</v>
      </c>
      <c r="B41" s="35"/>
      <c r="C41" s="50" t="s">
        <v>20</v>
      </c>
      <c r="D41" s="51">
        <v>11863.2</v>
      </c>
      <c r="E41" s="39">
        <f>G41+H41+I41+J41</f>
        <v>16345.7</v>
      </c>
      <c r="F41" s="21">
        <f t="shared" si="17"/>
        <v>13379.900000000001</v>
      </c>
      <c r="G41" s="51">
        <v>5375</v>
      </c>
      <c r="H41" s="51">
        <v>3824.7</v>
      </c>
      <c r="I41" s="12">
        <v>4180.2</v>
      </c>
      <c r="J41" s="51">
        <v>2965.8</v>
      </c>
      <c r="K41" s="13">
        <v>10063.1</v>
      </c>
      <c r="L41" s="14">
        <f>K41*100/F41</f>
        <v>75.21057705961927</v>
      </c>
      <c r="M41" s="13">
        <f>K41*100/E41</f>
        <v>61.56420342964816</v>
      </c>
      <c r="N41" s="13">
        <f>K41*100/D41</f>
        <v>84.82618517769235</v>
      </c>
    </row>
    <row r="42" spans="1:14" ht="40.5" customHeight="1" hidden="1">
      <c r="A42" s="49" t="s">
        <v>66</v>
      </c>
      <c r="B42" s="55"/>
      <c r="C42" s="56" t="s">
        <v>63</v>
      </c>
      <c r="D42" s="57">
        <v>0</v>
      </c>
      <c r="E42" s="39">
        <f>G42+H42+I42+J42</f>
        <v>0</v>
      </c>
      <c r="F42" s="21">
        <f>G42</f>
        <v>0</v>
      </c>
      <c r="G42" s="51"/>
      <c r="H42" s="51"/>
      <c r="I42" s="12"/>
      <c r="J42" s="51"/>
      <c r="K42" s="13"/>
      <c r="L42" s="14" t="e">
        <f>K42*100/F42</f>
        <v>#DIV/0!</v>
      </c>
      <c r="M42" s="13" t="e">
        <f>K42*100/E42</f>
        <v>#DIV/0!</v>
      </c>
      <c r="N42" s="13"/>
    </row>
    <row r="43" spans="1:14" ht="12.75">
      <c r="A43" s="43"/>
      <c r="B43" s="58"/>
      <c r="C43" s="59" t="s">
        <v>4</v>
      </c>
      <c r="D43" s="15">
        <f aca="true" t="shared" si="19" ref="D43:J43">D40+D30</f>
        <v>30842.700000000004</v>
      </c>
      <c r="E43" s="15">
        <f>E40+E30</f>
        <v>35641</v>
      </c>
      <c r="F43" s="15">
        <f t="shared" si="19"/>
        <v>27930.300000000003</v>
      </c>
      <c r="G43" s="15">
        <f t="shared" si="19"/>
        <v>10119.8</v>
      </c>
      <c r="H43" s="15">
        <f t="shared" si="19"/>
        <v>8569.6</v>
      </c>
      <c r="I43" s="15">
        <f t="shared" si="19"/>
        <v>9240.900000000001</v>
      </c>
      <c r="J43" s="15">
        <f t="shared" si="19"/>
        <v>7710.700000000001</v>
      </c>
      <c r="K43" s="15">
        <f>K40+K30</f>
        <v>24091.7</v>
      </c>
      <c r="L43" s="16">
        <f>K43*100/F43</f>
        <v>86.2565027944562</v>
      </c>
      <c r="M43" s="15">
        <f>K43*100/E43</f>
        <v>67.59546589601862</v>
      </c>
      <c r="N43" s="15">
        <f>K43*100/D43</f>
        <v>78.11151423189278</v>
      </c>
    </row>
    <row r="44" spans="1:14" ht="12.75">
      <c r="A44" s="30"/>
      <c r="B44" s="31"/>
      <c r="C44" s="90"/>
      <c r="D44" s="90"/>
      <c r="E44" s="90"/>
      <c r="F44" s="90"/>
      <c r="G44" s="90"/>
      <c r="H44" s="90"/>
      <c r="I44" s="90"/>
      <c r="J44" s="90"/>
      <c r="K44" s="90"/>
      <c r="L44" s="16"/>
      <c r="M44" s="15"/>
      <c r="N44" s="13"/>
    </row>
    <row r="45" spans="1:14" ht="12.75">
      <c r="A45" s="91" t="s">
        <v>26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3"/>
    </row>
    <row r="46" spans="1:14" ht="12.75">
      <c r="A46" s="47" t="s">
        <v>3</v>
      </c>
      <c r="B46" s="47"/>
      <c r="C46" s="60" t="s">
        <v>68</v>
      </c>
      <c r="D46" s="16">
        <f>D47+D50+D52+D54+D55+D56+D51+D49+D48+D53</f>
        <v>19673.7</v>
      </c>
      <c r="E46" s="16">
        <f>E47+E50+E52+E54+E55+E56+E51+E49+E48+E53</f>
        <v>21473.3</v>
      </c>
      <c r="F46" s="16">
        <f aca="true" t="shared" si="20" ref="F46:K46">F47+F50+F52+F54+F55+F56+F51+F49+F48+F53</f>
        <v>15253.1</v>
      </c>
      <c r="G46" s="16">
        <f t="shared" si="20"/>
        <v>4486.2</v>
      </c>
      <c r="H46" s="16">
        <f t="shared" si="20"/>
        <v>4562</v>
      </c>
      <c r="I46" s="16">
        <f t="shared" si="20"/>
        <v>6204.9</v>
      </c>
      <c r="J46" s="16">
        <f t="shared" si="20"/>
        <v>6220.2</v>
      </c>
      <c r="K46" s="16">
        <f t="shared" si="20"/>
        <v>16374.099999999997</v>
      </c>
      <c r="L46" s="16">
        <f aca="true" t="shared" si="21" ref="L46:L53">K46*100/F46</f>
        <v>107.3493257108391</v>
      </c>
      <c r="M46" s="15">
        <f aca="true" t="shared" si="22" ref="M46:M52">K46*100/E46</f>
        <v>76.25330061052563</v>
      </c>
      <c r="N46" s="15">
        <f aca="true" t="shared" si="23" ref="N46:N52">K46*100/D46</f>
        <v>83.22837087075638</v>
      </c>
    </row>
    <row r="47" spans="1:14" ht="12.75">
      <c r="A47" s="43" t="s">
        <v>23</v>
      </c>
      <c r="B47" s="35"/>
      <c r="C47" s="36" t="s">
        <v>22</v>
      </c>
      <c r="D47" s="21">
        <v>12400</v>
      </c>
      <c r="E47" s="39">
        <f aca="true" t="shared" si="24" ref="E47:E60">G47+H47+I47+J47</f>
        <v>13599.9</v>
      </c>
      <c r="F47" s="21">
        <f aca="true" t="shared" si="25" ref="F47:F58">G47+H47+I47</f>
        <v>10067.9</v>
      </c>
      <c r="G47" s="39">
        <v>2818.5</v>
      </c>
      <c r="H47" s="39">
        <v>3024.7</v>
      </c>
      <c r="I47" s="12">
        <v>4224.7</v>
      </c>
      <c r="J47" s="13">
        <v>3532</v>
      </c>
      <c r="K47" s="37">
        <v>10735</v>
      </c>
      <c r="L47" s="14">
        <f t="shared" si="21"/>
        <v>106.6260093961998</v>
      </c>
      <c r="M47" s="13">
        <f t="shared" si="22"/>
        <v>78.93440392944066</v>
      </c>
      <c r="N47" s="13">
        <f t="shared" si="23"/>
        <v>86.5725806451613</v>
      </c>
    </row>
    <row r="48" spans="1:14" ht="12.75">
      <c r="A48" s="35" t="s">
        <v>70</v>
      </c>
      <c r="B48" s="35"/>
      <c r="C48" s="38" t="s">
        <v>71</v>
      </c>
      <c r="D48" s="39">
        <v>3758.4</v>
      </c>
      <c r="E48" s="39">
        <f t="shared" si="24"/>
        <v>3758.4</v>
      </c>
      <c r="F48" s="21">
        <f t="shared" si="25"/>
        <v>2818.5</v>
      </c>
      <c r="G48" s="39">
        <v>939.1</v>
      </c>
      <c r="H48" s="39">
        <v>939.7</v>
      </c>
      <c r="I48" s="12">
        <v>939.7</v>
      </c>
      <c r="J48" s="13">
        <v>939.9</v>
      </c>
      <c r="K48" s="37">
        <v>3075.7</v>
      </c>
      <c r="L48" s="14">
        <f t="shared" si="21"/>
        <v>109.12542132339897</v>
      </c>
      <c r="M48" s="13">
        <f t="shared" si="22"/>
        <v>81.83535547041294</v>
      </c>
      <c r="N48" s="13">
        <f t="shared" si="23"/>
        <v>81.83535547041294</v>
      </c>
    </row>
    <row r="49" spans="1:14" ht="12.75">
      <c r="A49" s="35" t="s">
        <v>8</v>
      </c>
      <c r="B49" s="35"/>
      <c r="C49" s="38" t="s">
        <v>5</v>
      </c>
      <c r="D49" s="39">
        <v>11</v>
      </c>
      <c r="E49" s="39">
        <f t="shared" si="24"/>
        <v>30</v>
      </c>
      <c r="F49" s="21">
        <f t="shared" si="25"/>
        <v>30</v>
      </c>
      <c r="G49" s="39">
        <v>30</v>
      </c>
      <c r="H49" s="39"/>
      <c r="I49" s="12"/>
      <c r="J49" s="13"/>
      <c r="K49" s="37">
        <v>29.3</v>
      </c>
      <c r="L49" s="14">
        <f t="shared" si="21"/>
        <v>97.66666666666667</v>
      </c>
      <c r="M49" s="13">
        <f t="shared" si="22"/>
        <v>97.66666666666667</v>
      </c>
      <c r="N49" s="13">
        <f t="shared" si="23"/>
        <v>266.3636363636364</v>
      </c>
    </row>
    <row r="50" spans="1:14" ht="14.25" customHeight="1">
      <c r="A50" s="35" t="s">
        <v>9</v>
      </c>
      <c r="B50" s="35"/>
      <c r="C50" s="38" t="s">
        <v>6</v>
      </c>
      <c r="D50" s="39">
        <v>2372.7</v>
      </c>
      <c r="E50" s="39">
        <f t="shared" si="24"/>
        <v>2621</v>
      </c>
      <c r="F50" s="21">
        <f t="shared" si="25"/>
        <v>1177</v>
      </c>
      <c r="G50" s="39">
        <v>376</v>
      </c>
      <c r="H50" s="39">
        <v>297.7</v>
      </c>
      <c r="I50" s="12">
        <v>503.3</v>
      </c>
      <c r="J50" s="13">
        <v>1444</v>
      </c>
      <c r="K50" s="13">
        <v>1619.4</v>
      </c>
      <c r="L50" s="14">
        <f t="shared" si="21"/>
        <v>137.58708581138487</v>
      </c>
      <c r="M50" s="13">
        <f t="shared" si="22"/>
        <v>61.78557802365509</v>
      </c>
      <c r="N50" s="13">
        <f t="shared" si="23"/>
        <v>68.25135921102542</v>
      </c>
    </row>
    <row r="51" spans="1:14" ht="18" customHeight="1" hidden="1">
      <c r="A51" s="35" t="s">
        <v>10</v>
      </c>
      <c r="B51" s="35"/>
      <c r="C51" s="38" t="s">
        <v>21</v>
      </c>
      <c r="D51" s="39"/>
      <c r="E51" s="39">
        <f t="shared" si="24"/>
        <v>0</v>
      </c>
      <c r="F51" s="21">
        <f t="shared" si="25"/>
        <v>0</v>
      </c>
      <c r="G51" s="39"/>
      <c r="H51" s="39"/>
      <c r="I51" s="12"/>
      <c r="J51" s="13"/>
      <c r="K51" s="13"/>
      <c r="L51" s="14" t="e">
        <f t="shared" si="21"/>
        <v>#DIV/0!</v>
      </c>
      <c r="M51" s="13" t="e">
        <f t="shared" si="22"/>
        <v>#DIV/0!</v>
      </c>
      <c r="N51" s="13" t="e">
        <f t="shared" si="23"/>
        <v>#DIV/0!</v>
      </c>
    </row>
    <row r="52" spans="1:14" ht="24">
      <c r="A52" s="40" t="s">
        <v>11</v>
      </c>
      <c r="B52" s="40"/>
      <c r="C52" s="38" t="s">
        <v>17</v>
      </c>
      <c r="D52" s="39">
        <v>979</v>
      </c>
      <c r="E52" s="39">
        <f t="shared" si="24"/>
        <v>1186.4</v>
      </c>
      <c r="F52" s="21">
        <f t="shared" si="25"/>
        <v>929.7</v>
      </c>
      <c r="G52" s="39">
        <v>212.6</v>
      </c>
      <c r="H52" s="39">
        <v>254.9</v>
      </c>
      <c r="I52" s="12">
        <v>462.2</v>
      </c>
      <c r="J52" s="13">
        <v>256.7</v>
      </c>
      <c r="K52" s="13">
        <v>611.8</v>
      </c>
      <c r="L52" s="14">
        <f t="shared" si="21"/>
        <v>65.80617403463482</v>
      </c>
      <c r="M52" s="13">
        <f t="shared" si="22"/>
        <v>51.56776803776128</v>
      </c>
      <c r="N52" s="13">
        <f t="shared" si="23"/>
        <v>62.4923391215526</v>
      </c>
    </row>
    <row r="53" spans="1:14" ht="22.5" customHeight="1">
      <c r="A53" s="42" t="s">
        <v>42</v>
      </c>
      <c r="B53" s="42"/>
      <c r="C53" s="38" t="s">
        <v>43</v>
      </c>
      <c r="D53" s="39"/>
      <c r="E53" s="39">
        <f t="shared" si="24"/>
        <v>91.9</v>
      </c>
      <c r="F53" s="21">
        <f t="shared" si="25"/>
        <v>91.9</v>
      </c>
      <c r="G53" s="39">
        <v>91.9</v>
      </c>
      <c r="H53" s="39"/>
      <c r="I53" s="12"/>
      <c r="J53" s="13"/>
      <c r="K53" s="13">
        <v>91.9</v>
      </c>
      <c r="L53" s="14">
        <f t="shared" si="21"/>
        <v>100</v>
      </c>
      <c r="M53" s="13">
        <f aca="true" t="shared" si="26" ref="M53:M59">K53*100/E53</f>
        <v>100</v>
      </c>
      <c r="N53" s="13"/>
    </row>
    <row r="54" spans="1:14" ht="24">
      <c r="A54" s="42" t="s">
        <v>18</v>
      </c>
      <c r="B54" s="42"/>
      <c r="C54" s="38" t="s">
        <v>15</v>
      </c>
      <c r="D54" s="39">
        <v>150</v>
      </c>
      <c r="E54" s="39">
        <f t="shared" si="24"/>
        <v>153.1</v>
      </c>
      <c r="F54" s="21">
        <f t="shared" si="25"/>
        <v>108.1</v>
      </c>
      <c r="G54" s="39">
        <v>18.1</v>
      </c>
      <c r="H54" s="39">
        <v>45</v>
      </c>
      <c r="I54" s="12">
        <v>45</v>
      </c>
      <c r="J54" s="13">
        <v>45</v>
      </c>
      <c r="K54" s="13">
        <v>175.3</v>
      </c>
      <c r="L54" s="14">
        <f>K54*100/F54</f>
        <v>162.16466234967623</v>
      </c>
      <c r="M54" s="13">
        <f t="shared" si="26"/>
        <v>114.50032658393208</v>
      </c>
      <c r="N54" s="13">
        <f>K54*100/D54</f>
        <v>116.86666666666666</v>
      </c>
    </row>
    <row r="55" spans="1:14" ht="16.5" customHeight="1">
      <c r="A55" s="43" t="s">
        <v>12</v>
      </c>
      <c r="B55" s="43"/>
      <c r="C55" s="38" t="s">
        <v>7</v>
      </c>
      <c r="D55" s="39">
        <v>2.6</v>
      </c>
      <c r="E55" s="39">
        <f t="shared" si="24"/>
        <v>32.6</v>
      </c>
      <c r="F55" s="21">
        <f t="shared" si="25"/>
        <v>30</v>
      </c>
      <c r="G55" s="39"/>
      <c r="H55" s="39"/>
      <c r="I55" s="12">
        <v>30</v>
      </c>
      <c r="J55" s="13">
        <v>2.6</v>
      </c>
      <c r="K55" s="13">
        <v>35.7</v>
      </c>
      <c r="L55" s="14">
        <f>K55*100/F55</f>
        <v>119.00000000000001</v>
      </c>
      <c r="M55" s="13">
        <f t="shared" si="26"/>
        <v>109.50920245398774</v>
      </c>
      <c r="N55" s="13">
        <f>K55*100/D55</f>
        <v>1373.076923076923</v>
      </c>
    </row>
    <row r="56" spans="1:14" ht="14.25" customHeight="1">
      <c r="A56" s="63" t="s">
        <v>39</v>
      </c>
      <c r="B56" s="45"/>
      <c r="C56" s="46" t="s">
        <v>40</v>
      </c>
      <c r="D56" s="39"/>
      <c r="E56" s="39">
        <f t="shared" si="24"/>
        <v>0</v>
      </c>
      <c r="F56" s="21">
        <f t="shared" si="25"/>
        <v>0</v>
      </c>
      <c r="G56" s="39"/>
      <c r="H56" s="39"/>
      <c r="I56" s="12"/>
      <c r="J56" s="13"/>
      <c r="K56" s="13"/>
      <c r="L56" s="14"/>
      <c r="M56" s="13"/>
      <c r="N56" s="13"/>
    </row>
    <row r="57" spans="1:14" ht="12.75">
      <c r="A57" s="32" t="s">
        <v>1</v>
      </c>
      <c r="B57" s="32"/>
      <c r="C57" s="48" t="s">
        <v>0</v>
      </c>
      <c r="D57" s="17">
        <f>D58+D60+D59</f>
        <v>11753.4</v>
      </c>
      <c r="E57" s="17">
        <f>E58+E60+E59</f>
        <v>13361.2</v>
      </c>
      <c r="F57" s="17">
        <f aca="true" t="shared" si="27" ref="F57:K57">F58+F60+F59</f>
        <v>10411</v>
      </c>
      <c r="G57" s="17">
        <f t="shared" si="27"/>
        <v>2908.9</v>
      </c>
      <c r="H57" s="17">
        <f t="shared" si="27"/>
        <v>3009</v>
      </c>
      <c r="I57" s="17">
        <f t="shared" si="27"/>
        <v>4493.1</v>
      </c>
      <c r="J57" s="17">
        <f t="shared" si="27"/>
        <v>2950.2</v>
      </c>
      <c r="K57" s="17">
        <f t="shared" si="27"/>
        <v>5406.9</v>
      </c>
      <c r="L57" s="16">
        <f>K57*100/F57</f>
        <v>51.93449236384593</v>
      </c>
      <c r="M57" s="15">
        <f t="shared" si="26"/>
        <v>40.46717360716103</v>
      </c>
      <c r="N57" s="15">
        <f>K57*100/D57</f>
        <v>46.00285874725611</v>
      </c>
    </row>
    <row r="58" spans="1:14" ht="24">
      <c r="A58" s="49" t="s">
        <v>67</v>
      </c>
      <c r="B58" s="35"/>
      <c r="C58" s="50" t="s">
        <v>20</v>
      </c>
      <c r="D58" s="51">
        <v>11753.4</v>
      </c>
      <c r="E58" s="39">
        <f t="shared" si="24"/>
        <v>13361.2</v>
      </c>
      <c r="F58" s="21">
        <f t="shared" si="25"/>
        <v>10411</v>
      </c>
      <c r="G58" s="51">
        <v>2908.9</v>
      </c>
      <c r="H58" s="51">
        <v>3009</v>
      </c>
      <c r="I58" s="12">
        <v>4493.1</v>
      </c>
      <c r="J58" s="12">
        <v>2950.2</v>
      </c>
      <c r="K58" s="13">
        <v>5406.9</v>
      </c>
      <c r="L58" s="14">
        <f>K58*100/F58</f>
        <v>51.93449236384593</v>
      </c>
      <c r="M58" s="13">
        <f t="shared" si="26"/>
        <v>40.46717360716103</v>
      </c>
      <c r="N58" s="13">
        <f>K58*100/D58</f>
        <v>46.00285874725611</v>
      </c>
    </row>
    <row r="59" spans="1:14" ht="12.75" hidden="1">
      <c r="A59" s="49" t="s">
        <v>2</v>
      </c>
      <c r="B59" s="49"/>
      <c r="C59" s="52" t="s">
        <v>19</v>
      </c>
      <c r="D59" s="52"/>
      <c r="E59" s="39">
        <f>G59+H59+I59+J59</f>
        <v>0</v>
      </c>
      <c r="F59" s="39">
        <f>G59</f>
        <v>0</v>
      </c>
      <c r="G59" s="51"/>
      <c r="H59" s="51"/>
      <c r="I59" s="85"/>
      <c r="J59" s="64"/>
      <c r="K59" s="13"/>
      <c r="L59" s="14" t="e">
        <f>K59*100/F59</f>
        <v>#DIV/0!</v>
      </c>
      <c r="M59" s="13" t="e">
        <f t="shared" si="26"/>
        <v>#DIV/0!</v>
      </c>
      <c r="N59" s="13" t="e">
        <f>K59*100/D59</f>
        <v>#DIV/0!</v>
      </c>
    </row>
    <row r="60" spans="1:14" ht="36" hidden="1">
      <c r="A60" s="49" t="s">
        <v>66</v>
      </c>
      <c r="B60" s="55"/>
      <c r="C60" s="56" t="s">
        <v>63</v>
      </c>
      <c r="D60" s="56"/>
      <c r="E60" s="39">
        <f t="shared" si="24"/>
        <v>0</v>
      </c>
      <c r="F60" s="39">
        <f>G60</f>
        <v>0</v>
      </c>
      <c r="G60" s="65"/>
      <c r="H60" s="65"/>
      <c r="I60" s="85"/>
      <c r="J60" s="64"/>
      <c r="K60" s="13"/>
      <c r="L60" s="14"/>
      <c r="M60" s="13"/>
      <c r="N60" s="13" t="e">
        <f>K60*100/D60</f>
        <v>#DIV/0!</v>
      </c>
    </row>
    <row r="61" spans="1:14" ht="12.75">
      <c r="A61" s="40"/>
      <c r="B61" s="66"/>
      <c r="C61" s="67" t="s">
        <v>4</v>
      </c>
      <c r="D61" s="68">
        <f aca="true" t="shared" si="28" ref="D61:J61">D57+D46</f>
        <v>31427.1</v>
      </c>
      <c r="E61" s="68">
        <f t="shared" si="28"/>
        <v>34834.5</v>
      </c>
      <c r="F61" s="68">
        <f t="shared" si="28"/>
        <v>25664.1</v>
      </c>
      <c r="G61" s="68">
        <f t="shared" si="28"/>
        <v>7395.1</v>
      </c>
      <c r="H61" s="68">
        <f t="shared" si="28"/>
        <v>7571</v>
      </c>
      <c r="I61" s="68">
        <f t="shared" si="28"/>
        <v>10698</v>
      </c>
      <c r="J61" s="68">
        <f t="shared" si="28"/>
        <v>9170.4</v>
      </c>
      <c r="K61" s="68">
        <f>K57+K46-0.1</f>
        <v>21780.899999999998</v>
      </c>
      <c r="L61" s="16">
        <f>K61*100/F61</f>
        <v>84.86913626427578</v>
      </c>
      <c r="M61" s="15">
        <f>K61*100/E61</f>
        <v>62.52680532230978</v>
      </c>
      <c r="N61" s="15">
        <f>K61*100/D61</f>
        <v>69.30610842234887</v>
      </c>
    </row>
    <row r="62" spans="1:14" ht="12.75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16"/>
      <c r="M62" s="15"/>
      <c r="N62" s="13"/>
    </row>
    <row r="63" spans="1:14" ht="12.75">
      <c r="A63" s="91" t="s">
        <v>27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3"/>
    </row>
    <row r="64" spans="1:14" ht="12.75">
      <c r="A64" s="32" t="s">
        <v>3</v>
      </c>
      <c r="B64" s="32"/>
      <c r="C64" s="33" t="s">
        <v>68</v>
      </c>
      <c r="D64" s="34">
        <f aca="true" t="shared" si="29" ref="D64:K64">D65+D68+D70+D72+D69+D74+D73+D67+D71+D66</f>
        <v>37383</v>
      </c>
      <c r="E64" s="34">
        <f t="shared" si="29"/>
        <v>43673.7</v>
      </c>
      <c r="F64" s="34">
        <f t="shared" si="29"/>
        <v>31058.9</v>
      </c>
      <c r="G64" s="34">
        <f t="shared" si="29"/>
        <v>8654.6</v>
      </c>
      <c r="H64" s="34">
        <f t="shared" si="29"/>
        <v>9880.300000000001</v>
      </c>
      <c r="I64" s="34">
        <f t="shared" si="29"/>
        <v>12523.999999999998</v>
      </c>
      <c r="J64" s="34">
        <f t="shared" si="29"/>
        <v>12614.8</v>
      </c>
      <c r="K64" s="34">
        <f t="shared" si="29"/>
        <v>32575.8</v>
      </c>
      <c r="L64" s="16">
        <f aca="true" t="shared" si="30" ref="L64:L70">K64*100/F64</f>
        <v>104.88394630846553</v>
      </c>
      <c r="M64" s="15">
        <f aca="true" t="shared" si="31" ref="M64:M70">K64*100/E64</f>
        <v>74.58905474003807</v>
      </c>
      <c r="N64" s="15">
        <f aca="true" t="shared" si="32" ref="N64:N70">K64*100/D64</f>
        <v>87.14067891822486</v>
      </c>
    </row>
    <row r="65" spans="1:14" ht="12.75">
      <c r="A65" s="35" t="s">
        <v>23</v>
      </c>
      <c r="B65" s="35"/>
      <c r="C65" s="36" t="s">
        <v>22</v>
      </c>
      <c r="D65" s="21">
        <v>17800</v>
      </c>
      <c r="E65" s="39">
        <f>G65+H65+I65+J65</f>
        <v>19610.2</v>
      </c>
      <c r="F65" s="21">
        <f aca="true" t="shared" si="33" ref="F65:F77">G65+H65+I65</f>
        <v>14597.7</v>
      </c>
      <c r="G65" s="69">
        <v>4432.5</v>
      </c>
      <c r="H65" s="69">
        <v>5412.5</v>
      </c>
      <c r="I65" s="14">
        <v>4752.7</v>
      </c>
      <c r="J65" s="14">
        <v>5012.5</v>
      </c>
      <c r="K65" s="14">
        <v>15396.5</v>
      </c>
      <c r="L65" s="14">
        <f t="shared" si="30"/>
        <v>105.47209491906258</v>
      </c>
      <c r="M65" s="13">
        <f t="shared" si="31"/>
        <v>78.51271277192481</v>
      </c>
      <c r="N65" s="13">
        <f t="shared" si="32"/>
        <v>86.49719101123596</v>
      </c>
    </row>
    <row r="66" spans="1:14" ht="12.75">
      <c r="A66" s="35" t="s">
        <v>70</v>
      </c>
      <c r="B66" s="35"/>
      <c r="C66" s="38" t="s">
        <v>71</v>
      </c>
      <c r="D66" s="39">
        <v>6459.7</v>
      </c>
      <c r="E66" s="39">
        <f>G66+H66+I66+J66</f>
        <v>6459.700000000001</v>
      </c>
      <c r="F66" s="21">
        <f t="shared" si="33"/>
        <v>4811.3</v>
      </c>
      <c r="G66" s="69">
        <v>1585.8</v>
      </c>
      <c r="H66" s="69">
        <v>1615.7</v>
      </c>
      <c r="I66" s="14">
        <v>1609.8</v>
      </c>
      <c r="J66" s="14">
        <v>1648.4</v>
      </c>
      <c r="K66" s="14">
        <v>5286.3</v>
      </c>
      <c r="L66" s="14">
        <f t="shared" si="30"/>
        <v>109.8725916072579</v>
      </c>
      <c r="M66" s="13">
        <f t="shared" si="31"/>
        <v>81.8350697400808</v>
      </c>
      <c r="N66" s="13">
        <f t="shared" si="32"/>
        <v>81.83506974008081</v>
      </c>
    </row>
    <row r="67" spans="1:14" ht="12.75">
      <c r="A67" s="35" t="s">
        <v>8</v>
      </c>
      <c r="B67" s="35"/>
      <c r="C67" s="38" t="s">
        <v>5</v>
      </c>
      <c r="D67" s="39">
        <v>50</v>
      </c>
      <c r="E67" s="39">
        <f aca="true" t="shared" si="34" ref="E67:E77">G67+H67+I67+J67</f>
        <v>170</v>
      </c>
      <c r="F67" s="21">
        <f t="shared" si="33"/>
        <v>157.5</v>
      </c>
      <c r="G67" s="51">
        <v>12.5</v>
      </c>
      <c r="H67" s="51">
        <v>12.5</v>
      </c>
      <c r="I67" s="12">
        <v>132.5</v>
      </c>
      <c r="J67" s="12">
        <v>12.5</v>
      </c>
      <c r="K67" s="12">
        <v>116.5</v>
      </c>
      <c r="L67" s="14">
        <f t="shared" si="30"/>
        <v>73.96825396825396</v>
      </c>
      <c r="M67" s="13">
        <f t="shared" si="31"/>
        <v>68.52941176470588</v>
      </c>
      <c r="N67" s="13">
        <f t="shared" si="32"/>
        <v>233</v>
      </c>
    </row>
    <row r="68" spans="1:14" ht="12.75">
      <c r="A68" s="35" t="s">
        <v>9</v>
      </c>
      <c r="B68" s="35"/>
      <c r="C68" s="38" t="s">
        <v>6</v>
      </c>
      <c r="D68" s="39">
        <v>7550</v>
      </c>
      <c r="E68" s="39">
        <f t="shared" si="34"/>
        <v>9350</v>
      </c>
      <c r="F68" s="21">
        <f t="shared" si="33"/>
        <v>4790</v>
      </c>
      <c r="G68" s="51">
        <v>1240</v>
      </c>
      <c r="H68" s="51">
        <v>860</v>
      </c>
      <c r="I68" s="12">
        <v>2690</v>
      </c>
      <c r="J68" s="12">
        <v>4560</v>
      </c>
      <c r="K68" s="12">
        <v>4746.8</v>
      </c>
      <c r="L68" s="14">
        <f t="shared" si="30"/>
        <v>99.09812108559498</v>
      </c>
      <c r="M68" s="13">
        <f t="shared" si="31"/>
        <v>50.76791443850267</v>
      </c>
      <c r="N68" s="13">
        <f t="shared" si="32"/>
        <v>62.87152317880795</v>
      </c>
    </row>
    <row r="69" spans="1:14" ht="18.75" customHeight="1">
      <c r="A69" s="35" t="s">
        <v>10</v>
      </c>
      <c r="B69" s="35"/>
      <c r="C69" s="38" t="s">
        <v>21</v>
      </c>
      <c r="D69" s="39">
        <v>46.1</v>
      </c>
      <c r="E69" s="39">
        <f t="shared" si="34"/>
        <v>60</v>
      </c>
      <c r="F69" s="21">
        <f t="shared" si="33"/>
        <v>48.5</v>
      </c>
      <c r="G69" s="51">
        <v>11.5</v>
      </c>
      <c r="H69" s="51">
        <v>11.6</v>
      </c>
      <c r="I69" s="12">
        <v>25.4</v>
      </c>
      <c r="J69" s="12">
        <v>11.5</v>
      </c>
      <c r="K69" s="12">
        <v>52.8</v>
      </c>
      <c r="L69" s="14">
        <f t="shared" si="30"/>
        <v>108.8659793814433</v>
      </c>
      <c r="M69" s="13">
        <f t="shared" si="31"/>
        <v>88</v>
      </c>
      <c r="N69" s="13">
        <f t="shared" si="32"/>
        <v>114.53362255965293</v>
      </c>
    </row>
    <row r="70" spans="1:14" ht="23.25" customHeight="1">
      <c r="A70" s="40" t="s">
        <v>11</v>
      </c>
      <c r="B70" s="40"/>
      <c r="C70" s="38" t="s">
        <v>17</v>
      </c>
      <c r="D70" s="39">
        <v>5302.2</v>
      </c>
      <c r="E70" s="39">
        <f t="shared" si="34"/>
        <v>7493.9</v>
      </c>
      <c r="F70" s="21">
        <f t="shared" si="33"/>
        <v>6168</v>
      </c>
      <c r="G70" s="51">
        <v>1328.3</v>
      </c>
      <c r="H70" s="51">
        <v>1739</v>
      </c>
      <c r="I70" s="12">
        <v>3100.7</v>
      </c>
      <c r="J70" s="12">
        <v>1325.9</v>
      </c>
      <c r="K70" s="12">
        <v>6462.3</v>
      </c>
      <c r="L70" s="14">
        <f t="shared" si="30"/>
        <v>104.77140077821012</v>
      </c>
      <c r="M70" s="13">
        <f t="shared" si="31"/>
        <v>86.23413709817318</v>
      </c>
      <c r="N70" s="13">
        <f t="shared" si="32"/>
        <v>121.87959714835351</v>
      </c>
    </row>
    <row r="71" spans="1:14" ht="14.25" customHeight="1" hidden="1">
      <c r="A71" s="42" t="s">
        <v>42</v>
      </c>
      <c r="B71" s="42"/>
      <c r="C71" s="38" t="s">
        <v>43</v>
      </c>
      <c r="D71" s="39"/>
      <c r="E71" s="39">
        <f t="shared" si="34"/>
        <v>0</v>
      </c>
      <c r="F71" s="21">
        <f t="shared" si="33"/>
        <v>0</v>
      </c>
      <c r="G71" s="51"/>
      <c r="H71" s="51"/>
      <c r="I71" s="12"/>
      <c r="J71" s="12"/>
      <c r="K71" s="12"/>
      <c r="L71" s="14"/>
      <c r="M71" s="13"/>
      <c r="N71" s="13"/>
    </row>
    <row r="72" spans="1:14" ht="24">
      <c r="A72" s="41" t="s">
        <v>18</v>
      </c>
      <c r="B72" s="41"/>
      <c r="C72" s="38" t="s">
        <v>15</v>
      </c>
      <c r="D72" s="39">
        <v>175</v>
      </c>
      <c r="E72" s="39">
        <f t="shared" si="34"/>
        <v>469.9</v>
      </c>
      <c r="F72" s="21">
        <f t="shared" si="33"/>
        <v>425.9</v>
      </c>
      <c r="G72" s="51">
        <v>44</v>
      </c>
      <c r="H72" s="51">
        <v>219</v>
      </c>
      <c r="I72" s="12">
        <v>162.9</v>
      </c>
      <c r="J72" s="12">
        <v>44</v>
      </c>
      <c r="K72" s="12">
        <v>474</v>
      </c>
      <c r="L72" s="14">
        <f>K72*100/F72</f>
        <v>111.29373092275182</v>
      </c>
      <c r="M72" s="13">
        <f>K72*100/E72</f>
        <v>100.87252606937646</v>
      </c>
      <c r="N72" s="13">
        <f>K72*100/D72</f>
        <v>270.85714285714283</v>
      </c>
    </row>
    <row r="73" spans="1:14" ht="12.75" customHeight="1">
      <c r="A73" s="43" t="s">
        <v>12</v>
      </c>
      <c r="B73" s="43"/>
      <c r="C73" s="38" t="s">
        <v>7</v>
      </c>
      <c r="D73" s="39"/>
      <c r="E73" s="39">
        <f t="shared" si="34"/>
        <v>60</v>
      </c>
      <c r="F73" s="21">
        <f t="shared" si="33"/>
        <v>60</v>
      </c>
      <c r="G73" s="51"/>
      <c r="H73" s="51">
        <v>10</v>
      </c>
      <c r="I73" s="12">
        <v>50</v>
      </c>
      <c r="J73" s="12"/>
      <c r="K73" s="12">
        <v>48.7</v>
      </c>
      <c r="L73" s="14">
        <f>K73*100/F73</f>
        <v>81.16666666666667</v>
      </c>
      <c r="M73" s="13">
        <f>K73*100/E73</f>
        <v>81.16666666666667</v>
      </c>
      <c r="N73" s="13"/>
    </row>
    <row r="74" spans="1:14" ht="12.75">
      <c r="A74" s="44" t="s">
        <v>39</v>
      </c>
      <c r="B74" s="45"/>
      <c r="C74" s="46" t="s">
        <v>40</v>
      </c>
      <c r="D74" s="39"/>
      <c r="E74" s="39">
        <f t="shared" si="34"/>
        <v>0</v>
      </c>
      <c r="F74" s="21">
        <f t="shared" si="33"/>
        <v>0</v>
      </c>
      <c r="G74" s="51"/>
      <c r="H74" s="51"/>
      <c r="I74" s="12"/>
      <c r="J74" s="12"/>
      <c r="K74" s="12">
        <v>-8.1</v>
      </c>
      <c r="L74" s="14"/>
      <c r="M74" s="13"/>
      <c r="N74" s="13"/>
    </row>
    <row r="75" spans="1:14" ht="12.75">
      <c r="A75" s="47" t="s">
        <v>1</v>
      </c>
      <c r="B75" s="47"/>
      <c r="C75" s="48" t="s">
        <v>0</v>
      </c>
      <c r="D75" s="17">
        <f aca="true" t="shared" si="35" ref="D75:K75">D76+D77</f>
        <v>26371.2</v>
      </c>
      <c r="E75" s="17">
        <f t="shared" si="35"/>
        <v>49103.9</v>
      </c>
      <c r="F75" s="17">
        <f t="shared" si="35"/>
        <v>42986.5</v>
      </c>
      <c r="G75" s="17">
        <f t="shared" si="35"/>
        <v>16348.1</v>
      </c>
      <c r="H75" s="17">
        <f t="shared" si="35"/>
        <v>17082.4</v>
      </c>
      <c r="I75" s="17">
        <f t="shared" si="35"/>
        <v>9556</v>
      </c>
      <c r="J75" s="17">
        <f t="shared" si="35"/>
        <v>6117.4</v>
      </c>
      <c r="K75" s="17">
        <f t="shared" si="35"/>
        <v>34570.2</v>
      </c>
      <c r="L75" s="16">
        <f>K75*100/F75</f>
        <v>80.42106242657577</v>
      </c>
      <c r="M75" s="15">
        <f>K75*100/E75</f>
        <v>70.40214728361697</v>
      </c>
      <c r="N75" s="15">
        <f>K75*100/D75</f>
        <v>131.09073534765196</v>
      </c>
    </row>
    <row r="76" spans="1:14" ht="24">
      <c r="A76" s="49" t="s">
        <v>67</v>
      </c>
      <c r="B76" s="35"/>
      <c r="C76" s="50" t="s">
        <v>20</v>
      </c>
      <c r="D76" s="51">
        <v>26371.2</v>
      </c>
      <c r="E76" s="39">
        <f t="shared" si="34"/>
        <v>49008.9</v>
      </c>
      <c r="F76" s="21">
        <f t="shared" si="33"/>
        <v>42891.5</v>
      </c>
      <c r="G76" s="51">
        <f>11348.1+5000</f>
        <v>16348.1</v>
      </c>
      <c r="H76" s="51">
        <v>17082.4</v>
      </c>
      <c r="I76" s="12">
        <f>7593.1+1867.9</f>
        <v>9461</v>
      </c>
      <c r="J76" s="13">
        <v>6117.4</v>
      </c>
      <c r="K76" s="13">
        <v>34475.2</v>
      </c>
      <c r="L76" s="14">
        <f>K76*100/F76</f>
        <v>80.37769721273445</v>
      </c>
      <c r="M76" s="13">
        <f>K76*100/E76</f>
        <v>70.34477411245712</v>
      </c>
      <c r="N76" s="13">
        <f>K76*100/D76</f>
        <v>130.73049387210287</v>
      </c>
    </row>
    <row r="77" spans="1:14" ht="21" customHeight="1">
      <c r="A77" s="49" t="s">
        <v>82</v>
      </c>
      <c r="B77" s="49"/>
      <c r="C77" s="52" t="s">
        <v>19</v>
      </c>
      <c r="D77" s="53"/>
      <c r="E77" s="39">
        <f t="shared" si="34"/>
        <v>95</v>
      </c>
      <c r="F77" s="21">
        <f t="shared" si="33"/>
        <v>95</v>
      </c>
      <c r="G77" s="65"/>
      <c r="H77" s="65"/>
      <c r="I77" s="12">
        <v>95</v>
      </c>
      <c r="J77" s="13"/>
      <c r="K77" s="13">
        <v>95</v>
      </c>
      <c r="L77" s="14">
        <f>K77*100/F77</f>
        <v>100</v>
      </c>
      <c r="M77" s="13">
        <f>K77*100/E77</f>
        <v>100</v>
      </c>
      <c r="N77" s="13"/>
    </row>
    <row r="78" spans="1:14" ht="12.75">
      <c r="A78" s="43"/>
      <c r="B78" s="58"/>
      <c r="C78" s="59" t="s">
        <v>4</v>
      </c>
      <c r="D78" s="15">
        <f aca="true" t="shared" si="36" ref="D78:K78">D75+D64</f>
        <v>63754.2</v>
      </c>
      <c r="E78" s="15">
        <f>E75+E64+0.1</f>
        <v>92777.70000000001</v>
      </c>
      <c r="F78" s="15">
        <f t="shared" si="36"/>
        <v>74045.4</v>
      </c>
      <c r="G78" s="15">
        <f t="shared" si="36"/>
        <v>25002.7</v>
      </c>
      <c r="H78" s="15">
        <f t="shared" si="36"/>
        <v>26962.700000000004</v>
      </c>
      <c r="I78" s="15">
        <f t="shared" si="36"/>
        <v>22080</v>
      </c>
      <c r="J78" s="15">
        <f t="shared" si="36"/>
        <v>18732.199999999997</v>
      </c>
      <c r="K78" s="15">
        <f t="shared" si="36"/>
        <v>67146</v>
      </c>
      <c r="L78" s="16">
        <f>K78*100/F78</f>
        <v>90.68220308081258</v>
      </c>
      <c r="M78" s="15">
        <f>K78*100/E78</f>
        <v>72.37299480370821</v>
      </c>
      <c r="N78" s="15">
        <f>K78*100/D78</f>
        <v>105.32012008620609</v>
      </c>
    </row>
    <row r="79" spans="1:14" ht="12.75">
      <c r="A79" s="103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5"/>
    </row>
    <row r="80" spans="1:14" ht="12.75">
      <c r="A80" s="91" t="s">
        <v>28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3"/>
    </row>
    <row r="81" spans="1:14" ht="12.75">
      <c r="A81" s="47" t="s">
        <v>3</v>
      </c>
      <c r="B81" s="47"/>
      <c r="C81" s="60" t="s">
        <v>68</v>
      </c>
      <c r="D81" s="16">
        <f aca="true" t="shared" si="37" ref="D81:J81">D82+D84+D85+D86+D87+D88+D89+D90+D91+D83</f>
        <v>36893.7</v>
      </c>
      <c r="E81" s="16">
        <f>E82+E84+E85+E86+E87+E88+E89+E90+E91+E83+0.1</f>
        <v>42485.39999999999</v>
      </c>
      <c r="F81" s="16">
        <f t="shared" si="37"/>
        <v>33155.7</v>
      </c>
      <c r="G81" s="16">
        <f t="shared" si="37"/>
        <v>9634</v>
      </c>
      <c r="H81" s="16">
        <f t="shared" si="37"/>
        <v>11190.4</v>
      </c>
      <c r="I81" s="16">
        <f t="shared" si="37"/>
        <v>12331.300000000001</v>
      </c>
      <c r="J81" s="16">
        <f t="shared" si="37"/>
        <v>9329.6</v>
      </c>
      <c r="K81" s="16">
        <f>K82+K84+K85+K86+K87+K88+K89+K90+K91+K83</f>
        <v>30929.300000000007</v>
      </c>
      <c r="L81" s="16">
        <f aca="true" t="shared" si="38" ref="L81:L90">K81*100/F81</f>
        <v>93.2850158494618</v>
      </c>
      <c r="M81" s="15">
        <f aca="true" t="shared" si="39" ref="M81:M90">K81*100/E81</f>
        <v>72.79983241301721</v>
      </c>
      <c r="N81" s="15">
        <f aca="true" t="shared" si="40" ref="N81:N89">K81*100/D81</f>
        <v>83.8335542382575</v>
      </c>
    </row>
    <row r="82" spans="1:14" ht="13.5" customHeight="1">
      <c r="A82" s="43" t="s">
        <v>23</v>
      </c>
      <c r="B82" s="43"/>
      <c r="C82" s="38" t="s">
        <v>22</v>
      </c>
      <c r="D82" s="39">
        <v>23300</v>
      </c>
      <c r="E82" s="39">
        <f>G82+H82+I82+J82</f>
        <v>28663.199999999997</v>
      </c>
      <c r="F82" s="21">
        <f aca="true" t="shared" si="41" ref="F82:F91">G82+H82+I82</f>
        <v>23763.199999999997</v>
      </c>
      <c r="G82" s="51">
        <v>7000</v>
      </c>
      <c r="H82" s="51">
        <v>7696.3</v>
      </c>
      <c r="I82" s="12">
        <f>5400+3666.9</f>
        <v>9066.9</v>
      </c>
      <c r="J82" s="12">
        <v>4900</v>
      </c>
      <c r="K82" s="13">
        <v>21952.4</v>
      </c>
      <c r="L82" s="14">
        <f t="shared" si="38"/>
        <v>92.37981416644224</v>
      </c>
      <c r="M82" s="13">
        <f t="shared" si="39"/>
        <v>76.58740126712999</v>
      </c>
      <c r="N82" s="13">
        <f t="shared" si="40"/>
        <v>94.21630901287554</v>
      </c>
    </row>
    <row r="83" spans="1:14" ht="15.75" customHeight="1">
      <c r="A83" s="35" t="s">
        <v>70</v>
      </c>
      <c r="B83" s="35"/>
      <c r="C83" s="38" t="s">
        <v>71</v>
      </c>
      <c r="D83" s="39">
        <v>4138.7</v>
      </c>
      <c r="E83" s="39">
        <f>G83+H83+I83+J83</f>
        <v>4138.7</v>
      </c>
      <c r="F83" s="21">
        <f t="shared" si="41"/>
        <v>3129.5</v>
      </c>
      <c r="G83" s="51">
        <v>1135.4</v>
      </c>
      <c r="H83" s="51">
        <v>1079</v>
      </c>
      <c r="I83" s="12">
        <v>915.1</v>
      </c>
      <c r="J83" s="12">
        <v>1009.2</v>
      </c>
      <c r="K83" s="13">
        <v>3386.9</v>
      </c>
      <c r="L83" s="14">
        <f t="shared" si="38"/>
        <v>108.22495606326889</v>
      </c>
      <c r="M83" s="13">
        <f t="shared" si="39"/>
        <v>81.83487568560176</v>
      </c>
      <c r="N83" s="13">
        <f t="shared" si="40"/>
        <v>81.83487568560176</v>
      </c>
    </row>
    <row r="84" spans="1:14" ht="15" customHeight="1" hidden="1">
      <c r="A84" s="35" t="s">
        <v>8</v>
      </c>
      <c r="B84" s="35"/>
      <c r="C84" s="38" t="s">
        <v>5</v>
      </c>
      <c r="D84" s="39"/>
      <c r="E84" s="84">
        <f aca="true" t="shared" si="42" ref="E84:E91">G84+H84+I84+J84</f>
        <v>0</v>
      </c>
      <c r="F84" s="21">
        <f t="shared" si="41"/>
        <v>0</v>
      </c>
      <c r="G84" s="51"/>
      <c r="H84" s="51"/>
      <c r="I84" s="12"/>
      <c r="J84" s="12"/>
      <c r="K84" s="13"/>
      <c r="L84" s="14" t="e">
        <f t="shared" si="38"/>
        <v>#DIV/0!</v>
      </c>
      <c r="M84" s="13" t="e">
        <f t="shared" si="39"/>
        <v>#DIV/0!</v>
      </c>
      <c r="N84" s="13" t="e">
        <f t="shared" si="40"/>
        <v>#DIV/0!</v>
      </c>
    </row>
    <row r="85" spans="1:14" ht="12.75">
      <c r="A85" s="35" t="s">
        <v>9</v>
      </c>
      <c r="B85" s="35"/>
      <c r="C85" s="38" t="s">
        <v>6</v>
      </c>
      <c r="D85" s="39">
        <v>1880</v>
      </c>
      <c r="E85" s="39">
        <f t="shared" si="42"/>
        <v>1880</v>
      </c>
      <c r="F85" s="21">
        <f t="shared" si="41"/>
        <v>1180</v>
      </c>
      <c r="G85" s="51">
        <v>460</v>
      </c>
      <c r="H85" s="51">
        <v>390</v>
      </c>
      <c r="I85" s="12">
        <v>330</v>
      </c>
      <c r="J85" s="12">
        <v>700</v>
      </c>
      <c r="K85" s="13">
        <v>1448.4</v>
      </c>
      <c r="L85" s="14">
        <f t="shared" si="38"/>
        <v>122.7457627118644</v>
      </c>
      <c r="M85" s="13">
        <f t="shared" si="39"/>
        <v>77.04255319148936</v>
      </c>
      <c r="N85" s="13">
        <f t="shared" si="40"/>
        <v>77.04255319148936</v>
      </c>
    </row>
    <row r="86" spans="1:14" ht="12.75" hidden="1">
      <c r="A86" s="35" t="s">
        <v>10</v>
      </c>
      <c r="B86" s="35"/>
      <c r="C86" s="38" t="s">
        <v>21</v>
      </c>
      <c r="D86" s="39"/>
      <c r="E86" s="84">
        <f t="shared" si="42"/>
        <v>0</v>
      </c>
      <c r="F86" s="21">
        <f t="shared" si="41"/>
        <v>0</v>
      </c>
      <c r="G86" s="51"/>
      <c r="H86" s="51"/>
      <c r="I86" s="12"/>
      <c r="J86" s="12"/>
      <c r="K86" s="13"/>
      <c r="L86" s="14" t="e">
        <f t="shared" si="38"/>
        <v>#DIV/0!</v>
      </c>
      <c r="M86" s="13" t="e">
        <f t="shared" si="39"/>
        <v>#DIV/0!</v>
      </c>
      <c r="N86" s="13" t="e">
        <f t="shared" si="40"/>
        <v>#DIV/0!</v>
      </c>
    </row>
    <row r="87" spans="1:14" ht="24">
      <c r="A87" s="40" t="s">
        <v>11</v>
      </c>
      <c r="B87" s="40"/>
      <c r="C87" s="38" t="s">
        <v>17</v>
      </c>
      <c r="D87" s="39">
        <v>6954</v>
      </c>
      <c r="E87" s="39">
        <f t="shared" si="42"/>
        <v>6954</v>
      </c>
      <c r="F87" s="21">
        <f t="shared" si="41"/>
        <v>4522.6</v>
      </c>
      <c r="G87" s="51">
        <v>907.6</v>
      </c>
      <c r="H87" s="51">
        <v>1806</v>
      </c>
      <c r="I87" s="12">
        <v>1809</v>
      </c>
      <c r="J87" s="12">
        <v>2431.4</v>
      </c>
      <c r="K87" s="13">
        <v>3508.7</v>
      </c>
      <c r="L87" s="14">
        <f t="shared" si="38"/>
        <v>77.58147967983018</v>
      </c>
      <c r="M87" s="13">
        <f t="shared" si="39"/>
        <v>50.45585274662065</v>
      </c>
      <c r="N87" s="13">
        <f t="shared" si="40"/>
        <v>50.45585274662065</v>
      </c>
    </row>
    <row r="88" spans="1:14" ht="24">
      <c r="A88" s="42" t="s">
        <v>42</v>
      </c>
      <c r="B88" s="42"/>
      <c r="C88" s="38" t="s">
        <v>43</v>
      </c>
      <c r="D88" s="39">
        <v>496</v>
      </c>
      <c r="E88" s="39">
        <f t="shared" si="42"/>
        <v>496</v>
      </c>
      <c r="F88" s="21">
        <f t="shared" si="41"/>
        <v>286</v>
      </c>
      <c r="G88" s="51">
        <v>121</v>
      </c>
      <c r="H88" s="51">
        <v>135</v>
      </c>
      <c r="I88" s="12">
        <v>30</v>
      </c>
      <c r="J88" s="12">
        <v>210</v>
      </c>
      <c r="K88" s="13">
        <v>285.2</v>
      </c>
      <c r="L88" s="14">
        <f t="shared" si="38"/>
        <v>99.72027972027972</v>
      </c>
      <c r="M88" s="13">
        <f t="shared" si="39"/>
        <v>57.5</v>
      </c>
      <c r="N88" s="13">
        <f t="shared" si="40"/>
        <v>57.5</v>
      </c>
    </row>
    <row r="89" spans="1:14" ht="24">
      <c r="A89" s="41" t="s">
        <v>18</v>
      </c>
      <c r="B89" s="41"/>
      <c r="C89" s="38" t="s">
        <v>15</v>
      </c>
      <c r="D89" s="39">
        <v>125</v>
      </c>
      <c r="E89" s="39">
        <f t="shared" si="42"/>
        <v>333.7</v>
      </c>
      <c r="F89" s="21">
        <f t="shared" si="41"/>
        <v>254.7</v>
      </c>
      <c r="G89" s="51">
        <v>10</v>
      </c>
      <c r="H89" s="51">
        <v>84.1</v>
      </c>
      <c r="I89" s="12">
        <f>18+142.6</f>
        <v>160.6</v>
      </c>
      <c r="J89" s="12">
        <v>79</v>
      </c>
      <c r="K89" s="13">
        <v>344</v>
      </c>
      <c r="L89" s="14">
        <f t="shared" si="38"/>
        <v>135.06085590891246</v>
      </c>
      <c r="M89" s="13">
        <f t="shared" si="39"/>
        <v>103.08660473479173</v>
      </c>
      <c r="N89" s="13">
        <f t="shared" si="40"/>
        <v>275.2</v>
      </c>
    </row>
    <row r="90" spans="1:14" ht="15.75" customHeight="1">
      <c r="A90" s="43" t="s">
        <v>12</v>
      </c>
      <c r="B90" s="43"/>
      <c r="C90" s="38" t="s">
        <v>7</v>
      </c>
      <c r="D90" s="39"/>
      <c r="E90" s="39">
        <f t="shared" si="42"/>
        <v>19.7</v>
      </c>
      <c r="F90" s="21">
        <f t="shared" si="41"/>
        <v>19.7</v>
      </c>
      <c r="G90" s="51"/>
      <c r="H90" s="51"/>
      <c r="I90" s="12">
        <v>19.7</v>
      </c>
      <c r="J90" s="12"/>
      <c r="K90" s="13">
        <v>19.7</v>
      </c>
      <c r="L90" s="14">
        <f t="shared" si="38"/>
        <v>100</v>
      </c>
      <c r="M90" s="13">
        <f t="shared" si="39"/>
        <v>100</v>
      </c>
      <c r="N90" s="13"/>
    </row>
    <row r="91" spans="1:14" ht="12.75">
      <c r="A91" s="44" t="s">
        <v>39</v>
      </c>
      <c r="B91" s="45"/>
      <c r="C91" s="46" t="s">
        <v>40</v>
      </c>
      <c r="D91" s="39"/>
      <c r="E91" s="39">
        <f t="shared" si="42"/>
        <v>0</v>
      </c>
      <c r="F91" s="21">
        <f t="shared" si="41"/>
        <v>0</v>
      </c>
      <c r="G91" s="51"/>
      <c r="H91" s="51"/>
      <c r="I91" s="12"/>
      <c r="J91" s="12"/>
      <c r="K91" s="13">
        <v>-16</v>
      </c>
      <c r="L91" s="14"/>
      <c r="M91" s="13"/>
      <c r="N91" s="13"/>
    </row>
    <row r="92" spans="1:14" ht="12.75" hidden="1">
      <c r="A92" s="44" t="s">
        <v>44</v>
      </c>
      <c r="B92" s="45"/>
      <c r="C92" s="46" t="s">
        <v>45</v>
      </c>
      <c r="D92" s="62"/>
      <c r="E92" s="86"/>
      <c r="F92" s="21">
        <f>G92</f>
        <v>0</v>
      </c>
      <c r="G92" s="51"/>
      <c r="H92" s="51"/>
      <c r="I92" s="12" t="e">
        <f>J92+#REF!+#REF!+#REF!</f>
        <v>#REF!</v>
      </c>
      <c r="J92" s="12"/>
      <c r="K92" s="13"/>
      <c r="L92" s="16" t="e">
        <f>K92*100/F92</f>
        <v>#DIV/0!</v>
      </c>
      <c r="M92" s="15" t="e">
        <f>K92*100/E92</f>
        <v>#DIV/0!</v>
      </c>
      <c r="N92" s="13" t="e">
        <f>K92*100/D92</f>
        <v>#DIV/0!</v>
      </c>
    </row>
    <row r="93" spans="1:14" ht="12.75">
      <c r="A93" s="47" t="s">
        <v>1</v>
      </c>
      <c r="B93" s="47"/>
      <c r="C93" s="48" t="s">
        <v>0</v>
      </c>
      <c r="D93" s="17">
        <f aca="true" t="shared" si="43" ref="D93:K93">D94+D95</f>
        <v>52314.9</v>
      </c>
      <c r="E93" s="17">
        <f t="shared" si="43"/>
        <v>87649.2</v>
      </c>
      <c r="F93" s="70">
        <f t="shared" si="43"/>
        <v>64087.1</v>
      </c>
      <c r="G93" s="17">
        <f t="shared" si="43"/>
        <v>19122</v>
      </c>
      <c r="H93" s="17">
        <f t="shared" si="43"/>
        <v>13805.1</v>
      </c>
      <c r="I93" s="17">
        <f t="shared" si="43"/>
        <v>31160</v>
      </c>
      <c r="J93" s="17">
        <f t="shared" si="43"/>
        <v>23562.1</v>
      </c>
      <c r="K93" s="17">
        <f t="shared" si="43"/>
        <v>45417.6</v>
      </c>
      <c r="L93" s="16">
        <f>K93*100/F93</f>
        <v>70.86855232956398</v>
      </c>
      <c r="M93" s="15">
        <f>K93*100/E93</f>
        <v>51.81747237852713</v>
      </c>
      <c r="N93" s="15">
        <f>K93*100/D93</f>
        <v>86.81580199904808</v>
      </c>
    </row>
    <row r="94" spans="1:14" ht="24">
      <c r="A94" s="49" t="s">
        <v>67</v>
      </c>
      <c r="B94" s="35"/>
      <c r="C94" s="50" t="s">
        <v>20</v>
      </c>
      <c r="D94" s="51">
        <v>52314.9</v>
      </c>
      <c r="E94" s="39">
        <f>G94+H94+I94+J94</f>
        <v>87594.2</v>
      </c>
      <c r="F94" s="21">
        <f>G94+H94+I94</f>
        <v>64032.1</v>
      </c>
      <c r="G94" s="51">
        <v>19112</v>
      </c>
      <c r="H94" s="51">
        <v>13760.1</v>
      </c>
      <c r="I94" s="12">
        <v>31160</v>
      </c>
      <c r="J94" s="12">
        <v>23562.1</v>
      </c>
      <c r="K94" s="13">
        <v>45371</v>
      </c>
      <c r="L94" s="14">
        <f>K94*100/F94</f>
        <v>70.85664846225565</v>
      </c>
      <c r="M94" s="13">
        <f>K94*100/E94</f>
        <v>51.79680846448738</v>
      </c>
      <c r="N94" s="13">
        <f>K94*100/D94</f>
        <v>86.72672603789742</v>
      </c>
    </row>
    <row r="95" spans="1:14" ht="15" customHeight="1">
      <c r="A95" s="49" t="s">
        <v>82</v>
      </c>
      <c r="B95" s="49"/>
      <c r="C95" s="52" t="s">
        <v>19</v>
      </c>
      <c r="D95" s="53"/>
      <c r="E95" s="39">
        <f>G95+H95+I95+J95</f>
        <v>55</v>
      </c>
      <c r="F95" s="21">
        <f>G95+H95+I95</f>
        <v>55</v>
      </c>
      <c r="G95" s="71">
        <v>10</v>
      </c>
      <c r="H95" s="71">
        <v>45</v>
      </c>
      <c r="I95" s="12"/>
      <c r="J95" s="12"/>
      <c r="K95" s="13">
        <v>46.6</v>
      </c>
      <c r="L95" s="14">
        <f>K95*100/F95</f>
        <v>84.72727272727273</v>
      </c>
      <c r="M95" s="13">
        <f>K95*100/E95</f>
        <v>84.72727272727273</v>
      </c>
      <c r="N95" s="13"/>
    </row>
    <row r="96" spans="1:14" ht="12.75">
      <c r="A96" s="43"/>
      <c r="B96" s="58"/>
      <c r="C96" s="59" t="s">
        <v>4</v>
      </c>
      <c r="D96" s="15">
        <f aca="true" t="shared" si="44" ref="D96:K96">D93+D81</f>
        <v>89208.6</v>
      </c>
      <c r="E96" s="15">
        <f>E93+E81</f>
        <v>130134.59999999998</v>
      </c>
      <c r="F96" s="15">
        <f t="shared" si="44"/>
        <v>97242.79999999999</v>
      </c>
      <c r="G96" s="15">
        <f t="shared" si="44"/>
        <v>28756</v>
      </c>
      <c r="H96" s="15">
        <f t="shared" si="44"/>
        <v>24995.5</v>
      </c>
      <c r="I96" s="15">
        <f t="shared" si="44"/>
        <v>43491.3</v>
      </c>
      <c r="J96" s="15">
        <f t="shared" si="44"/>
        <v>32891.7</v>
      </c>
      <c r="K96" s="15">
        <f t="shared" si="44"/>
        <v>76346.90000000001</v>
      </c>
      <c r="L96" s="16">
        <f>K96*100/F96</f>
        <v>78.51162245431026</v>
      </c>
      <c r="M96" s="15">
        <f>K96*100/E96</f>
        <v>58.66764104242839</v>
      </c>
      <c r="N96" s="15">
        <f>K96*100/D96</f>
        <v>85.58244384510014</v>
      </c>
    </row>
    <row r="97" spans="1:14" ht="12.75">
      <c r="A97" s="88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16"/>
      <c r="M97" s="15"/>
      <c r="N97" s="13"/>
    </row>
    <row r="98" spans="1:14" ht="12.75">
      <c r="A98" s="91" t="s">
        <v>29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3"/>
    </row>
    <row r="99" spans="1:14" ht="12.75">
      <c r="A99" s="47" t="s">
        <v>3</v>
      </c>
      <c r="B99" s="47"/>
      <c r="C99" s="60" t="s">
        <v>68</v>
      </c>
      <c r="D99" s="16">
        <f aca="true" t="shared" si="45" ref="D99:J99">D100+D103+D107+D104+D105+D108+D106+D102+D101</f>
        <v>2809.8</v>
      </c>
      <c r="E99" s="16">
        <f t="shared" si="45"/>
        <v>2835.2000000000003</v>
      </c>
      <c r="F99" s="16">
        <f t="shared" si="45"/>
        <v>2130.7</v>
      </c>
      <c r="G99" s="16">
        <f t="shared" si="45"/>
        <v>696.5</v>
      </c>
      <c r="H99" s="16">
        <f t="shared" si="45"/>
        <v>729.7</v>
      </c>
      <c r="I99" s="16">
        <f t="shared" si="45"/>
        <v>704.5</v>
      </c>
      <c r="J99" s="16">
        <f t="shared" si="45"/>
        <v>704.5</v>
      </c>
      <c r="K99" s="16">
        <f>K100+K103+K107+K104+K105+K108+K106+K102+K101+0.1</f>
        <v>2516.9999999999995</v>
      </c>
      <c r="L99" s="16">
        <f aca="true" t="shared" si="46" ref="L99:L107">K99*100/F99</f>
        <v>118.1301919556953</v>
      </c>
      <c r="M99" s="15">
        <f aca="true" t="shared" si="47" ref="M99:M107">K99*100/E99</f>
        <v>88.77680586907447</v>
      </c>
      <c r="N99" s="15">
        <f aca="true" t="shared" si="48" ref="N99:N106">K99*100/D99</f>
        <v>89.57932948964337</v>
      </c>
    </row>
    <row r="100" spans="1:14" ht="12.75">
      <c r="A100" s="43" t="s">
        <v>23</v>
      </c>
      <c r="B100" s="43"/>
      <c r="C100" s="38" t="s">
        <v>22</v>
      </c>
      <c r="D100" s="39">
        <v>1280</v>
      </c>
      <c r="E100" s="39">
        <f>G100+H100+I100+J100</f>
        <v>1290.4</v>
      </c>
      <c r="F100" s="21">
        <f aca="true" t="shared" si="49" ref="F100:F110">G100+H100+I100</f>
        <v>970.4</v>
      </c>
      <c r="G100" s="51">
        <v>320</v>
      </c>
      <c r="H100" s="51">
        <v>330.4</v>
      </c>
      <c r="I100" s="12">
        <v>320</v>
      </c>
      <c r="J100" s="13">
        <v>320</v>
      </c>
      <c r="K100" s="13">
        <v>1223.9</v>
      </c>
      <c r="L100" s="14">
        <f t="shared" si="46"/>
        <v>126.12324814509482</v>
      </c>
      <c r="M100" s="13">
        <f t="shared" si="47"/>
        <v>94.84655920644762</v>
      </c>
      <c r="N100" s="13">
        <f t="shared" si="48"/>
        <v>95.61718750000001</v>
      </c>
    </row>
    <row r="101" spans="1:14" ht="12.75">
      <c r="A101" s="35" t="s">
        <v>70</v>
      </c>
      <c r="B101" s="35"/>
      <c r="C101" s="38" t="s">
        <v>71</v>
      </c>
      <c r="D101" s="39">
        <v>1342.3</v>
      </c>
      <c r="E101" s="39">
        <f>G101+H101+I101+J101</f>
        <v>1342.3000000000002</v>
      </c>
      <c r="F101" s="21">
        <f t="shared" si="49"/>
        <v>1006.7</v>
      </c>
      <c r="G101" s="51">
        <v>335.5</v>
      </c>
      <c r="H101" s="51">
        <v>335.6</v>
      </c>
      <c r="I101" s="12">
        <v>335.6</v>
      </c>
      <c r="J101" s="13">
        <v>335.6</v>
      </c>
      <c r="K101" s="13">
        <v>1098.5</v>
      </c>
      <c r="L101" s="14">
        <f t="shared" si="46"/>
        <v>109.11890334757126</v>
      </c>
      <c r="M101" s="13">
        <f t="shared" si="47"/>
        <v>81.83714519853982</v>
      </c>
      <c r="N101" s="13">
        <f t="shared" si="48"/>
        <v>81.83714519853983</v>
      </c>
    </row>
    <row r="102" spans="1:14" ht="12.75" hidden="1">
      <c r="A102" s="35" t="s">
        <v>8</v>
      </c>
      <c r="B102" s="35"/>
      <c r="C102" s="38" t="s">
        <v>5</v>
      </c>
      <c r="D102" s="39"/>
      <c r="E102" s="39">
        <f>G102+H102+I102+J102</f>
        <v>0</v>
      </c>
      <c r="F102" s="21">
        <f t="shared" si="49"/>
        <v>0</v>
      </c>
      <c r="G102" s="51"/>
      <c r="H102" s="51"/>
      <c r="I102" s="12"/>
      <c r="J102" s="13"/>
      <c r="K102" s="13"/>
      <c r="L102" s="14" t="e">
        <f t="shared" si="46"/>
        <v>#DIV/0!</v>
      </c>
      <c r="M102" s="13" t="e">
        <f t="shared" si="47"/>
        <v>#DIV/0!</v>
      </c>
      <c r="N102" s="13" t="e">
        <f t="shared" si="48"/>
        <v>#DIV/0!</v>
      </c>
    </row>
    <row r="103" spans="1:14" ht="12.75">
      <c r="A103" s="35" t="s">
        <v>9</v>
      </c>
      <c r="B103" s="35"/>
      <c r="C103" s="38" t="s">
        <v>6</v>
      </c>
      <c r="D103" s="39">
        <v>125</v>
      </c>
      <c r="E103" s="39">
        <f aca="true" t="shared" si="50" ref="E103:E111">G103+H103+I103+J103</f>
        <v>125</v>
      </c>
      <c r="F103" s="21">
        <f t="shared" si="49"/>
        <v>91.8</v>
      </c>
      <c r="G103" s="51">
        <v>25.3</v>
      </c>
      <c r="H103" s="51">
        <v>33.2</v>
      </c>
      <c r="I103" s="12">
        <v>33.3</v>
      </c>
      <c r="J103" s="13">
        <v>33.2</v>
      </c>
      <c r="K103" s="13">
        <v>111.3</v>
      </c>
      <c r="L103" s="14">
        <f t="shared" si="46"/>
        <v>121.24183006535948</v>
      </c>
      <c r="M103" s="13">
        <f t="shared" si="47"/>
        <v>89.04</v>
      </c>
      <c r="N103" s="13">
        <f t="shared" si="48"/>
        <v>89.04</v>
      </c>
    </row>
    <row r="104" spans="1:14" ht="12.75">
      <c r="A104" s="35" t="s">
        <v>10</v>
      </c>
      <c r="B104" s="35"/>
      <c r="C104" s="38" t="s">
        <v>21</v>
      </c>
      <c r="D104" s="39">
        <v>1.5</v>
      </c>
      <c r="E104" s="39">
        <f t="shared" si="50"/>
        <v>1.5</v>
      </c>
      <c r="F104" s="21">
        <f t="shared" si="49"/>
        <v>1.1</v>
      </c>
      <c r="G104" s="51">
        <v>0.4</v>
      </c>
      <c r="H104" s="51">
        <v>0.3</v>
      </c>
      <c r="I104" s="12">
        <v>0.4</v>
      </c>
      <c r="J104" s="13">
        <v>0.4</v>
      </c>
      <c r="K104" s="13">
        <v>1.1</v>
      </c>
      <c r="L104" s="14">
        <f t="shared" si="46"/>
        <v>100</v>
      </c>
      <c r="M104" s="13">
        <f t="shared" si="47"/>
        <v>73.33333333333334</v>
      </c>
      <c r="N104" s="13">
        <f t="shared" si="48"/>
        <v>73.33333333333334</v>
      </c>
    </row>
    <row r="105" spans="1:14" ht="24">
      <c r="A105" s="40" t="s">
        <v>11</v>
      </c>
      <c r="B105" s="40"/>
      <c r="C105" s="38" t="s">
        <v>17</v>
      </c>
      <c r="D105" s="39">
        <v>26</v>
      </c>
      <c r="E105" s="39">
        <f t="shared" si="50"/>
        <v>26</v>
      </c>
      <c r="F105" s="21">
        <f t="shared" si="49"/>
        <v>19.5</v>
      </c>
      <c r="G105" s="51">
        <v>6.5</v>
      </c>
      <c r="H105" s="51">
        <v>6.5</v>
      </c>
      <c r="I105" s="12">
        <v>6.5</v>
      </c>
      <c r="J105" s="13">
        <v>6.5</v>
      </c>
      <c r="K105" s="13">
        <v>40</v>
      </c>
      <c r="L105" s="14">
        <f t="shared" si="46"/>
        <v>205.12820512820514</v>
      </c>
      <c r="M105" s="13">
        <f t="shared" si="47"/>
        <v>153.84615384615384</v>
      </c>
      <c r="N105" s="13">
        <f t="shared" si="48"/>
        <v>153.84615384615384</v>
      </c>
    </row>
    <row r="106" spans="1:14" ht="24" customHeight="1">
      <c r="A106" s="42" t="s">
        <v>42</v>
      </c>
      <c r="B106" s="42"/>
      <c r="C106" s="38" t="s">
        <v>43</v>
      </c>
      <c r="D106" s="39">
        <v>35</v>
      </c>
      <c r="E106" s="39">
        <f t="shared" si="50"/>
        <v>35</v>
      </c>
      <c r="F106" s="21">
        <f t="shared" si="49"/>
        <v>26.2</v>
      </c>
      <c r="G106" s="51">
        <v>8.8</v>
      </c>
      <c r="H106" s="51">
        <v>8.7</v>
      </c>
      <c r="I106" s="12">
        <v>8.7</v>
      </c>
      <c r="J106" s="13">
        <v>8.8</v>
      </c>
      <c r="K106" s="13">
        <v>24.6</v>
      </c>
      <c r="L106" s="14">
        <f t="shared" si="46"/>
        <v>93.89312977099237</v>
      </c>
      <c r="M106" s="13">
        <f t="shared" si="47"/>
        <v>70.28571428571429</v>
      </c>
      <c r="N106" s="13">
        <f t="shared" si="48"/>
        <v>70.28571428571429</v>
      </c>
    </row>
    <row r="107" spans="1:14" ht="21" customHeight="1">
      <c r="A107" s="43" t="s">
        <v>12</v>
      </c>
      <c r="B107" s="43"/>
      <c r="C107" s="72" t="s">
        <v>7</v>
      </c>
      <c r="D107" s="39"/>
      <c r="E107" s="39">
        <f t="shared" si="50"/>
        <v>15</v>
      </c>
      <c r="F107" s="21">
        <f t="shared" si="49"/>
        <v>15</v>
      </c>
      <c r="G107" s="51"/>
      <c r="H107" s="51">
        <v>15</v>
      </c>
      <c r="I107" s="12"/>
      <c r="J107" s="13"/>
      <c r="K107" s="13">
        <v>15</v>
      </c>
      <c r="L107" s="14">
        <f t="shared" si="46"/>
        <v>100</v>
      </c>
      <c r="M107" s="13">
        <f t="shared" si="47"/>
        <v>100</v>
      </c>
      <c r="N107" s="13"/>
    </row>
    <row r="108" spans="1:14" ht="16.5" customHeight="1">
      <c r="A108" s="42" t="s">
        <v>39</v>
      </c>
      <c r="B108" s="73"/>
      <c r="C108" s="46" t="s">
        <v>40</v>
      </c>
      <c r="D108" s="39"/>
      <c r="E108" s="39">
        <f t="shared" si="50"/>
        <v>0</v>
      </c>
      <c r="F108" s="21">
        <f t="shared" si="49"/>
        <v>0</v>
      </c>
      <c r="G108" s="51"/>
      <c r="H108" s="51"/>
      <c r="I108" s="12"/>
      <c r="J108" s="13"/>
      <c r="K108" s="13">
        <v>2.5</v>
      </c>
      <c r="L108" s="16"/>
      <c r="M108" s="15"/>
      <c r="N108" s="13"/>
    </row>
    <row r="109" spans="1:14" ht="12.75">
      <c r="A109" s="32" t="s">
        <v>1</v>
      </c>
      <c r="B109" s="32"/>
      <c r="C109" s="48" t="s">
        <v>0</v>
      </c>
      <c r="D109" s="17">
        <f aca="true" t="shared" si="51" ref="D109:K109">D110+D111</f>
        <v>21712.5</v>
      </c>
      <c r="E109" s="17">
        <f t="shared" si="51"/>
        <v>38696.799999999996</v>
      </c>
      <c r="F109" s="17">
        <f t="shared" si="51"/>
        <v>33349.6</v>
      </c>
      <c r="G109" s="17">
        <f t="shared" si="51"/>
        <v>6838</v>
      </c>
      <c r="H109" s="17">
        <f t="shared" si="51"/>
        <v>6094.4</v>
      </c>
      <c r="I109" s="17">
        <f t="shared" si="51"/>
        <v>20417.199999999997</v>
      </c>
      <c r="J109" s="17">
        <f t="shared" si="51"/>
        <v>5347.2</v>
      </c>
      <c r="K109" s="17">
        <f t="shared" si="51"/>
        <v>22780.2</v>
      </c>
      <c r="L109" s="16">
        <f>K109*100/F109</f>
        <v>68.30726605416557</v>
      </c>
      <c r="M109" s="15">
        <f>K109*100/E109</f>
        <v>58.86843356556615</v>
      </c>
      <c r="N109" s="15">
        <f>K109*100/D109</f>
        <v>104.91744386873921</v>
      </c>
    </row>
    <row r="110" spans="1:14" ht="24">
      <c r="A110" s="49" t="s">
        <v>67</v>
      </c>
      <c r="B110" s="35"/>
      <c r="C110" s="50" t="s">
        <v>20</v>
      </c>
      <c r="D110" s="51">
        <v>21712.5</v>
      </c>
      <c r="E110" s="39">
        <f t="shared" si="50"/>
        <v>38696.799999999996</v>
      </c>
      <c r="F110" s="21">
        <f t="shared" si="49"/>
        <v>33349.6</v>
      </c>
      <c r="G110" s="51">
        <f>6675.7+162.3</f>
        <v>6838</v>
      </c>
      <c r="H110" s="51">
        <v>6094.4</v>
      </c>
      <c r="I110" s="12">
        <f>6436.9+13980.3</f>
        <v>20417.199999999997</v>
      </c>
      <c r="J110" s="13">
        <v>5347.2</v>
      </c>
      <c r="K110" s="13">
        <v>22780.2</v>
      </c>
      <c r="L110" s="14">
        <f>K110*100/F110</f>
        <v>68.30726605416557</v>
      </c>
      <c r="M110" s="13">
        <f>K110*100/E110</f>
        <v>58.86843356556615</v>
      </c>
      <c r="N110" s="13">
        <f>K110*100/D110</f>
        <v>104.91744386873921</v>
      </c>
    </row>
    <row r="111" spans="1:14" ht="12.75" hidden="1">
      <c r="A111" s="49" t="s">
        <v>2</v>
      </c>
      <c r="B111" s="49"/>
      <c r="C111" s="52" t="s">
        <v>19</v>
      </c>
      <c r="D111" s="52"/>
      <c r="E111" s="39">
        <f t="shared" si="50"/>
        <v>0</v>
      </c>
      <c r="F111" s="39">
        <f>G111+H111</f>
        <v>0</v>
      </c>
      <c r="G111" s="71"/>
      <c r="H111" s="71"/>
      <c r="I111" s="12"/>
      <c r="J111" s="13"/>
      <c r="K111" s="13"/>
      <c r="L111" s="16"/>
      <c r="M111" s="15"/>
      <c r="N111" s="13" t="e">
        <f>K111*100/D111</f>
        <v>#DIV/0!</v>
      </c>
    </row>
    <row r="112" spans="1:14" ht="12.75">
      <c r="A112" s="43"/>
      <c r="B112" s="58"/>
      <c r="C112" s="59" t="s">
        <v>4</v>
      </c>
      <c r="D112" s="15">
        <f aca="true" t="shared" si="52" ref="D112:J112">D109+D99</f>
        <v>24522.3</v>
      </c>
      <c r="E112" s="15">
        <f t="shared" si="52"/>
        <v>41531.99999999999</v>
      </c>
      <c r="F112" s="34">
        <f t="shared" si="52"/>
        <v>35480.299999999996</v>
      </c>
      <c r="G112" s="34">
        <f t="shared" si="52"/>
        <v>7534.5</v>
      </c>
      <c r="H112" s="34">
        <f>H109+H99</f>
        <v>6824.099999999999</v>
      </c>
      <c r="I112" s="15">
        <f t="shared" si="52"/>
        <v>21121.699999999997</v>
      </c>
      <c r="J112" s="15">
        <f t="shared" si="52"/>
        <v>6051.7</v>
      </c>
      <c r="K112" s="15">
        <f>K109+K99</f>
        <v>25297.2</v>
      </c>
      <c r="L112" s="16">
        <f>K112*100/F112</f>
        <v>71.29928439162015</v>
      </c>
      <c r="M112" s="15">
        <f>K112*100/E112</f>
        <v>60.91014157757874</v>
      </c>
      <c r="N112" s="15">
        <f>K112*100/D112</f>
        <v>103.15998091533014</v>
      </c>
    </row>
    <row r="113" spans="1:14" ht="12.75">
      <c r="A113" s="88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16"/>
      <c r="M113" s="15"/>
      <c r="N113" s="13"/>
    </row>
    <row r="114" spans="1:14" ht="12.75">
      <c r="A114" s="91" t="s">
        <v>30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3"/>
    </row>
    <row r="115" spans="1:14" ht="12.75">
      <c r="A115" s="47" t="s">
        <v>3</v>
      </c>
      <c r="B115" s="47"/>
      <c r="C115" s="60" t="s">
        <v>68</v>
      </c>
      <c r="D115" s="16">
        <f>D116+D120+D124+D121+D122+D125+D123+D126+D117+D118</f>
        <v>5053.8</v>
      </c>
      <c r="E115" s="16">
        <f aca="true" t="shared" si="53" ref="E115:J115">E116+E120+E124+E121+E122+E125+E123+E126+E117+E118+E119</f>
        <v>5250</v>
      </c>
      <c r="F115" s="16">
        <f t="shared" si="53"/>
        <v>3760</v>
      </c>
      <c r="G115" s="16">
        <f t="shared" si="53"/>
        <v>1110.4</v>
      </c>
      <c r="H115" s="16">
        <f t="shared" si="53"/>
        <v>1353.1</v>
      </c>
      <c r="I115" s="16">
        <f t="shared" si="53"/>
        <v>1296.5</v>
      </c>
      <c r="J115" s="16">
        <f t="shared" si="53"/>
        <v>1490</v>
      </c>
      <c r="K115" s="16">
        <f>K116+K120+K124+K121+K122+K125+K123+K126+K117+K118+K119+0.1</f>
        <v>4041.1</v>
      </c>
      <c r="L115" s="16">
        <f>K115*100/F115</f>
        <v>107.47606382978724</v>
      </c>
      <c r="M115" s="15">
        <f>K115*100/E115</f>
        <v>76.97333333333333</v>
      </c>
      <c r="N115" s="15">
        <f>K115*100/D115</f>
        <v>79.96161304365032</v>
      </c>
    </row>
    <row r="116" spans="1:14" ht="12.75">
      <c r="A116" s="43" t="s">
        <v>23</v>
      </c>
      <c r="B116" s="43"/>
      <c r="C116" s="38" t="s">
        <v>22</v>
      </c>
      <c r="D116" s="39">
        <v>1210</v>
      </c>
      <c r="E116" s="39">
        <f>G116+H116+I116+J116</f>
        <v>1212.7</v>
      </c>
      <c r="F116" s="21">
        <f aca="true" t="shared" si="54" ref="F116:F128">G116+H116+I116</f>
        <v>865.6</v>
      </c>
      <c r="G116" s="39">
        <v>212.6</v>
      </c>
      <c r="H116" s="39">
        <v>374</v>
      </c>
      <c r="I116" s="13">
        <v>279</v>
      </c>
      <c r="J116" s="13">
        <v>347.1</v>
      </c>
      <c r="K116" s="13">
        <v>947.1</v>
      </c>
      <c r="L116" s="14">
        <f>K116*100/F116</f>
        <v>109.41543438077633</v>
      </c>
      <c r="M116" s="13">
        <f>K116*100/E116</f>
        <v>78.09845798631153</v>
      </c>
      <c r="N116" s="13">
        <f>K116*100/D116</f>
        <v>78.27272727272727</v>
      </c>
    </row>
    <row r="117" spans="1:14" ht="12.75" hidden="1">
      <c r="A117" s="35" t="s">
        <v>8</v>
      </c>
      <c r="B117" s="35"/>
      <c r="C117" s="38" t="s">
        <v>5</v>
      </c>
      <c r="D117" s="39"/>
      <c r="E117" s="39">
        <f>G117+H117+I117+J117</f>
        <v>0</v>
      </c>
      <c r="F117" s="21">
        <f t="shared" si="54"/>
        <v>0</v>
      </c>
      <c r="G117" s="39"/>
      <c r="H117" s="39"/>
      <c r="I117" s="13"/>
      <c r="J117" s="13"/>
      <c r="K117" s="13"/>
      <c r="L117" s="14" t="e">
        <f>K117*100/F117</f>
        <v>#DIV/0!</v>
      </c>
      <c r="M117" s="13" t="e">
        <f>K117*100/E117</f>
        <v>#DIV/0!</v>
      </c>
      <c r="N117" s="13" t="e">
        <f>K117*100/D117</f>
        <v>#DIV/0!</v>
      </c>
    </row>
    <row r="118" spans="1:14" ht="13.5" customHeight="1">
      <c r="A118" s="35" t="s">
        <v>70</v>
      </c>
      <c r="B118" s="35"/>
      <c r="C118" s="38" t="s">
        <v>71</v>
      </c>
      <c r="D118" s="39">
        <v>2908.3</v>
      </c>
      <c r="E118" s="39">
        <f>G118+H118+I118+J118</f>
        <v>2908.3</v>
      </c>
      <c r="F118" s="21">
        <f t="shared" si="54"/>
        <v>2099.3</v>
      </c>
      <c r="G118" s="39">
        <v>631.1</v>
      </c>
      <c r="H118" s="39">
        <v>674</v>
      </c>
      <c r="I118" s="13">
        <v>794.2</v>
      </c>
      <c r="J118" s="13">
        <v>809</v>
      </c>
      <c r="K118" s="13">
        <v>2380</v>
      </c>
      <c r="L118" s="14">
        <f>K118*100/F118</f>
        <v>113.37112370790263</v>
      </c>
      <c r="M118" s="13">
        <f>K118*100/E118</f>
        <v>81.83474882233607</v>
      </c>
      <c r="N118" s="13">
        <f>K118*100/D118</f>
        <v>81.83474882233607</v>
      </c>
    </row>
    <row r="119" spans="1:14" ht="12.75">
      <c r="A119" s="35" t="s">
        <v>8</v>
      </c>
      <c r="B119" s="35"/>
      <c r="C119" s="38" t="s">
        <v>5</v>
      </c>
      <c r="D119" s="39"/>
      <c r="E119" s="39">
        <f>G119+H119+I119+J119</f>
        <v>25.2</v>
      </c>
      <c r="F119" s="21">
        <f t="shared" si="54"/>
        <v>25.2</v>
      </c>
      <c r="G119" s="39">
        <v>25.2</v>
      </c>
      <c r="H119" s="39"/>
      <c r="I119" s="13"/>
      <c r="J119" s="13"/>
      <c r="K119" s="13">
        <v>25.2</v>
      </c>
      <c r="L119" s="14">
        <f>K119*100/F119</f>
        <v>100</v>
      </c>
      <c r="M119" s="13">
        <f>K119*100/E119</f>
        <v>100</v>
      </c>
      <c r="N119" s="13"/>
    </row>
    <row r="120" spans="1:14" ht="12.75">
      <c r="A120" s="35" t="s">
        <v>9</v>
      </c>
      <c r="B120" s="35"/>
      <c r="C120" s="38" t="s">
        <v>6</v>
      </c>
      <c r="D120" s="39">
        <v>145</v>
      </c>
      <c r="E120" s="39">
        <f aca="true" t="shared" si="55" ref="E120:E128">G120+H120+I120+J120</f>
        <v>145</v>
      </c>
      <c r="F120" s="21">
        <f t="shared" si="54"/>
        <v>57.7</v>
      </c>
      <c r="G120" s="39">
        <v>50.2</v>
      </c>
      <c r="H120" s="39">
        <v>3.5</v>
      </c>
      <c r="I120" s="13">
        <v>4</v>
      </c>
      <c r="J120" s="13">
        <v>87.3</v>
      </c>
      <c r="K120" s="13">
        <v>90.3</v>
      </c>
      <c r="L120" s="14">
        <f aca="true" t="shared" si="56" ref="L120:L125">K120*100/F120</f>
        <v>156.49913344887347</v>
      </c>
      <c r="M120" s="13">
        <f aca="true" t="shared" si="57" ref="M120:M125">K120*100/E120</f>
        <v>62.275862068965516</v>
      </c>
      <c r="N120" s="13">
        <f>K120*100/D120</f>
        <v>62.275862068965516</v>
      </c>
    </row>
    <row r="121" spans="1:14" ht="12.75">
      <c r="A121" s="35" t="s">
        <v>10</v>
      </c>
      <c r="B121" s="35"/>
      <c r="C121" s="38" t="s">
        <v>21</v>
      </c>
      <c r="D121" s="39">
        <v>12</v>
      </c>
      <c r="E121" s="39">
        <f t="shared" si="55"/>
        <v>12</v>
      </c>
      <c r="F121" s="21">
        <f t="shared" si="54"/>
        <v>9</v>
      </c>
      <c r="G121" s="39">
        <v>3</v>
      </c>
      <c r="H121" s="39">
        <v>3</v>
      </c>
      <c r="I121" s="13">
        <v>3</v>
      </c>
      <c r="J121" s="13">
        <v>3</v>
      </c>
      <c r="K121" s="13">
        <v>8.9</v>
      </c>
      <c r="L121" s="14">
        <f t="shared" si="56"/>
        <v>98.88888888888889</v>
      </c>
      <c r="M121" s="13">
        <f t="shared" si="57"/>
        <v>74.16666666666667</v>
      </c>
      <c r="N121" s="13">
        <f>K121*100/D121</f>
        <v>74.16666666666667</v>
      </c>
    </row>
    <row r="122" spans="1:14" ht="24">
      <c r="A122" s="40" t="s">
        <v>11</v>
      </c>
      <c r="B122" s="40"/>
      <c r="C122" s="38" t="s">
        <v>17</v>
      </c>
      <c r="D122" s="39">
        <v>657.2</v>
      </c>
      <c r="E122" s="39">
        <f t="shared" si="55"/>
        <v>657.2</v>
      </c>
      <c r="F122" s="21">
        <f t="shared" si="54"/>
        <v>447.90000000000003</v>
      </c>
      <c r="G122" s="39">
        <v>149.3</v>
      </c>
      <c r="H122" s="39">
        <v>149.3</v>
      </c>
      <c r="I122" s="13">
        <v>149.3</v>
      </c>
      <c r="J122" s="13">
        <v>209.3</v>
      </c>
      <c r="K122" s="13">
        <v>351.5</v>
      </c>
      <c r="L122" s="14">
        <f t="shared" si="56"/>
        <v>78.47733869167224</v>
      </c>
      <c r="M122" s="13">
        <f t="shared" si="57"/>
        <v>53.484479610468654</v>
      </c>
      <c r="N122" s="13">
        <f>K122*100/D122</f>
        <v>53.484479610468654</v>
      </c>
    </row>
    <row r="123" spans="1:14" ht="24">
      <c r="A123" s="42" t="s">
        <v>42</v>
      </c>
      <c r="B123" s="42"/>
      <c r="C123" s="38" t="s">
        <v>43</v>
      </c>
      <c r="D123" s="39">
        <v>121.3</v>
      </c>
      <c r="E123" s="39">
        <f t="shared" si="55"/>
        <v>230.60000000000002</v>
      </c>
      <c r="F123" s="21">
        <f t="shared" si="54"/>
        <v>196.3</v>
      </c>
      <c r="G123" s="39">
        <v>30</v>
      </c>
      <c r="H123" s="39">
        <v>149.3</v>
      </c>
      <c r="I123" s="13">
        <v>17</v>
      </c>
      <c r="J123" s="13">
        <v>34.3</v>
      </c>
      <c r="K123" s="13">
        <v>176.8</v>
      </c>
      <c r="L123" s="14">
        <f t="shared" si="56"/>
        <v>90.06622516556291</v>
      </c>
      <c r="M123" s="13">
        <f t="shared" si="57"/>
        <v>76.66955767562878</v>
      </c>
      <c r="N123" s="13">
        <f>K123*100/D123</f>
        <v>145.7543281121187</v>
      </c>
    </row>
    <row r="124" spans="1:14" ht="16.5" customHeight="1">
      <c r="A124" s="41" t="s">
        <v>18</v>
      </c>
      <c r="B124" s="41"/>
      <c r="C124" s="38" t="s">
        <v>15</v>
      </c>
      <c r="D124" s="39"/>
      <c r="E124" s="39">
        <f t="shared" si="55"/>
        <v>50</v>
      </c>
      <c r="F124" s="21">
        <f t="shared" si="54"/>
        <v>50</v>
      </c>
      <c r="G124" s="39"/>
      <c r="H124" s="39"/>
      <c r="I124" s="13">
        <v>50</v>
      </c>
      <c r="J124" s="13"/>
      <c r="K124" s="13">
        <v>50</v>
      </c>
      <c r="L124" s="14">
        <f t="shared" si="56"/>
        <v>100</v>
      </c>
      <c r="M124" s="13">
        <f t="shared" si="57"/>
        <v>100</v>
      </c>
      <c r="N124" s="13"/>
    </row>
    <row r="125" spans="1:14" ht="17.25" customHeight="1">
      <c r="A125" s="43" t="s">
        <v>12</v>
      </c>
      <c r="B125" s="43"/>
      <c r="C125" s="38" t="s">
        <v>7</v>
      </c>
      <c r="D125" s="39"/>
      <c r="E125" s="39">
        <f t="shared" si="55"/>
        <v>9</v>
      </c>
      <c r="F125" s="21">
        <f t="shared" si="54"/>
        <v>9</v>
      </c>
      <c r="G125" s="39">
        <v>9</v>
      </c>
      <c r="H125" s="39"/>
      <c r="I125" s="13"/>
      <c r="J125" s="13"/>
      <c r="K125" s="13">
        <v>11.2</v>
      </c>
      <c r="L125" s="14">
        <f t="shared" si="56"/>
        <v>124.44444444444444</v>
      </c>
      <c r="M125" s="13">
        <f t="shared" si="57"/>
        <v>124.44444444444444</v>
      </c>
      <c r="N125" s="13"/>
    </row>
    <row r="126" spans="1:14" ht="14.25" customHeight="1">
      <c r="A126" s="41" t="s">
        <v>39</v>
      </c>
      <c r="B126" s="73"/>
      <c r="C126" s="46" t="s">
        <v>40</v>
      </c>
      <c r="D126" s="39"/>
      <c r="E126" s="39">
        <f t="shared" si="55"/>
        <v>0</v>
      </c>
      <c r="F126" s="21">
        <f t="shared" si="54"/>
        <v>0</v>
      </c>
      <c r="G126" s="39"/>
      <c r="H126" s="39"/>
      <c r="I126" s="13"/>
      <c r="J126" s="13"/>
      <c r="K126" s="13"/>
      <c r="L126" s="16"/>
      <c r="M126" s="15"/>
      <c r="N126" s="13"/>
    </row>
    <row r="127" spans="1:14" ht="12.75">
      <c r="A127" s="47" t="s">
        <v>1</v>
      </c>
      <c r="B127" s="47"/>
      <c r="C127" s="48" t="s">
        <v>0</v>
      </c>
      <c r="D127" s="17">
        <f aca="true" t="shared" si="58" ref="D127:K127">D128</f>
        <v>29006.8</v>
      </c>
      <c r="E127" s="17">
        <f t="shared" si="58"/>
        <v>51800.8</v>
      </c>
      <c r="F127" s="74">
        <f t="shared" si="58"/>
        <v>35719.3</v>
      </c>
      <c r="G127" s="74">
        <f t="shared" si="58"/>
        <v>5681</v>
      </c>
      <c r="H127" s="74">
        <f t="shared" si="58"/>
        <v>9134</v>
      </c>
      <c r="I127" s="74">
        <f t="shared" si="58"/>
        <v>20904.3</v>
      </c>
      <c r="J127" s="17">
        <f t="shared" si="58"/>
        <v>16081.5</v>
      </c>
      <c r="K127" s="17">
        <f t="shared" si="58"/>
        <v>31077.6</v>
      </c>
      <c r="L127" s="16">
        <f>K127*100/F127</f>
        <v>87.00506448894575</v>
      </c>
      <c r="M127" s="15">
        <f>K127*100/E127</f>
        <v>59.99444024030517</v>
      </c>
      <c r="N127" s="15">
        <f>K127*100/D127</f>
        <v>107.13901567908215</v>
      </c>
    </row>
    <row r="128" spans="1:14" ht="24">
      <c r="A128" s="49" t="s">
        <v>67</v>
      </c>
      <c r="B128" s="35"/>
      <c r="C128" s="50" t="s">
        <v>20</v>
      </c>
      <c r="D128" s="51">
        <v>29006.8</v>
      </c>
      <c r="E128" s="39">
        <f t="shared" si="55"/>
        <v>51800.8</v>
      </c>
      <c r="F128" s="21">
        <f t="shared" si="54"/>
        <v>35719.3</v>
      </c>
      <c r="G128" s="39">
        <v>5681</v>
      </c>
      <c r="H128" s="39">
        <v>9134</v>
      </c>
      <c r="I128" s="13">
        <v>20904.3</v>
      </c>
      <c r="J128" s="13">
        <v>16081.5</v>
      </c>
      <c r="K128" s="13">
        <v>31077.6</v>
      </c>
      <c r="L128" s="14">
        <f>K128*100/F128</f>
        <v>87.00506448894575</v>
      </c>
      <c r="M128" s="13">
        <f>K128*100/E128</f>
        <v>59.99444024030517</v>
      </c>
      <c r="N128" s="13">
        <f>K128*100/D128</f>
        <v>107.13901567908215</v>
      </c>
    </row>
    <row r="129" spans="1:14" ht="12.75">
      <c r="A129" s="43"/>
      <c r="B129" s="58"/>
      <c r="C129" s="59" t="s">
        <v>4</v>
      </c>
      <c r="D129" s="15">
        <f aca="true" t="shared" si="59" ref="D129:J129">D127+D115</f>
        <v>34060.6</v>
      </c>
      <c r="E129" s="15">
        <f t="shared" si="59"/>
        <v>57050.8</v>
      </c>
      <c r="F129" s="15">
        <f t="shared" si="59"/>
        <v>39479.3</v>
      </c>
      <c r="G129" s="15">
        <f t="shared" si="59"/>
        <v>6791.4</v>
      </c>
      <c r="H129" s="15">
        <f t="shared" si="59"/>
        <v>10487.1</v>
      </c>
      <c r="I129" s="15">
        <f t="shared" si="59"/>
        <v>22200.8</v>
      </c>
      <c r="J129" s="15">
        <f t="shared" si="59"/>
        <v>17571.5</v>
      </c>
      <c r="K129" s="15">
        <f>K127+K115</f>
        <v>35118.7</v>
      </c>
      <c r="L129" s="16">
        <f>K129*100/F129</f>
        <v>88.95471804211319</v>
      </c>
      <c r="M129" s="15">
        <f>K129*100/E129</f>
        <v>61.55689315487249</v>
      </c>
      <c r="N129" s="15">
        <f>K129*100/D129</f>
        <v>103.10652190507507</v>
      </c>
    </row>
    <row r="130" spans="1:14" ht="12.75">
      <c r="A130" s="88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16"/>
      <c r="M130" s="15"/>
      <c r="N130" s="13"/>
    </row>
    <row r="131" spans="1:14" ht="12.75">
      <c r="A131" s="91" t="s">
        <v>31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3"/>
    </row>
    <row r="132" spans="1:14" ht="12.75">
      <c r="A132" s="47" t="s">
        <v>3</v>
      </c>
      <c r="B132" s="47"/>
      <c r="C132" s="60" t="s">
        <v>68</v>
      </c>
      <c r="D132" s="16">
        <f aca="true" t="shared" si="60" ref="D132:J132">D133+D136+D137+D138+D140+D142+D139+D141+D134</f>
        <v>10033.1</v>
      </c>
      <c r="E132" s="16">
        <f t="shared" si="60"/>
        <v>10281.599999999999</v>
      </c>
      <c r="F132" s="16">
        <f t="shared" si="60"/>
        <v>7683.4</v>
      </c>
      <c r="G132" s="16">
        <f t="shared" si="60"/>
        <v>1784.1</v>
      </c>
      <c r="H132" s="16">
        <f t="shared" si="60"/>
        <v>3074.3</v>
      </c>
      <c r="I132" s="16">
        <f t="shared" si="60"/>
        <v>2825</v>
      </c>
      <c r="J132" s="16">
        <f t="shared" si="60"/>
        <v>2598.2</v>
      </c>
      <c r="K132" s="16">
        <f>K133+K136+K137+K138+K140+K142+K139+K141+K134+K135</f>
        <v>7909.799999999998</v>
      </c>
      <c r="L132" s="16">
        <f aca="true" t="shared" si="61" ref="L132:L140">K132*100/F132</f>
        <v>102.94661217690084</v>
      </c>
      <c r="M132" s="15">
        <f aca="true" t="shared" si="62" ref="M132:M140">K132*100/E132</f>
        <v>76.93160597572363</v>
      </c>
      <c r="N132" s="15">
        <f aca="true" t="shared" si="63" ref="N132:N139">K132*100/D132</f>
        <v>78.83704936659655</v>
      </c>
    </row>
    <row r="133" spans="1:14" ht="12.75">
      <c r="A133" s="43" t="s">
        <v>23</v>
      </c>
      <c r="B133" s="43"/>
      <c r="C133" s="38" t="s">
        <v>22</v>
      </c>
      <c r="D133" s="39">
        <v>2950</v>
      </c>
      <c r="E133" s="39">
        <f>G133+H133+I133+J133</f>
        <v>2950</v>
      </c>
      <c r="F133" s="21">
        <f aca="true" t="shared" si="64" ref="F133:F144">G133+H133+I133</f>
        <v>2242</v>
      </c>
      <c r="G133" s="51">
        <v>531</v>
      </c>
      <c r="H133" s="51">
        <v>914.5</v>
      </c>
      <c r="I133" s="12">
        <v>796.5</v>
      </c>
      <c r="J133" s="13">
        <v>708</v>
      </c>
      <c r="K133" s="13">
        <v>2147.4</v>
      </c>
      <c r="L133" s="14">
        <f t="shared" si="61"/>
        <v>95.78055307760928</v>
      </c>
      <c r="M133" s="13">
        <f t="shared" si="62"/>
        <v>72.79322033898305</v>
      </c>
      <c r="N133" s="13">
        <f t="shared" si="63"/>
        <v>72.79322033898305</v>
      </c>
    </row>
    <row r="134" spans="1:14" ht="12.75">
      <c r="A134" s="35" t="s">
        <v>70</v>
      </c>
      <c r="B134" s="35"/>
      <c r="C134" s="38" t="s">
        <v>71</v>
      </c>
      <c r="D134" s="39">
        <v>6359.1</v>
      </c>
      <c r="E134" s="39">
        <f>G134+H134+I134+J134</f>
        <v>6359.099999999999</v>
      </c>
      <c r="F134" s="21">
        <f t="shared" si="64"/>
        <v>4832.9</v>
      </c>
      <c r="G134" s="51">
        <v>1144.6</v>
      </c>
      <c r="H134" s="51">
        <v>1971.6</v>
      </c>
      <c r="I134" s="12">
        <v>1716.7</v>
      </c>
      <c r="J134" s="13">
        <v>1526.2</v>
      </c>
      <c r="K134" s="13">
        <v>5203.9</v>
      </c>
      <c r="L134" s="14">
        <f t="shared" si="61"/>
        <v>107.67655031140723</v>
      </c>
      <c r="M134" s="13">
        <f t="shared" si="62"/>
        <v>81.83390731392807</v>
      </c>
      <c r="N134" s="13">
        <f t="shared" si="63"/>
        <v>81.83390731392805</v>
      </c>
    </row>
    <row r="135" spans="1:14" ht="12.75">
      <c r="A135" s="35" t="s">
        <v>8</v>
      </c>
      <c r="B135" s="35"/>
      <c r="C135" s="38" t="s">
        <v>5</v>
      </c>
      <c r="D135" s="39"/>
      <c r="E135" s="39"/>
      <c r="F135" s="21">
        <f t="shared" si="64"/>
        <v>0</v>
      </c>
      <c r="G135" s="51"/>
      <c r="H135" s="51"/>
      <c r="I135" s="12"/>
      <c r="J135" s="13"/>
      <c r="K135" s="13">
        <v>0.2</v>
      </c>
      <c r="L135" s="14"/>
      <c r="M135" s="13"/>
      <c r="N135" s="13"/>
    </row>
    <row r="136" spans="1:14" ht="12.75">
      <c r="A136" s="35" t="s">
        <v>9</v>
      </c>
      <c r="B136" s="35"/>
      <c r="C136" s="38" t="s">
        <v>6</v>
      </c>
      <c r="D136" s="39">
        <v>394</v>
      </c>
      <c r="E136" s="39">
        <f aca="true" t="shared" si="65" ref="E136:E145">G136+H136+I136+J136</f>
        <v>394</v>
      </c>
      <c r="F136" s="21">
        <f t="shared" si="64"/>
        <v>249.60000000000002</v>
      </c>
      <c r="G136" s="51">
        <v>69.7</v>
      </c>
      <c r="H136" s="51">
        <v>95.1</v>
      </c>
      <c r="I136" s="12">
        <v>84.8</v>
      </c>
      <c r="J136" s="13">
        <v>144.4</v>
      </c>
      <c r="K136" s="13">
        <v>323.2</v>
      </c>
      <c r="L136" s="14">
        <f t="shared" si="61"/>
        <v>129.48717948717947</v>
      </c>
      <c r="M136" s="13">
        <f t="shared" si="62"/>
        <v>82.03045685279187</v>
      </c>
      <c r="N136" s="13">
        <f t="shared" si="63"/>
        <v>82.03045685279187</v>
      </c>
    </row>
    <row r="137" spans="1:14" ht="12.75">
      <c r="A137" s="35" t="s">
        <v>10</v>
      </c>
      <c r="B137" s="35"/>
      <c r="C137" s="38" t="s">
        <v>21</v>
      </c>
      <c r="D137" s="39">
        <v>10</v>
      </c>
      <c r="E137" s="39">
        <f t="shared" si="65"/>
        <v>15</v>
      </c>
      <c r="F137" s="21">
        <f t="shared" si="64"/>
        <v>10.5</v>
      </c>
      <c r="G137" s="51">
        <v>1.8</v>
      </c>
      <c r="H137" s="51">
        <v>3.9</v>
      </c>
      <c r="I137" s="12">
        <v>4.8</v>
      </c>
      <c r="J137" s="13">
        <v>4.5</v>
      </c>
      <c r="K137" s="13">
        <v>19.2</v>
      </c>
      <c r="L137" s="14">
        <f t="shared" si="61"/>
        <v>182.85714285714286</v>
      </c>
      <c r="M137" s="13">
        <f t="shared" si="62"/>
        <v>128</v>
      </c>
      <c r="N137" s="13">
        <f t="shared" si="63"/>
        <v>192</v>
      </c>
    </row>
    <row r="138" spans="1:14" ht="24">
      <c r="A138" s="40" t="s">
        <v>11</v>
      </c>
      <c r="B138" s="40"/>
      <c r="C138" s="38" t="s">
        <v>17</v>
      </c>
      <c r="D138" s="39">
        <v>220</v>
      </c>
      <c r="E138" s="39">
        <f t="shared" si="65"/>
        <v>444.29999999999995</v>
      </c>
      <c r="F138" s="21">
        <f t="shared" si="64"/>
        <v>254.2</v>
      </c>
      <c r="G138" s="51">
        <v>12</v>
      </c>
      <c r="H138" s="51">
        <v>45</v>
      </c>
      <c r="I138" s="12">
        <v>197.2</v>
      </c>
      <c r="J138" s="13">
        <v>190.1</v>
      </c>
      <c r="K138" s="13">
        <v>91.6</v>
      </c>
      <c r="L138" s="14">
        <f t="shared" si="61"/>
        <v>36.03461841070024</v>
      </c>
      <c r="M138" s="13">
        <f t="shared" si="62"/>
        <v>20.616700427638985</v>
      </c>
      <c r="N138" s="13">
        <f t="shared" si="63"/>
        <v>41.63636363636363</v>
      </c>
    </row>
    <row r="139" spans="1:14" ht="24">
      <c r="A139" s="42" t="s">
        <v>42</v>
      </c>
      <c r="B139" s="42"/>
      <c r="C139" s="38" t="s">
        <v>43</v>
      </c>
      <c r="D139" s="39">
        <v>100</v>
      </c>
      <c r="E139" s="39">
        <f t="shared" si="65"/>
        <v>119.2</v>
      </c>
      <c r="F139" s="21">
        <f t="shared" si="64"/>
        <v>94.2</v>
      </c>
      <c r="G139" s="51">
        <v>25</v>
      </c>
      <c r="H139" s="51">
        <v>44.2</v>
      </c>
      <c r="I139" s="12">
        <v>25</v>
      </c>
      <c r="J139" s="13">
        <v>25</v>
      </c>
      <c r="K139" s="13">
        <v>81.2</v>
      </c>
      <c r="L139" s="14">
        <f t="shared" si="61"/>
        <v>86.1995753715499</v>
      </c>
      <c r="M139" s="13">
        <f t="shared" si="62"/>
        <v>68.12080536912751</v>
      </c>
      <c r="N139" s="13">
        <f t="shared" si="63"/>
        <v>81.2</v>
      </c>
    </row>
    <row r="140" spans="1:14" ht="15.75" customHeight="1" hidden="1">
      <c r="A140" s="42" t="s">
        <v>18</v>
      </c>
      <c r="B140" s="42"/>
      <c r="C140" s="38" t="s">
        <v>15</v>
      </c>
      <c r="D140" s="39">
        <v>0</v>
      </c>
      <c r="E140" s="39">
        <f t="shared" si="65"/>
        <v>0</v>
      </c>
      <c r="F140" s="21">
        <f t="shared" si="64"/>
        <v>0</v>
      </c>
      <c r="G140" s="51"/>
      <c r="H140" s="51"/>
      <c r="I140" s="12"/>
      <c r="J140" s="13"/>
      <c r="K140" s="13"/>
      <c r="L140" s="14" t="e">
        <f t="shared" si="61"/>
        <v>#DIV/0!</v>
      </c>
      <c r="M140" s="13" t="e">
        <f t="shared" si="62"/>
        <v>#DIV/0!</v>
      </c>
      <c r="N140" s="13"/>
    </row>
    <row r="141" spans="1:14" ht="21" customHeight="1">
      <c r="A141" s="43" t="s">
        <v>12</v>
      </c>
      <c r="B141" s="43"/>
      <c r="C141" s="38" t="s">
        <v>7</v>
      </c>
      <c r="D141" s="39"/>
      <c r="E141" s="39">
        <f t="shared" si="65"/>
        <v>0</v>
      </c>
      <c r="F141" s="21">
        <f t="shared" si="64"/>
        <v>0</v>
      </c>
      <c r="G141" s="51"/>
      <c r="H141" s="51"/>
      <c r="I141" s="12"/>
      <c r="J141" s="13"/>
      <c r="K141" s="13">
        <v>25</v>
      </c>
      <c r="L141" s="14"/>
      <c r="M141" s="13"/>
      <c r="N141" s="13"/>
    </row>
    <row r="142" spans="1:14" ht="18" customHeight="1">
      <c r="A142" s="42" t="s">
        <v>39</v>
      </c>
      <c r="B142" s="73"/>
      <c r="C142" s="46" t="s">
        <v>40</v>
      </c>
      <c r="D142" s="39"/>
      <c r="E142" s="39">
        <f t="shared" si="65"/>
        <v>0</v>
      </c>
      <c r="F142" s="21">
        <f t="shared" si="64"/>
        <v>0</v>
      </c>
      <c r="G142" s="51"/>
      <c r="H142" s="51"/>
      <c r="I142" s="12"/>
      <c r="J142" s="13"/>
      <c r="K142" s="12">
        <v>18.1</v>
      </c>
      <c r="L142" s="14"/>
      <c r="M142" s="13"/>
      <c r="N142" s="13"/>
    </row>
    <row r="143" spans="1:14" ht="18" customHeight="1">
      <c r="A143" s="32" t="s">
        <v>1</v>
      </c>
      <c r="B143" s="32"/>
      <c r="C143" s="48" t="s">
        <v>0</v>
      </c>
      <c r="D143" s="17">
        <f aca="true" t="shared" si="66" ref="D143:K143">D144+D145+D146</f>
        <v>42946.5</v>
      </c>
      <c r="E143" s="17">
        <f t="shared" si="66"/>
        <v>69026</v>
      </c>
      <c r="F143" s="17">
        <f t="shared" si="66"/>
        <v>58935.1</v>
      </c>
      <c r="G143" s="17">
        <f t="shared" si="66"/>
        <v>9575.2</v>
      </c>
      <c r="H143" s="17">
        <f t="shared" si="66"/>
        <v>12141.2</v>
      </c>
      <c r="I143" s="17">
        <f t="shared" si="66"/>
        <v>37218.7</v>
      </c>
      <c r="J143" s="17">
        <f t="shared" si="66"/>
        <v>10090.9</v>
      </c>
      <c r="K143" s="17">
        <f t="shared" si="66"/>
        <v>35522.3</v>
      </c>
      <c r="L143" s="16">
        <f>K143*100/F143</f>
        <v>60.27358908358517</v>
      </c>
      <c r="M143" s="15">
        <f>K143*100/E143</f>
        <v>51.46220264827747</v>
      </c>
      <c r="N143" s="15">
        <f>K143*100/D143</f>
        <v>82.71291024879794</v>
      </c>
    </row>
    <row r="144" spans="1:14" ht="24">
      <c r="A144" s="49" t="s">
        <v>67</v>
      </c>
      <c r="B144" s="35"/>
      <c r="C144" s="50" t="s">
        <v>20</v>
      </c>
      <c r="D144" s="51">
        <v>42946.5</v>
      </c>
      <c r="E144" s="39">
        <f t="shared" si="65"/>
        <v>69026</v>
      </c>
      <c r="F144" s="21">
        <f t="shared" si="64"/>
        <v>58935.1</v>
      </c>
      <c r="G144" s="51">
        <v>9575.2</v>
      </c>
      <c r="H144" s="51">
        <v>12141.2</v>
      </c>
      <c r="I144" s="12">
        <v>37218.7</v>
      </c>
      <c r="J144" s="13">
        <v>10090.9</v>
      </c>
      <c r="K144" s="13">
        <v>35522.3</v>
      </c>
      <c r="L144" s="14">
        <f>K144*100/F144</f>
        <v>60.27358908358517</v>
      </c>
      <c r="M144" s="13">
        <f>K144*100/E144</f>
        <v>51.46220264827747</v>
      </c>
      <c r="N144" s="13">
        <f>K144*100/D144</f>
        <v>82.71291024879794</v>
      </c>
    </row>
    <row r="145" spans="1:14" ht="12.75" customHeight="1" hidden="1">
      <c r="A145" s="49" t="s">
        <v>2</v>
      </c>
      <c r="B145" s="49"/>
      <c r="C145" s="52" t="s">
        <v>19</v>
      </c>
      <c r="D145" s="52"/>
      <c r="E145" s="39">
        <f t="shared" si="65"/>
        <v>0</v>
      </c>
      <c r="F145" s="21">
        <f>G145</f>
        <v>0</v>
      </c>
      <c r="G145" s="71"/>
      <c r="H145" s="71"/>
      <c r="I145" s="12"/>
      <c r="J145" s="13"/>
      <c r="K145" s="13"/>
      <c r="L145" s="14"/>
      <c r="M145" s="13"/>
      <c r="N145" s="13"/>
    </row>
    <row r="146" spans="1:14" ht="33" customHeight="1" hidden="1">
      <c r="A146" s="49" t="s">
        <v>66</v>
      </c>
      <c r="B146" s="55"/>
      <c r="C146" s="56" t="s">
        <v>63</v>
      </c>
      <c r="D146" s="52"/>
      <c r="E146" s="39"/>
      <c r="F146" s="21">
        <f>G146</f>
        <v>0</v>
      </c>
      <c r="G146" s="71"/>
      <c r="H146" s="71"/>
      <c r="I146" s="12"/>
      <c r="J146" s="13"/>
      <c r="K146" s="13"/>
      <c r="L146" s="14"/>
      <c r="M146" s="13"/>
      <c r="N146" s="13"/>
    </row>
    <row r="147" spans="1:14" ht="12.75">
      <c r="A147" s="43"/>
      <c r="B147" s="58"/>
      <c r="C147" s="59" t="s">
        <v>4</v>
      </c>
      <c r="D147" s="15">
        <f aca="true" t="shared" si="67" ref="D147:K147">D143+D132</f>
        <v>52979.6</v>
      </c>
      <c r="E147" s="15">
        <f t="shared" si="67"/>
        <v>79307.6</v>
      </c>
      <c r="F147" s="15">
        <f t="shared" si="67"/>
        <v>66618.5</v>
      </c>
      <c r="G147" s="34">
        <f t="shared" si="67"/>
        <v>11359.300000000001</v>
      </c>
      <c r="H147" s="34">
        <f t="shared" si="67"/>
        <v>15215.5</v>
      </c>
      <c r="I147" s="34">
        <f t="shared" si="67"/>
        <v>40043.7</v>
      </c>
      <c r="J147" s="15">
        <f t="shared" si="67"/>
        <v>12689.099999999999</v>
      </c>
      <c r="K147" s="15">
        <f t="shared" si="67"/>
        <v>43432.1</v>
      </c>
      <c r="L147" s="16">
        <f>K147*100/F147</f>
        <v>65.19525357070484</v>
      </c>
      <c r="M147" s="15">
        <f>K147*100/E147</f>
        <v>54.764108357837074</v>
      </c>
      <c r="N147" s="15">
        <f>K147*100/D147</f>
        <v>81.97891263807202</v>
      </c>
    </row>
    <row r="148" spans="1:14" ht="12.75">
      <c r="A148" s="101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6"/>
      <c r="M148" s="15"/>
      <c r="N148" s="13"/>
    </row>
    <row r="149" spans="1:14" ht="12.75">
      <c r="A149" s="91" t="s">
        <v>32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3"/>
    </row>
    <row r="150" spans="1:14" ht="12.75">
      <c r="A150" s="47" t="s">
        <v>3</v>
      </c>
      <c r="B150" s="47"/>
      <c r="C150" s="60" t="s">
        <v>68</v>
      </c>
      <c r="D150" s="16">
        <f aca="true" t="shared" si="68" ref="D150:J150">D151+D154+D156+D158+D155+D159+D157+D160+D153+D152</f>
        <v>20058.2</v>
      </c>
      <c r="E150" s="16">
        <f t="shared" si="68"/>
        <v>20058.2</v>
      </c>
      <c r="F150" s="16">
        <f t="shared" si="68"/>
        <v>15726.099999999999</v>
      </c>
      <c r="G150" s="16">
        <f t="shared" si="68"/>
        <v>4954.4</v>
      </c>
      <c r="H150" s="16">
        <f t="shared" si="68"/>
        <v>5135.2</v>
      </c>
      <c r="I150" s="16">
        <f t="shared" si="68"/>
        <v>5636.5</v>
      </c>
      <c r="J150" s="16">
        <f t="shared" si="68"/>
        <v>4332.099999999999</v>
      </c>
      <c r="K150" s="16">
        <f>K151+K154+K156+K158+K155+K159+K157+K160+K153+K152-0.1</f>
        <v>15369.499999999998</v>
      </c>
      <c r="L150" s="16">
        <f aca="true" t="shared" si="69" ref="L150:L156">K150*100/F150</f>
        <v>97.7324320715244</v>
      </c>
      <c r="M150" s="15">
        <f aca="true" t="shared" si="70" ref="M150:M156">K150*100/E150</f>
        <v>76.62452263912014</v>
      </c>
      <c r="N150" s="15">
        <f aca="true" t="shared" si="71" ref="N150:N156">K150*100/D150</f>
        <v>76.62452263912014</v>
      </c>
    </row>
    <row r="151" spans="1:14" ht="12.75">
      <c r="A151" s="43" t="s">
        <v>23</v>
      </c>
      <c r="B151" s="43"/>
      <c r="C151" s="38" t="s">
        <v>22</v>
      </c>
      <c r="D151" s="39">
        <v>13450</v>
      </c>
      <c r="E151" s="51">
        <f>G151+H151+I151+J151</f>
        <v>13450</v>
      </c>
      <c r="F151" s="21">
        <f aca="true" t="shared" si="72" ref="F151:F162">G151+H151+I151</f>
        <v>10545.3</v>
      </c>
      <c r="G151" s="51">
        <v>3322.2</v>
      </c>
      <c r="H151" s="51">
        <v>3443.6</v>
      </c>
      <c r="I151" s="12">
        <v>3779.5</v>
      </c>
      <c r="J151" s="13">
        <v>2904.7</v>
      </c>
      <c r="K151" s="13">
        <v>10324.8</v>
      </c>
      <c r="L151" s="14">
        <f t="shared" si="69"/>
        <v>97.90902108048135</v>
      </c>
      <c r="M151" s="13">
        <f t="shared" si="70"/>
        <v>76.76431226765798</v>
      </c>
      <c r="N151" s="13">
        <f t="shared" si="71"/>
        <v>76.76431226765798</v>
      </c>
    </row>
    <row r="152" spans="1:14" ht="12.75">
      <c r="A152" s="35" t="s">
        <v>70</v>
      </c>
      <c r="B152" s="35"/>
      <c r="C152" s="38" t="s">
        <v>71</v>
      </c>
      <c r="D152" s="39">
        <v>4776.3</v>
      </c>
      <c r="E152" s="51">
        <f>G152+H152+I152+J152</f>
        <v>4776.3</v>
      </c>
      <c r="F152" s="21">
        <f t="shared" si="72"/>
        <v>3744.6000000000004</v>
      </c>
      <c r="G152" s="51">
        <v>1179.7</v>
      </c>
      <c r="H152" s="51">
        <v>1222.7</v>
      </c>
      <c r="I152" s="12">
        <v>1342.2</v>
      </c>
      <c r="J152" s="13">
        <v>1031.7</v>
      </c>
      <c r="K152" s="13">
        <v>3908.7</v>
      </c>
      <c r="L152" s="14">
        <f t="shared" si="69"/>
        <v>104.3823105271591</v>
      </c>
      <c r="M152" s="13">
        <f t="shared" si="70"/>
        <v>81.83531185227058</v>
      </c>
      <c r="N152" s="13">
        <f t="shared" si="71"/>
        <v>81.83531185227058</v>
      </c>
    </row>
    <row r="153" spans="1:14" ht="12.75" customHeight="1">
      <c r="A153" s="35" t="s">
        <v>8</v>
      </c>
      <c r="B153" s="35"/>
      <c r="C153" s="38" t="s">
        <v>5</v>
      </c>
      <c r="D153" s="39">
        <v>10</v>
      </c>
      <c r="E153" s="51">
        <f aca="true" t="shared" si="73" ref="E153:E162">G153+H153+I153+J153</f>
        <v>10</v>
      </c>
      <c r="F153" s="21">
        <f t="shared" si="72"/>
        <v>7.8</v>
      </c>
      <c r="G153" s="51">
        <v>2.5</v>
      </c>
      <c r="H153" s="51">
        <v>2.5</v>
      </c>
      <c r="I153" s="12">
        <v>2.8</v>
      </c>
      <c r="J153" s="13">
        <v>2.2</v>
      </c>
      <c r="K153" s="13">
        <v>11.2</v>
      </c>
      <c r="L153" s="14">
        <f t="shared" si="69"/>
        <v>143.5897435897436</v>
      </c>
      <c r="M153" s="13">
        <f t="shared" si="70"/>
        <v>112</v>
      </c>
      <c r="N153" s="13">
        <f t="shared" si="71"/>
        <v>112</v>
      </c>
    </row>
    <row r="154" spans="1:14" ht="12.75">
      <c r="A154" s="35" t="s">
        <v>9</v>
      </c>
      <c r="B154" s="35"/>
      <c r="C154" s="38" t="s">
        <v>6</v>
      </c>
      <c r="D154" s="39">
        <v>1510</v>
      </c>
      <c r="E154" s="51">
        <f t="shared" si="73"/>
        <v>1510</v>
      </c>
      <c r="F154" s="21">
        <f t="shared" si="72"/>
        <v>1183.9</v>
      </c>
      <c r="G154" s="51">
        <v>373</v>
      </c>
      <c r="H154" s="51">
        <v>386.6</v>
      </c>
      <c r="I154" s="12">
        <v>424.3</v>
      </c>
      <c r="J154" s="13">
        <v>326.1</v>
      </c>
      <c r="K154" s="13">
        <v>886.8</v>
      </c>
      <c r="L154" s="14">
        <f t="shared" si="69"/>
        <v>74.90497508235492</v>
      </c>
      <c r="M154" s="13">
        <f t="shared" si="70"/>
        <v>58.728476821192054</v>
      </c>
      <c r="N154" s="13">
        <f t="shared" si="71"/>
        <v>58.728476821192054</v>
      </c>
    </row>
    <row r="155" spans="1:14" ht="12.75">
      <c r="A155" s="35" t="s">
        <v>10</v>
      </c>
      <c r="B155" s="35"/>
      <c r="C155" s="38" t="s">
        <v>21</v>
      </c>
      <c r="D155" s="39">
        <v>145.1</v>
      </c>
      <c r="E155" s="51">
        <f t="shared" si="73"/>
        <v>145.1</v>
      </c>
      <c r="F155" s="21">
        <f t="shared" si="72"/>
        <v>113.7</v>
      </c>
      <c r="G155" s="51">
        <v>35.8</v>
      </c>
      <c r="H155" s="51">
        <v>37.1</v>
      </c>
      <c r="I155" s="12">
        <v>40.8</v>
      </c>
      <c r="J155" s="13">
        <v>31.4</v>
      </c>
      <c r="K155" s="13">
        <v>58</v>
      </c>
      <c r="L155" s="14">
        <f t="shared" si="69"/>
        <v>51.01143359718557</v>
      </c>
      <c r="M155" s="13">
        <f t="shared" si="70"/>
        <v>39.9724328049621</v>
      </c>
      <c r="N155" s="13">
        <f t="shared" si="71"/>
        <v>39.9724328049621</v>
      </c>
    </row>
    <row r="156" spans="1:14" ht="24">
      <c r="A156" s="40" t="s">
        <v>11</v>
      </c>
      <c r="B156" s="40"/>
      <c r="C156" s="38" t="s">
        <v>17</v>
      </c>
      <c r="D156" s="39">
        <v>166.8</v>
      </c>
      <c r="E156" s="51">
        <f t="shared" si="73"/>
        <v>166.8</v>
      </c>
      <c r="F156" s="21">
        <f t="shared" si="72"/>
        <v>130.8</v>
      </c>
      <c r="G156" s="51">
        <v>41.2</v>
      </c>
      <c r="H156" s="51">
        <v>42.7</v>
      </c>
      <c r="I156" s="12">
        <v>46.9</v>
      </c>
      <c r="J156" s="13">
        <v>36</v>
      </c>
      <c r="K156" s="13">
        <v>95.4</v>
      </c>
      <c r="L156" s="14">
        <f t="shared" si="69"/>
        <v>72.93577981651376</v>
      </c>
      <c r="M156" s="13">
        <f t="shared" si="70"/>
        <v>57.194244604316545</v>
      </c>
      <c r="N156" s="13">
        <f t="shared" si="71"/>
        <v>57.194244604316545</v>
      </c>
    </row>
    <row r="157" spans="1:14" ht="19.5" customHeight="1">
      <c r="A157" s="42" t="s">
        <v>42</v>
      </c>
      <c r="B157" s="42"/>
      <c r="C157" s="38" t="s">
        <v>43</v>
      </c>
      <c r="D157" s="39"/>
      <c r="E157" s="51">
        <f t="shared" si="73"/>
        <v>0</v>
      </c>
      <c r="F157" s="21">
        <f t="shared" si="72"/>
        <v>0</v>
      </c>
      <c r="G157" s="51"/>
      <c r="H157" s="51"/>
      <c r="I157" s="12"/>
      <c r="J157" s="13"/>
      <c r="K157" s="13">
        <v>24.7</v>
      </c>
      <c r="L157" s="14"/>
      <c r="M157" s="13"/>
      <c r="N157" s="13"/>
    </row>
    <row r="158" spans="1:14" ht="12" customHeight="1" hidden="1">
      <c r="A158" s="41" t="s">
        <v>18</v>
      </c>
      <c r="B158" s="41"/>
      <c r="C158" s="38" t="s">
        <v>15</v>
      </c>
      <c r="D158" s="39"/>
      <c r="E158" s="51">
        <f t="shared" si="73"/>
        <v>0</v>
      </c>
      <c r="F158" s="21">
        <f t="shared" si="72"/>
        <v>0</v>
      </c>
      <c r="G158" s="51"/>
      <c r="H158" s="51"/>
      <c r="I158" s="12"/>
      <c r="J158" s="13"/>
      <c r="K158" s="13"/>
      <c r="L158" s="14"/>
      <c r="M158" s="13"/>
      <c r="N158" s="13"/>
    </row>
    <row r="159" spans="1:14" ht="17.25" customHeight="1">
      <c r="A159" s="43" t="s">
        <v>12</v>
      </c>
      <c r="B159" s="43"/>
      <c r="C159" s="38" t="s">
        <v>7</v>
      </c>
      <c r="D159" s="39"/>
      <c r="E159" s="51">
        <f t="shared" si="73"/>
        <v>0</v>
      </c>
      <c r="F159" s="21">
        <f t="shared" si="72"/>
        <v>0</v>
      </c>
      <c r="G159" s="51"/>
      <c r="H159" s="51"/>
      <c r="I159" s="12"/>
      <c r="J159" s="13"/>
      <c r="K159" s="13">
        <v>60</v>
      </c>
      <c r="L159" s="14"/>
      <c r="M159" s="13"/>
      <c r="N159" s="13"/>
    </row>
    <row r="160" spans="1:14" ht="16.5" customHeight="1">
      <c r="A160" s="41" t="s">
        <v>39</v>
      </c>
      <c r="B160" s="61"/>
      <c r="C160" s="46" t="s">
        <v>40</v>
      </c>
      <c r="D160" s="39"/>
      <c r="E160" s="51">
        <f t="shared" si="73"/>
        <v>0</v>
      </c>
      <c r="F160" s="21">
        <f t="shared" si="72"/>
        <v>0</v>
      </c>
      <c r="G160" s="51"/>
      <c r="H160" s="51"/>
      <c r="I160" s="12"/>
      <c r="J160" s="13"/>
      <c r="K160" s="13"/>
      <c r="L160" s="16"/>
      <c r="M160" s="15"/>
      <c r="N160" s="13"/>
    </row>
    <row r="161" spans="1:14" ht="12.75">
      <c r="A161" s="47" t="s">
        <v>1</v>
      </c>
      <c r="B161" s="47"/>
      <c r="C161" s="48" t="s">
        <v>0</v>
      </c>
      <c r="D161" s="17">
        <f>D162+D163</f>
        <v>29590.9</v>
      </c>
      <c r="E161" s="17">
        <f>E162+E163</f>
        <v>55912.4</v>
      </c>
      <c r="F161" s="17">
        <f aca="true" t="shared" si="74" ref="F161:K161">F162+F163</f>
        <v>49520.8</v>
      </c>
      <c r="G161" s="17">
        <f t="shared" si="74"/>
        <v>8016.1</v>
      </c>
      <c r="H161" s="17">
        <f t="shared" si="74"/>
        <v>9856.6</v>
      </c>
      <c r="I161" s="17">
        <f t="shared" si="74"/>
        <v>31648.1</v>
      </c>
      <c r="J161" s="17">
        <f t="shared" si="74"/>
        <v>6391.6</v>
      </c>
      <c r="K161" s="17">
        <f t="shared" si="74"/>
        <v>23446</v>
      </c>
      <c r="L161" s="16">
        <f>K161*100/F161</f>
        <v>47.34576178090822</v>
      </c>
      <c r="M161" s="15">
        <f>K161*100/E161</f>
        <v>41.93345304440518</v>
      </c>
      <c r="N161" s="15">
        <f>K161*100/D161</f>
        <v>79.23381850501336</v>
      </c>
    </row>
    <row r="162" spans="1:14" ht="24">
      <c r="A162" s="49" t="s">
        <v>67</v>
      </c>
      <c r="B162" s="35"/>
      <c r="C162" s="50" t="s">
        <v>20</v>
      </c>
      <c r="D162" s="51">
        <v>29590.9</v>
      </c>
      <c r="E162" s="51">
        <f t="shared" si="73"/>
        <v>55912.4</v>
      </c>
      <c r="F162" s="21">
        <f t="shared" si="72"/>
        <v>49520.8</v>
      </c>
      <c r="G162" s="51">
        <f>7857.3+158.8</f>
        <v>8016.1</v>
      </c>
      <c r="H162" s="51">
        <v>9856.6</v>
      </c>
      <c r="I162" s="12">
        <v>31648.1</v>
      </c>
      <c r="J162" s="13">
        <v>6391.6</v>
      </c>
      <c r="K162" s="13">
        <v>23446</v>
      </c>
      <c r="L162" s="14">
        <f>K162*100/F162</f>
        <v>47.34576178090822</v>
      </c>
      <c r="M162" s="13">
        <f>K162*100/E162</f>
        <v>41.93345304440518</v>
      </c>
      <c r="N162" s="13">
        <f>K162*100/D162</f>
        <v>79.23381850501336</v>
      </c>
    </row>
    <row r="163" spans="1:14" ht="12.75" hidden="1">
      <c r="A163" s="49" t="s">
        <v>2</v>
      </c>
      <c r="B163" s="49"/>
      <c r="C163" s="52" t="s">
        <v>19</v>
      </c>
      <c r="D163" s="52"/>
      <c r="E163" s="51">
        <f>G163+H163+I163+J163</f>
        <v>0</v>
      </c>
      <c r="F163" s="39">
        <f>G163</f>
        <v>0</v>
      </c>
      <c r="G163" s="51"/>
      <c r="H163" s="51"/>
      <c r="I163" s="12"/>
      <c r="J163" s="13"/>
      <c r="K163" s="13"/>
      <c r="L163" s="14"/>
      <c r="M163" s="13"/>
      <c r="N163" s="13" t="e">
        <f>K163*100/D163</f>
        <v>#DIV/0!</v>
      </c>
    </row>
    <row r="164" spans="1:14" ht="12.75">
      <c r="A164" s="43"/>
      <c r="B164" s="58"/>
      <c r="C164" s="59" t="s">
        <v>4</v>
      </c>
      <c r="D164" s="15">
        <f aca="true" t="shared" si="75" ref="D164:K164">D161+D150</f>
        <v>49649.100000000006</v>
      </c>
      <c r="E164" s="15">
        <f t="shared" si="75"/>
        <v>75970.6</v>
      </c>
      <c r="F164" s="15">
        <f t="shared" si="75"/>
        <v>65246.9</v>
      </c>
      <c r="G164" s="15">
        <f t="shared" si="75"/>
        <v>12970.5</v>
      </c>
      <c r="H164" s="15">
        <f t="shared" si="75"/>
        <v>14991.8</v>
      </c>
      <c r="I164" s="15">
        <f t="shared" si="75"/>
        <v>37284.6</v>
      </c>
      <c r="J164" s="15">
        <f t="shared" si="75"/>
        <v>10723.7</v>
      </c>
      <c r="K164" s="15">
        <f t="shared" si="75"/>
        <v>38815.5</v>
      </c>
      <c r="L164" s="16">
        <f>K164*100/F164</f>
        <v>59.490182675345494</v>
      </c>
      <c r="M164" s="15">
        <f>K164*100/E164</f>
        <v>51.09279115868507</v>
      </c>
      <c r="N164" s="15">
        <f>K164*100/D164</f>
        <v>78.17966488818527</v>
      </c>
    </row>
    <row r="165" spans="1:14" ht="12.75">
      <c r="A165" s="88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16"/>
      <c r="M165" s="15"/>
      <c r="N165" s="13"/>
    </row>
    <row r="166" spans="1:14" ht="12.75">
      <c r="A166" s="91" t="s">
        <v>33</v>
      </c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3"/>
    </row>
    <row r="167" spans="1:14" ht="12.75">
      <c r="A167" s="47" t="s">
        <v>3</v>
      </c>
      <c r="B167" s="47"/>
      <c r="C167" s="60" t="s">
        <v>68</v>
      </c>
      <c r="D167" s="16">
        <f>D168+D171+D172+D173+D175+D176+D177+D174+D169+D170</f>
        <v>6717.4</v>
      </c>
      <c r="E167" s="16">
        <f>E168+E171+E172+E173+E175+E176+E177+E174+E169+E170</f>
        <v>7218.699999999999</v>
      </c>
      <c r="F167" s="16">
        <f aca="true" t="shared" si="76" ref="F167:K167">F168+F171+F172+F173+F175+F176+F177+F174+F169+F170</f>
        <v>5135.900000000001</v>
      </c>
      <c r="G167" s="16">
        <f t="shared" si="76"/>
        <v>1609.2</v>
      </c>
      <c r="H167" s="16">
        <f t="shared" si="76"/>
        <v>1889</v>
      </c>
      <c r="I167" s="16">
        <f t="shared" si="76"/>
        <v>1637.6999999999998</v>
      </c>
      <c r="J167" s="16">
        <f t="shared" si="76"/>
        <v>2082.8</v>
      </c>
      <c r="K167" s="16">
        <f t="shared" si="76"/>
        <v>5661.400000000001</v>
      </c>
      <c r="L167" s="16">
        <f>K167*100/F167</f>
        <v>110.23189703849373</v>
      </c>
      <c r="M167" s="15">
        <f aca="true" t="shared" si="77" ref="M167:M174">K167*100/E167</f>
        <v>78.42686356269135</v>
      </c>
      <c r="N167" s="15">
        <f>K167*100/D167</f>
        <v>84.27963200047638</v>
      </c>
    </row>
    <row r="168" spans="1:14" ht="12.75">
      <c r="A168" s="43" t="s">
        <v>23</v>
      </c>
      <c r="B168" s="43"/>
      <c r="C168" s="38" t="s">
        <v>22</v>
      </c>
      <c r="D168" s="39">
        <v>2900</v>
      </c>
      <c r="E168" s="51">
        <f>G168+H168+I168+J168</f>
        <v>2900</v>
      </c>
      <c r="F168" s="21">
        <f aca="true" t="shared" si="78" ref="F168:F180">G168+H168+I168</f>
        <v>2116.7</v>
      </c>
      <c r="G168" s="39">
        <v>720</v>
      </c>
      <c r="H168" s="39">
        <v>771.7</v>
      </c>
      <c r="I168" s="12">
        <v>625</v>
      </c>
      <c r="J168" s="13">
        <v>783.3</v>
      </c>
      <c r="K168" s="13">
        <v>2146.1</v>
      </c>
      <c r="L168" s="14">
        <f>K168*100/F168</f>
        <v>101.38895450465348</v>
      </c>
      <c r="M168" s="13">
        <f t="shared" si="77"/>
        <v>74.00344827586207</v>
      </c>
      <c r="N168" s="13">
        <f>K168*100/D168</f>
        <v>74.00344827586207</v>
      </c>
    </row>
    <row r="169" spans="1:14" ht="12.75">
      <c r="A169" s="35" t="s">
        <v>70</v>
      </c>
      <c r="B169" s="35"/>
      <c r="C169" s="38" t="s">
        <v>71</v>
      </c>
      <c r="D169" s="39">
        <v>2746.1</v>
      </c>
      <c r="E169" s="51">
        <f>G169+H169+I169+J169</f>
        <v>2746.1</v>
      </c>
      <c r="F169" s="21">
        <f t="shared" si="78"/>
        <v>2059.6</v>
      </c>
      <c r="G169" s="39">
        <v>686.6</v>
      </c>
      <c r="H169" s="39">
        <v>686.5</v>
      </c>
      <c r="I169" s="12">
        <v>686.5</v>
      </c>
      <c r="J169" s="13">
        <v>686.5</v>
      </c>
      <c r="K169" s="13">
        <v>2247.3</v>
      </c>
      <c r="L169" s="14">
        <f>K169*100/F169</f>
        <v>109.11342008156926</v>
      </c>
      <c r="M169" s="13">
        <f t="shared" si="77"/>
        <v>81.83605841010889</v>
      </c>
      <c r="N169" s="13">
        <f>K169*100/D169</f>
        <v>81.83605841010889</v>
      </c>
    </row>
    <row r="170" spans="1:14" ht="15" customHeight="1">
      <c r="A170" s="35" t="s">
        <v>8</v>
      </c>
      <c r="B170" s="35"/>
      <c r="C170" s="38" t="s">
        <v>5</v>
      </c>
      <c r="D170" s="39">
        <v>2</v>
      </c>
      <c r="E170" s="51">
        <f>G170+H170+I170+J170</f>
        <v>2</v>
      </c>
      <c r="F170" s="21">
        <f t="shared" si="78"/>
        <v>2</v>
      </c>
      <c r="G170" s="39"/>
      <c r="H170" s="39">
        <v>2</v>
      </c>
      <c r="I170" s="12"/>
      <c r="J170" s="13"/>
      <c r="K170" s="13">
        <v>0</v>
      </c>
      <c r="L170" s="14"/>
      <c r="M170" s="13">
        <f t="shared" si="77"/>
        <v>0</v>
      </c>
      <c r="N170" s="13"/>
    </row>
    <row r="171" spans="1:14" ht="12.75">
      <c r="A171" s="35" t="s">
        <v>9</v>
      </c>
      <c r="B171" s="35"/>
      <c r="C171" s="38" t="s">
        <v>6</v>
      </c>
      <c r="D171" s="39">
        <v>686</v>
      </c>
      <c r="E171" s="51">
        <f>G171+H171+I171+J171</f>
        <v>686</v>
      </c>
      <c r="F171" s="21">
        <f t="shared" si="78"/>
        <v>230.3</v>
      </c>
      <c r="G171" s="39"/>
      <c r="H171" s="39">
        <v>84.8</v>
      </c>
      <c r="I171" s="12">
        <v>145.5</v>
      </c>
      <c r="J171" s="13">
        <v>455.7</v>
      </c>
      <c r="K171" s="13">
        <v>394</v>
      </c>
      <c r="L171" s="14">
        <f aca="true" t="shared" si="79" ref="L171:L176">K171*100/F171</f>
        <v>171.08119843682152</v>
      </c>
      <c r="M171" s="13">
        <f t="shared" si="77"/>
        <v>57.434402332361515</v>
      </c>
      <c r="N171" s="13">
        <f>K171*100/D171</f>
        <v>57.434402332361515</v>
      </c>
    </row>
    <row r="172" spans="1:14" ht="12.75">
      <c r="A172" s="35" t="s">
        <v>10</v>
      </c>
      <c r="B172" s="35"/>
      <c r="C172" s="38" t="s">
        <v>21</v>
      </c>
      <c r="D172" s="39">
        <v>35</v>
      </c>
      <c r="E172" s="51">
        <f aca="true" t="shared" si="80" ref="E172:E179">G172+H172+I172+J172</f>
        <v>35</v>
      </c>
      <c r="F172" s="21">
        <f t="shared" si="78"/>
        <v>26.3</v>
      </c>
      <c r="G172" s="39">
        <v>8.7</v>
      </c>
      <c r="H172" s="39">
        <v>8.8</v>
      </c>
      <c r="I172" s="12">
        <v>8.8</v>
      </c>
      <c r="J172" s="13">
        <v>8.7</v>
      </c>
      <c r="K172" s="13">
        <v>20.7</v>
      </c>
      <c r="L172" s="14">
        <f t="shared" si="79"/>
        <v>78.70722433460075</v>
      </c>
      <c r="M172" s="13">
        <f t="shared" si="77"/>
        <v>59.142857142857146</v>
      </c>
      <c r="N172" s="13">
        <f>K172*100/D172</f>
        <v>59.142857142857146</v>
      </c>
    </row>
    <row r="173" spans="1:14" ht="24">
      <c r="A173" s="40" t="s">
        <v>11</v>
      </c>
      <c r="B173" s="40"/>
      <c r="C173" s="38" t="s">
        <v>17</v>
      </c>
      <c r="D173" s="39">
        <v>246.3</v>
      </c>
      <c r="E173" s="51">
        <f t="shared" si="80"/>
        <v>673</v>
      </c>
      <c r="F173" s="21">
        <f t="shared" si="78"/>
        <v>549.9</v>
      </c>
      <c r="G173" s="39">
        <v>130.8</v>
      </c>
      <c r="H173" s="39">
        <v>287.5</v>
      </c>
      <c r="I173" s="12">
        <v>131.6</v>
      </c>
      <c r="J173" s="13">
        <v>123.1</v>
      </c>
      <c r="K173" s="13">
        <v>695.7</v>
      </c>
      <c r="L173" s="14">
        <f t="shared" si="79"/>
        <v>126.5139116202946</v>
      </c>
      <c r="M173" s="13">
        <f t="shared" si="77"/>
        <v>103.37295690936106</v>
      </c>
      <c r="N173" s="13">
        <f>K173*100/D173</f>
        <v>282.4604141291108</v>
      </c>
    </row>
    <row r="174" spans="1:14" ht="23.25" customHeight="1">
      <c r="A174" s="42" t="s">
        <v>42</v>
      </c>
      <c r="B174" s="42"/>
      <c r="C174" s="38" t="s">
        <v>43</v>
      </c>
      <c r="D174" s="39">
        <v>102</v>
      </c>
      <c r="E174" s="51">
        <f t="shared" si="80"/>
        <v>120.4</v>
      </c>
      <c r="F174" s="21">
        <f t="shared" si="78"/>
        <v>94.9</v>
      </c>
      <c r="G174" s="39">
        <f>25.5+18.4</f>
        <v>43.9</v>
      </c>
      <c r="H174" s="39">
        <v>25.5</v>
      </c>
      <c r="I174" s="12">
        <v>25.5</v>
      </c>
      <c r="J174" s="13">
        <v>25.5</v>
      </c>
      <c r="K174" s="13">
        <v>101.4</v>
      </c>
      <c r="L174" s="14">
        <f t="shared" si="79"/>
        <v>106.84931506849314</v>
      </c>
      <c r="M174" s="13">
        <f t="shared" si="77"/>
        <v>84.21926910299003</v>
      </c>
      <c r="N174" s="13">
        <f>K174*100/D174</f>
        <v>99.41176470588235</v>
      </c>
    </row>
    <row r="175" spans="1:14" ht="20.25" customHeight="1">
      <c r="A175" s="41" t="s">
        <v>18</v>
      </c>
      <c r="B175" s="41"/>
      <c r="C175" s="38" t="s">
        <v>15</v>
      </c>
      <c r="D175" s="39"/>
      <c r="E175" s="51">
        <f t="shared" si="80"/>
        <v>14.8</v>
      </c>
      <c r="F175" s="21">
        <f t="shared" si="78"/>
        <v>14.8</v>
      </c>
      <c r="G175" s="39"/>
      <c r="H175" s="39"/>
      <c r="I175" s="12">
        <v>14.8</v>
      </c>
      <c r="J175" s="13"/>
      <c r="K175" s="13">
        <v>14.8</v>
      </c>
      <c r="L175" s="14">
        <f t="shared" si="79"/>
        <v>100</v>
      </c>
      <c r="M175" s="13">
        <f>K175*100/E175</f>
        <v>100</v>
      </c>
      <c r="N175" s="13"/>
    </row>
    <row r="176" spans="1:14" ht="17.25" customHeight="1">
      <c r="A176" s="43" t="s">
        <v>12</v>
      </c>
      <c r="B176" s="43"/>
      <c r="C176" s="38" t="s">
        <v>7</v>
      </c>
      <c r="D176" s="39"/>
      <c r="E176" s="51">
        <f t="shared" si="80"/>
        <v>41.4</v>
      </c>
      <c r="F176" s="21">
        <f t="shared" si="78"/>
        <v>41.4</v>
      </c>
      <c r="G176" s="39">
        <v>19.2</v>
      </c>
      <c r="H176" s="39">
        <v>22.2</v>
      </c>
      <c r="I176" s="12"/>
      <c r="J176" s="13"/>
      <c r="K176" s="13">
        <v>41.4</v>
      </c>
      <c r="L176" s="14">
        <f t="shared" si="79"/>
        <v>100</v>
      </c>
      <c r="M176" s="13">
        <f>K176*100/E176</f>
        <v>100</v>
      </c>
      <c r="N176" s="13"/>
    </row>
    <row r="177" spans="1:14" ht="14.25" customHeight="1">
      <c r="A177" s="63" t="s">
        <v>39</v>
      </c>
      <c r="B177" s="45"/>
      <c r="C177" s="46" t="s">
        <v>40</v>
      </c>
      <c r="D177" s="39"/>
      <c r="E177" s="51">
        <f t="shared" si="80"/>
        <v>0</v>
      </c>
      <c r="F177" s="21">
        <f t="shared" si="78"/>
        <v>0</v>
      </c>
      <c r="G177" s="39"/>
      <c r="H177" s="39"/>
      <c r="I177" s="12"/>
      <c r="J177" s="13"/>
      <c r="K177" s="13"/>
      <c r="L177" s="16"/>
      <c r="M177" s="15"/>
      <c r="N177" s="13"/>
    </row>
    <row r="178" spans="1:14" ht="12.75">
      <c r="A178" s="47" t="s">
        <v>1</v>
      </c>
      <c r="B178" s="47"/>
      <c r="C178" s="48" t="s">
        <v>0</v>
      </c>
      <c r="D178" s="17">
        <f aca="true" t="shared" si="81" ref="D178:K178">D179+D180</f>
        <v>24541.8</v>
      </c>
      <c r="E178" s="17">
        <f t="shared" si="81"/>
        <v>35774.6</v>
      </c>
      <c r="F178" s="74">
        <f t="shared" si="81"/>
        <v>29137.4</v>
      </c>
      <c r="G178" s="74">
        <f t="shared" si="81"/>
        <v>6310</v>
      </c>
      <c r="H178" s="74">
        <f t="shared" si="81"/>
        <v>8762</v>
      </c>
      <c r="I178" s="17">
        <f t="shared" si="81"/>
        <v>14065.4</v>
      </c>
      <c r="J178" s="17">
        <f t="shared" si="81"/>
        <v>6637.2</v>
      </c>
      <c r="K178" s="17">
        <f t="shared" si="81"/>
        <v>22317.4</v>
      </c>
      <c r="L178" s="16">
        <f>K178*100/F178</f>
        <v>76.59365626308455</v>
      </c>
      <c r="M178" s="15">
        <f>K178*100/E178</f>
        <v>62.3833669698613</v>
      </c>
      <c r="N178" s="15">
        <f>K178*100/D178</f>
        <v>90.93628014245084</v>
      </c>
    </row>
    <row r="179" spans="1:14" ht="23.25" customHeight="1">
      <c r="A179" s="49" t="s">
        <v>67</v>
      </c>
      <c r="B179" s="35"/>
      <c r="C179" s="50" t="s">
        <v>20</v>
      </c>
      <c r="D179" s="51">
        <v>24541.8</v>
      </c>
      <c r="E179" s="51">
        <f t="shared" si="80"/>
        <v>35724.6</v>
      </c>
      <c r="F179" s="21">
        <f t="shared" si="78"/>
        <v>29087.4</v>
      </c>
      <c r="G179" s="39">
        <f>6166.9+143.1</f>
        <v>6310</v>
      </c>
      <c r="H179" s="39">
        <v>8712</v>
      </c>
      <c r="I179" s="12">
        <v>14065.4</v>
      </c>
      <c r="J179" s="13">
        <v>6637.2</v>
      </c>
      <c r="K179" s="13">
        <v>22267.4</v>
      </c>
      <c r="L179" s="14">
        <f>K179*100/F179</f>
        <v>76.55342175649938</v>
      </c>
      <c r="M179" s="13">
        <f>K179*100/E179</f>
        <v>62.330718888385036</v>
      </c>
      <c r="N179" s="13">
        <f>K179*100/D179</f>
        <v>90.73254610501267</v>
      </c>
    </row>
    <row r="180" spans="1:14" ht="19.5" customHeight="1">
      <c r="A180" s="49" t="s">
        <v>82</v>
      </c>
      <c r="B180" s="49"/>
      <c r="C180" s="52" t="s">
        <v>19</v>
      </c>
      <c r="D180" s="53"/>
      <c r="E180" s="51">
        <f>G180+H180+I180+J180</f>
        <v>50</v>
      </c>
      <c r="F180" s="21">
        <f t="shared" si="78"/>
        <v>50</v>
      </c>
      <c r="G180" s="53"/>
      <c r="H180" s="53">
        <v>50</v>
      </c>
      <c r="I180" s="12"/>
      <c r="J180" s="13"/>
      <c r="K180" s="13">
        <v>50</v>
      </c>
      <c r="L180" s="14">
        <f>K180*100/F180</f>
        <v>100</v>
      </c>
      <c r="M180" s="13">
        <f>K180*100/E180</f>
        <v>100</v>
      </c>
      <c r="N180" s="13"/>
    </row>
    <row r="181" spans="1:14" ht="12.75">
      <c r="A181" s="43"/>
      <c r="B181" s="58"/>
      <c r="C181" s="59" t="s">
        <v>4</v>
      </c>
      <c r="D181" s="15">
        <f aca="true" t="shared" si="82" ref="D181:K181">D178+D167</f>
        <v>31259.199999999997</v>
      </c>
      <c r="E181" s="15">
        <f t="shared" si="82"/>
        <v>42993.299999999996</v>
      </c>
      <c r="F181" s="15">
        <f t="shared" si="82"/>
        <v>34273.3</v>
      </c>
      <c r="G181" s="15">
        <f t="shared" si="82"/>
        <v>7919.2</v>
      </c>
      <c r="H181" s="15">
        <f t="shared" si="82"/>
        <v>10651</v>
      </c>
      <c r="I181" s="15">
        <f t="shared" si="82"/>
        <v>15703.099999999999</v>
      </c>
      <c r="J181" s="15">
        <f t="shared" si="82"/>
        <v>8720</v>
      </c>
      <c r="K181" s="15">
        <f t="shared" si="82"/>
        <v>27978.800000000003</v>
      </c>
      <c r="L181" s="16">
        <f>K181*100/F181</f>
        <v>81.63439178602586</v>
      </c>
      <c r="M181" s="15">
        <f>K181*100/E181</f>
        <v>65.07711666701557</v>
      </c>
      <c r="N181" s="15">
        <f>K181*100/D181</f>
        <v>89.50580948968626</v>
      </c>
    </row>
    <row r="182" spans="1:14" ht="12.75">
      <c r="A182" s="88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16"/>
      <c r="M182" s="15"/>
      <c r="N182" s="13"/>
    </row>
    <row r="183" spans="1:14" ht="12.75">
      <c r="A183" s="91" t="s">
        <v>34</v>
      </c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3"/>
    </row>
    <row r="184" spans="1:14" ht="12.75">
      <c r="A184" s="47" t="s">
        <v>3</v>
      </c>
      <c r="B184" s="47"/>
      <c r="C184" s="60" t="s">
        <v>68</v>
      </c>
      <c r="D184" s="16">
        <f aca="true" t="shared" si="83" ref="D184:J184">D185+D187+D188+D189+D190+D192+D194+D193+D191+D186</f>
        <v>24972.1</v>
      </c>
      <c r="E184" s="16">
        <f t="shared" si="83"/>
        <v>27927.899999999998</v>
      </c>
      <c r="F184" s="16">
        <f t="shared" si="83"/>
        <v>20404.699999999997</v>
      </c>
      <c r="G184" s="16">
        <f t="shared" si="83"/>
        <v>7431.3</v>
      </c>
      <c r="H184" s="16">
        <f t="shared" si="83"/>
        <v>6282.1</v>
      </c>
      <c r="I184" s="16">
        <f t="shared" si="83"/>
        <v>6691.3</v>
      </c>
      <c r="J184" s="16">
        <f t="shared" si="83"/>
        <v>7523.2</v>
      </c>
      <c r="K184" s="16">
        <f>K185+K187+K188+K189+K190+K192+K194+K193+K191+K186</f>
        <v>22842.600000000002</v>
      </c>
      <c r="L184" s="16">
        <f aca="true" t="shared" si="84" ref="L184:L191">K184*100/F184</f>
        <v>111.94773753105903</v>
      </c>
      <c r="M184" s="15">
        <f aca="true" t="shared" si="85" ref="M184:M191">K184*100/E184</f>
        <v>81.79132695261728</v>
      </c>
      <c r="N184" s="15">
        <f aca="true" t="shared" si="86" ref="N184:N191">K184*100/D184</f>
        <v>91.47248329135316</v>
      </c>
    </row>
    <row r="185" spans="1:14" ht="12.75">
      <c r="A185" s="43" t="s">
        <v>23</v>
      </c>
      <c r="B185" s="43"/>
      <c r="C185" s="38" t="s">
        <v>22</v>
      </c>
      <c r="D185" s="39">
        <v>16900</v>
      </c>
      <c r="E185" s="51">
        <f>G185+H185+I185+J185</f>
        <v>16902.1</v>
      </c>
      <c r="F185" s="21">
        <f aca="true" t="shared" si="87" ref="F185:F196">G185+H185+I185</f>
        <v>12674.1</v>
      </c>
      <c r="G185" s="51">
        <v>4224</v>
      </c>
      <c r="H185" s="51">
        <v>4226.1</v>
      </c>
      <c r="I185" s="12">
        <v>4224</v>
      </c>
      <c r="J185" s="13">
        <v>4228</v>
      </c>
      <c r="K185" s="13">
        <v>13719.8</v>
      </c>
      <c r="L185" s="14">
        <f t="shared" si="84"/>
        <v>108.25068446674715</v>
      </c>
      <c r="M185" s="13">
        <f t="shared" si="85"/>
        <v>81.17216203903658</v>
      </c>
      <c r="N185" s="13">
        <f t="shared" si="86"/>
        <v>81.18224852071006</v>
      </c>
    </row>
    <row r="186" spans="1:14" ht="12.75">
      <c r="A186" s="35" t="s">
        <v>70</v>
      </c>
      <c r="B186" s="35"/>
      <c r="C186" s="38" t="s">
        <v>71</v>
      </c>
      <c r="D186" s="39">
        <v>4105.1</v>
      </c>
      <c r="E186" s="51">
        <f>G186+H186+I186+J186</f>
        <v>4105.099999999999</v>
      </c>
      <c r="F186" s="21">
        <f t="shared" si="87"/>
        <v>3072.8999999999996</v>
      </c>
      <c r="G186" s="51">
        <v>1024.3</v>
      </c>
      <c r="H186" s="51">
        <v>1024.3</v>
      </c>
      <c r="I186" s="12">
        <v>1024.3</v>
      </c>
      <c r="J186" s="13">
        <v>1032.2</v>
      </c>
      <c r="K186" s="13">
        <v>3359.4</v>
      </c>
      <c r="L186" s="14">
        <f t="shared" si="84"/>
        <v>109.32344039832081</v>
      </c>
      <c r="M186" s="13">
        <f t="shared" si="85"/>
        <v>81.83479086989355</v>
      </c>
      <c r="N186" s="13">
        <f t="shared" si="86"/>
        <v>81.83479086989354</v>
      </c>
    </row>
    <row r="187" spans="1:14" ht="16.5" customHeight="1">
      <c r="A187" s="35" t="s">
        <v>8</v>
      </c>
      <c r="B187" s="35"/>
      <c r="C187" s="38" t="s">
        <v>5</v>
      </c>
      <c r="D187" s="39"/>
      <c r="E187" s="51">
        <f aca="true" t="shared" si="88" ref="E187:E196">G187+H187+I187+J187</f>
        <v>0.9</v>
      </c>
      <c r="F187" s="21">
        <f t="shared" si="87"/>
        <v>0.9</v>
      </c>
      <c r="G187" s="51"/>
      <c r="H187" s="51">
        <v>0.9</v>
      </c>
      <c r="I187" s="12"/>
      <c r="J187" s="13"/>
      <c r="K187" s="13">
        <v>0.9</v>
      </c>
      <c r="L187" s="14"/>
      <c r="M187" s="13"/>
      <c r="N187" s="13"/>
    </row>
    <row r="188" spans="1:14" ht="12.75">
      <c r="A188" s="35" t="s">
        <v>9</v>
      </c>
      <c r="B188" s="35"/>
      <c r="C188" s="38" t="s">
        <v>6</v>
      </c>
      <c r="D188" s="39">
        <v>2860</v>
      </c>
      <c r="E188" s="51">
        <f t="shared" si="88"/>
        <v>2860</v>
      </c>
      <c r="F188" s="21">
        <f t="shared" si="87"/>
        <v>905</v>
      </c>
      <c r="G188" s="51">
        <v>345</v>
      </c>
      <c r="H188" s="51">
        <v>280</v>
      </c>
      <c r="I188" s="12">
        <v>280</v>
      </c>
      <c r="J188" s="13">
        <v>1955</v>
      </c>
      <c r="K188" s="13">
        <v>1929.7</v>
      </c>
      <c r="L188" s="14">
        <f t="shared" si="84"/>
        <v>213.22651933701658</v>
      </c>
      <c r="M188" s="13">
        <f t="shared" si="85"/>
        <v>67.47202797202797</v>
      </c>
      <c r="N188" s="13">
        <f t="shared" si="86"/>
        <v>67.47202797202797</v>
      </c>
    </row>
    <row r="189" spans="1:14" ht="12.75">
      <c r="A189" s="35" t="s">
        <v>10</v>
      </c>
      <c r="B189" s="35"/>
      <c r="C189" s="38" t="s">
        <v>21</v>
      </c>
      <c r="D189" s="39">
        <v>182</v>
      </c>
      <c r="E189" s="51">
        <f t="shared" si="88"/>
        <v>182</v>
      </c>
      <c r="F189" s="21">
        <f t="shared" si="87"/>
        <v>124</v>
      </c>
      <c r="G189" s="51">
        <v>51</v>
      </c>
      <c r="H189" s="51">
        <v>35</v>
      </c>
      <c r="I189" s="12">
        <v>38</v>
      </c>
      <c r="J189" s="13">
        <v>58</v>
      </c>
      <c r="K189" s="13">
        <v>127.9</v>
      </c>
      <c r="L189" s="14">
        <f t="shared" si="84"/>
        <v>103.14516129032258</v>
      </c>
      <c r="M189" s="13">
        <f t="shared" si="85"/>
        <v>70.27472527472527</v>
      </c>
      <c r="N189" s="13">
        <f t="shared" si="86"/>
        <v>70.27472527472527</v>
      </c>
    </row>
    <row r="190" spans="1:14" ht="24">
      <c r="A190" s="40" t="s">
        <v>11</v>
      </c>
      <c r="B190" s="40"/>
      <c r="C190" s="38" t="s">
        <v>17</v>
      </c>
      <c r="D190" s="39">
        <v>760</v>
      </c>
      <c r="E190" s="51">
        <f t="shared" si="88"/>
        <v>760</v>
      </c>
      <c r="F190" s="21">
        <f t="shared" si="87"/>
        <v>585</v>
      </c>
      <c r="G190" s="51">
        <v>241</v>
      </c>
      <c r="H190" s="51">
        <v>221</v>
      </c>
      <c r="I190" s="12">
        <v>123</v>
      </c>
      <c r="J190" s="13">
        <v>175</v>
      </c>
      <c r="K190" s="13">
        <v>548.2</v>
      </c>
      <c r="L190" s="14">
        <f t="shared" si="84"/>
        <v>93.70940170940172</v>
      </c>
      <c r="M190" s="13">
        <f t="shared" si="85"/>
        <v>72.13157894736842</v>
      </c>
      <c r="N190" s="13">
        <f t="shared" si="86"/>
        <v>72.13157894736842</v>
      </c>
    </row>
    <row r="191" spans="1:14" ht="24">
      <c r="A191" s="41" t="s">
        <v>42</v>
      </c>
      <c r="B191" s="42"/>
      <c r="C191" s="38" t="s">
        <v>43</v>
      </c>
      <c r="D191" s="39">
        <v>165</v>
      </c>
      <c r="E191" s="51">
        <f t="shared" si="88"/>
        <v>196.8</v>
      </c>
      <c r="F191" s="21">
        <f t="shared" si="87"/>
        <v>121.8</v>
      </c>
      <c r="G191" s="51">
        <v>45</v>
      </c>
      <c r="H191" s="51">
        <v>46.8</v>
      </c>
      <c r="I191" s="12">
        <v>30</v>
      </c>
      <c r="J191" s="13">
        <v>75</v>
      </c>
      <c r="K191" s="13">
        <v>150</v>
      </c>
      <c r="L191" s="14">
        <f t="shared" si="84"/>
        <v>123.15270935960591</v>
      </c>
      <c r="M191" s="13">
        <f t="shared" si="85"/>
        <v>76.21951219512195</v>
      </c>
      <c r="N191" s="13">
        <f t="shared" si="86"/>
        <v>90.9090909090909</v>
      </c>
    </row>
    <row r="192" spans="1:14" ht="24" customHeight="1">
      <c r="A192" s="41" t="s">
        <v>18</v>
      </c>
      <c r="B192" s="42"/>
      <c r="C192" s="38" t="s">
        <v>15</v>
      </c>
      <c r="D192" s="39"/>
      <c r="E192" s="51">
        <f t="shared" si="88"/>
        <v>2920</v>
      </c>
      <c r="F192" s="21">
        <f t="shared" si="87"/>
        <v>2920</v>
      </c>
      <c r="G192" s="51">
        <v>1501</v>
      </c>
      <c r="H192" s="51">
        <v>447</v>
      </c>
      <c r="I192" s="12">
        <v>972</v>
      </c>
      <c r="J192" s="13"/>
      <c r="K192" s="13">
        <v>2920</v>
      </c>
      <c r="L192" s="14">
        <f>K192*100/F192</f>
        <v>100</v>
      </c>
      <c r="M192" s="13">
        <f>K192*100/E192</f>
        <v>100</v>
      </c>
      <c r="N192" s="13"/>
    </row>
    <row r="193" spans="1:14" ht="18" customHeight="1">
      <c r="A193" s="43" t="s">
        <v>12</v>
      </c>
      <c r="B193" s="43"/>
      <c r="C193" s="38" t="s">
        <v>7</v>
      </c>
      <c r="D193" s="39"/>
      <c r="E193" s="51">
        <f t="shared" si="88"/>
        <v>1</v>
      </c>
      <c r="F193" s="21">
        <f t="shared" si="87"/>
        <v>1</v>
      </c>
      <c r="G193" s="51"/>
      <c r="H193" s="51">
        <v>1</v>
      </c>
      <c r="I193" s="12"/>
      <c r="J193" s="13"/>
      <c r="K193" s="13">
        <v>86.7</v>
      </c>
      <c r="L193" s="14">
        <f>K193*100/F193</f>
        <v>8670</v>
      </c>
      <c r="M193" s="13">
        <f>K193*100/E193</f>
        <v>8670</v>
      </c>
      <c r="N193" s="13"/>
    </row>
    <row r="194" spans="1:14" ht="15" customHeight="1">
      <c r="A194" s="63" t="s">
        <v>39</v>
      </c>
      <c r="B194" s="45"/>
      <c r="C194" s="46" t="s">
        <v>40</v>
      </c>
      <c r="D194" s="39"/>
      <c r="E194" s="51">
        <f t="shared" si="88"/>
        <v>0</v>
      </c>
      <c r="F194" s="21">
        <f t="shared" si="87"/>
        <v>0</v>
      </c>
      <c r="G194" s="51"/>
      <c r="H194" s="75"/>
      <c r="I194" s="12"/>
      <c r="J194" s="13"/>
      <c r="K194" s="13"/>
      <c r="L194" s="16"/>
      <c r="M194" s="15"/>
      <c r="N194" s="13"/>
    </row>
    <row r="195" spans="1:14" ht="12.75">
      <c r="A195" s="32" t="s">
        <v>1</v>
      </c>
      <c r="B195" s="47"/>
      <c r="C195" s="48" t="s">
        <v>0</v>
      </c>
      <c r="D195" s="34">
        <f aca="true" t="shared" si="89" ref="D195:K195">D196</f>
        <v>25429.7</v>
      </c>
      <c r="E195" s="34">
        <f t="shared" si="89"/>
        <v>40534.100000000006</v>
      </c>
      <c r="F195" s="34">
        <f t="shared" si="89"/>
        <v>34372.3</v>
      </c>
      <c r="G195" s="34">
        <f t="shared" si="89"/>
        <v>7739.400000000001</v>
      </c>
      <c r="H195" s="34">
        <f t="shared" si="89"/>
        <v>17547.9</v>
      </c>
      <c r="I195" s="34">
        <f t="shared" si="89"/>
        <v>9085</v>
      </c>
      <c r="J195" s="34">
        <f t="shared" si="89"/>
        <v>6161.8</v>
      </c>
      <c r="K195" s="34">
        <f t="shared" si="89"/>
        <v>22836.7</v>
      </c>
      <c r="L195" s="16">
        <f>K195*100/F195</f>
        <v>66.4392548651094</v>
      </c>
      <c r="M195" s="15">
        <f>K195*100/E195</f>
        <v>56.3394771316003</v>
      </c>
      <c r="N195" s="15">
        <f>K195*100/D195</f>
        <v>89.80326154063948</v>
      </c>
    </row>
    <row r="196" spans="1:14" ht="24">
      <c r="A196" s="76" t="s">
        <v>67</v>
      </c>
      <c r="B196" s="35"/>
      <c r="C196" s="50" t="s">
        <v>20</v>
      </c>
      <c r="D196" s="51">
        <v>25429.7</v>
      </c>
      <c r="E196" s="51">
        <f t="shared" si="88"/>
        <v>40534.100000000006</v>
      </c>
      <c r="F196" s="21">
        <f t="shared" si="87"/>
        <v>34372.3</v>
      </c>
      <c r="G196" s="51">
        <f>7583.3+156.1</f>
        <v>7739.400000000001</v>
      </c>
      <c r="H196" s="51">
        <v>17547.9</v>
      </c>
      <c r="I196" s="12">
        <v>9085</v>
      </c>
      <c r="J196" s="13">
        <v>6161.8</v>
      </c>
      <c r="K196" s="13">
        <v>22836.7</v>
      </c>
      <c r="L196" s="14">
        <f>K196*100/F196</f>
        <v>66.4392548651094</v>
      </c>
      <c r="M196" s="13">
        <f>K196*100/E196</f>
        <v>56.3394771316003</v>
      </c>
      <c r="N196" s="13">
        <f>K196*100/D196</f>
        <v>89.80326154063948</v>
      </c>
    </row>
    <row r="197" spans="1:14" ht="12.75">
      <c r="A197" s="43"/>
      <c r="B197" s="58"/>
      <c r="C197" s="59" t="s">
        <v>4</v>
      </c>
      <c r="D197" s="15">
        <f aca="true" t="shared" si="90" ref="D197:K197">D195+D184</f>
        <v>50401.8</v>
      </c>
      <c r="E197" s="15">
        <f t="shared" si="90"/>
        <v>68462</v>
      </c>
      <c r="F197" s="15">
        <f t="shared" si="90"/>
        <v>54777</v>
      </c>
      <c r="G197" s="15">
        <f t="shared" si="90"/>
        <v>15170.7</v>
      </c>
      <c r="H197" s="15">
        <f t="shared" si="90"/>
        <v>23830</v>
      </c>
      <c r="I197" s="15">
        <f t="shared" si="90"/>
        <v>15776.3</v>
      </c>
      <c r="J197" s="15">
        <f t="shared" si="90"/>
        <v>13685</v>
      </c>
      <c r="K197" s="15">
        <f t="shared" si="90"/>
        <v>45679.3</v>
      </c>
      <c r="L197" s="16">
        <f>K197*100/F197</f>
        <v>83.39138689595998</v>
      </c>
      <c r="M197" s="15">
        <f>K197*100/E197</f>
        <v>66.7221232216412</v>
      </c>
      <c r="N197" s="15">
        <f>K197*100/D197</f>
        <v>90.63029494978353</v>
      </c>
    </row>
    <row r="198" spans="1:14" ht="12.75">
      <c r="A198" s="88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16"/>
      <c r="M198" s="15"/>
      <c r="N198" s="13"/>
    </row>
    <row r="199" spans="1:14" ht="12.75">
      <c r="A199" s="91" t="s">
        <v>35</v>
      </c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3"/>
    </row>
    <row r="200" spans="1:14" ht="12.75">
      <c r="A200" s="47" t="s">
        <v>3</v>
      </c>
      <c r="B200" s="47"/>
      <c r="C200" s="60" t="s">
        <v>68</v>
      </c>
      <c r="D200" s="16">
        <f aca="true" t="shared" si="91" ref="D200:J200">D201+D204+D206+D207+D205+D208+D209+D203+D202</f>
        <v>5052.299999999999</v>
      </c>
      <c r="E200" s="16">
        <f t="shared" si="91"/>
        <v>5206.700000000001</v>
      </c>
      <c r="F200" s="16">
        <f t="shared" si="91"/>
        <v>3829.3</v>
      </c>
      <c r="G200" s="16">
        <f t="shared" si="91"/>
        <v>1233.3</v>
      </c>
      <c r="H200" s="16">
        <f t="shared" si="91"/>
        <v>1279.9</v>
      </c>
      <c r="I200" s="16">
        <f t="shared" si="91"/>
        <v>1316.1</v>
      </c>
      <c r="J200" s="16">
        <f t="shared" si="91"/>
        <v>1377.4</v>
      </c>
      <c r="K200" s="16">
        <f>K201+K204+K206+K207+K205+K208+K209+K203+K202</f>
        <v>4123.3</v>
      </c>
      <c r="L200" s="16">
        <f aca="true" t="shared" si="92" ref="L200:L207">K200*100/F200</f>
        <v>107.6776434335257</v>
      </c>
      <c r="M200" s="15">
        <f aca="true" t="shared" si="93" ref="M200:M206">K200*100/E200</f>
        <v>79.1921946722492</v>
      </c>
      <c r="N200" s="15">
        <f aca="true" t="shared" si="94" ref="N200:N206">K200*100/D200</f>
        <v>81.61233497614948</v>
      </c>
    </row>
    <row r="201" spans="1:14" ht="12.75">
      <c r="A201" s="43" t="s">
        <v>23</v>
      </c>
      <c r="B201" s="43"/>
      <c r="C201" s="38" t="s">
        <v>22</v>
      </c>
      <c r="D201" s="39">
        <v>1250</v>
      </c>
      <c r="E201" s="51">
        <f>G201+H201+I201+J201</f>
        <v>1250</v>
      </c>
      <c r="F201" s="21">
        <f aca="true" t="shared" si="95" ref="F201:F211">G201+H201+I201</f>
        <v>860</v>
      </c>
      <c r="G201" s="51">
        <v>250</v>
      </c>
      <c r="H201" s="51">
        <v>340</v>
      </c>
      <c r="I201" s="12">
        <v>270</v>
      </c>
      <c r="J201" s="12">
        <v>390</v>
      </c>
      <c r="K201" s="13">
        <v>899.2</v>
      </c>
      <c r="L201" s="14">
        <f t="shared" si="92"/>
        <v>104.55813953488372</v>
      </c>
      <c r="M201" s="13">
        <f t="shared" si="93"/>
        <v>71.936</v>
      </c>
      <c r="N201" s="13">
        <f t="shared" si="94"/>
        <v>71.936</v>
      </c>
    </row>
    <row r="202" spans="1:14" ht="12.75">
      <c r="A202" s="35" t="s">
        <v>70</v>
      </c>
      <c r="B202" s="35"/>
      <c r="C202" s="38" t="s">
        <v>71</v>
      </c>
      <c r="D202" s="39">
        <v>3417.2</v>
      </c>
      <c r="E202" s="51">
        <f>G202+H202+I202+J202</f>
        <v>3417.2000000000003</v>
      </c>
      <c r="F202" s="21">
        <f t="shared" si="95"/>
        <v>2562.8</v>
      </c>
      <c r="G202" s="51">
        <v>854.4</v>
      </c>
      <c r="H202" s="51">
        <v>854.1</v>
      </c>
      <c r="I202" s="12">
        <v>854.3</v>
      </c>
      <c r="J202" s="12">
        <v>854.4</v>
      </c>
      <c r="K202" s="13">
        <v>2796.5</v>
      </c>
      <c r="L202" s="14">
        <f t="shared" si="92"/>
        <v>109.11893241766816</v>
      </c>
      <c r="M202" s="13">
        <f t="shared" si="93"/>
        <v>81.83600608685472</v>
      </c>
      <c r="N202" s="13">
        <f t="shared" si="94"/>
        <v>81.83600608685474</v>
      </c>
    </row>
    <row r="203" spans="1:14" ht="12.75">
      <c r="A203" s="35" t="s">
        <v>8</v>
      </c>
      <c r="B203" s="77" t="s">
        <v>55</v>
      </c>
      <c r="C203" s="38" t="s">
        <v>5</v>
      </c>
      <c r="D203" s="39">
        <v>7</v>
      </c>
      <c r="E203" s="51">
        <f aca="true" t="shared" si="96" ref="E203:E211">G203+H203+I203+J203</f>
        <v>42.4</v>
      </c>
      <c r="F203" s="21">
        <f t="shared" si="95"/>
        <v>42.4</v>
      </c>
      <c r="G203" s="51">
        <v>35.4</v>
      </c>
      <c r="H203" s="51">
        <v>7</v>
      </c>
      <c r="I203" s="12"/>
      <c r="J203" s="12"/>
      <c r="K203" s="13">
        <v>42.7</v>
      </c>
      <c r="L203" s="14">
        <f t="shared" si="92"/>
        <v>100.70754716981132</v>
      </c>
      <c r="M203" s="13">
        <f t="shared" si="93"/>
        <v>100.70754716981132</v>
      </c>
      <c r="N203" s="13">
        <f t="shared" si="94"/>
        <v>610</v>
      </c>
    </row>
    <row r="204" spans="1:14" ht="12.75">
      <c r="A204" s="35" t="s">
        <v>9</v>
      </c>
      <c r="B204" s="35"/>
      <c r="C204" s="38" t="s">
        <v>6</v>
      </c>
      <c r="D204" s="39">
        <v>225</v>
      </c>
      <c r="E204" s="51">
        <f t="shared" si="96"/>
        <v>225</v>
      </c>
      <c r="F204" s="21">
        <f t="shared" si="95"/>
        <v>130</v>
      </c>
      <c r="G204" s="51">
        <v>49</v>
      </c>
      <c r="H204" s="51">
        <v>43</v>
      </c>
      <c r="I204" s="12">
        <v>38</v>
      </c>
      <c r="J204" s="12">
        <v>95</v>
      </c>
      <c r="K204" s="13">
        <v>148.3</v>
      </c>
      <c r="L204" s="14">
        <f t="shared" si="92"/>
        <v>114.0769230769231</v>
      </c>
      <c r="M204" s="13">
        <f t="shared" si="93"/>
        <v>65.91111111111113</v>
      </c>
      <c r="N204" s="13">
        <f t="shared" si="94"/>
        <v>65.91111111111113</v>
      </c>
    </row>
    <row r="205" spans="1:14" ht="12.75">
      <c r="A205" s="35" t="s">
        <v>10</v>
      </c>
      <c r="B205" s="35"/>
      <c r="C205" s="38" t="s">
        <v>21</v>
      </c>
      <c r="D205" s="39">
        <v>18</v>
      </c>
      <c r="E205" s="51">
        <f t="shared" si="96"/>
        <v>18</v>
      </c>
      <c r="F205" s="21">
        <f t="shared" si="95"/>
        <v>14</v>
      </c>
      <c r="G205" s="51">
        <v>3</v>
      </c>
      <c r="H205" s="51">
        <v>6</v>
      </c>
      <c r="I205" s="12">
        <v>5</v>
      </c>
      <c r="J205" s="12">
        <v>4</v>
      </c>
      <c r="K205" s="13">
        <v>9.9</v>
      </c>
      <c r="L205" s="14">
        <f t="shared" si="92"/>
        <v>70.71428571428571</v>
      </c>
      <c r="M205" s="13">
        <f t="shared" si="93"/>
        <v>55</v>
      </c>
      <c r="N205" s="13">
        <f t="shared" si="94"/>
        <v>55</v>
      </c>
    </row>
    <row r="206" spans="1:14" ht="24">
      <c r="A206" s="40" t="s">
        <v>11</v>
      </c>
      <c r="B206" s="40"/>
      <c r="C206" s="38" t="s">
        <v>17</v>
      </c>
      <c r="D206" s="39">
        <v>135.1</v>
      </c>
      <c r="E206" s="51">
        <f t="shared" si="96"/>
        <v>135.1</v>
      </c>
      <c r="F206" s="21">
        <f t="shared" si="95"/>
        <v>101.1</v>
      </c>
      <c r="G206" s="51">
        <v>41.5</v>
      </c>
      <c r="H206" s="51">
        <v>29.8</v>
      </c>
      <c r="I206" s="12">
        <v>29.8</v>
      </c>
      <c r="J206" s="12">
        <v>34</v>
      </c>
      <c r="K206" s="13">
        <v>94.6</v>
      </c>
      <c r="L206" s="14">
        <f t="shared" si="92"/>
        <v>93.57072205736895</v>
      </c>
      <c r="M206" s="13">
        <f t="shared" si="93"/>
        <v>70.02220577350111</v>
      </c>
      <c r="N206" s="13">
        <f t="shared" si="94"/>
        <v>70.02220577350111</v>
      </c>
    </row>
    <row r="207" spans="1:14" ht="27" customHeight="1">
      <c r="A207" s="41" t="s">
        <v>18</v>
      </c>
      <c r="B207" s="41"/>
      <c r="C207" s="38" t="s">
        <v>15</v>
      </c>
      <c r="D207" s="39"/>
      <c r="E207" s="51">
        <f t="shared" si="96"/>
        <v>119</v>
      </c>
      <c r="F207" s="21">
        <f t="shared" si="95"/>
        <v>119</v>
      </c>
      <c r="G207" s="51"/>
      <c r="H207" s="51"/>
      <c r="I207" s="12">
        <v>119</v>
      </c>
      <c r="J207" s="12"/>
      <c r="K207" s="13">
        <v>119</v>
      </c>
      <c r="L207" s="14">
        <f t="shared" si="92"/>
        <v>100</v>
      </c>
      <c r="M207" s="13">
        <f>K207*100/E207</f>
        <v>100</v>
      </c>
      <c r="N207" s="13"/>
    </row>
    <row r="208" spans="1:14" ht="13.5" customHeight="1">
      <c r="A208" s="41" t="s">
        <v>12</v>
      </c>
      <c r="B208" s="61"/>
      <c r="C208" s="38" t="s">
        <v>7</v>
      </c>
      <c r="D208" s="39"/>
      <c r="E208" s="51">
        <f t="shared" si="96"/>
        <v>0</v>
      </c>
      <c r="F208" s="21">
        <f t="shared" si="95"/>
        <v>0</v>
      </c>
      <c r="G208" s="51"/>
      <c r="H208" s="51"/>
      <c r="I208" s="12"/>
      <c r="J208" s="12"/>
      <c r="K208" s="13">
        <v>13.1</v>
      </c>
      <c r="L208" s="14"/>
      <c r="M208" s="13"/>
      <c r="N208" s="13"/>
    </row>
    <row r="209" spans="1:14" ht="13.5" customHeight="1">
      <c r="A209" s="63" t="s">
        <v>39</v>
      </c>
      <c r="B209" s="45"/>
      <c r="C209" s="46" t="s">
        <v>40</v>
      </c>
      <c r="D209" s="39"/>
      <c r="E209" s="51">
        <f t="shared" si="96"/>
        <v>0</v>
      </c>
      <c r="F209" s="21">
        <f t="shared" si="95"/>
        <v>0</v>
      </c>
      <c r="G209" s="51"/>
      <c r="H209" s="51"/>
      <c r="I209" s="12"/>
      <c r="J209" s="12"/>
      <c r="K209" s="13"/>
      <c r="L209" s="14"/>
      <c r="M209" s="13"/>
      <c r="N209" s="13"/>
    </row>
    <row r="210" spans="1:14" ht="12.75">
      <c r="A210" s="47" t="s">
        <v>1</v>
      </c>
      <c r="B210" s="47"/>
      <c r="C210" s="48" t="s">
        <v>0</v>
      </c>
      <c r="D210" s="17">
        <f aca="true" t="shared" si="97" ref="D210:K210">D211</f>
        <v>25551.8</v>
      </c>
      <c r="E210" s="17">
        <f t="shared" si="97"/>
        <v>43496.4</v>
      </c>
      <c r="F210" s="17">
        <f t="shared" si="97"/>
        <v>37302.1</v>
      </c>
      <c r="G210" s="17">
        <f t="shared" si="97"/>
        <v>6375.4</v>
      </c>
      <c r="H210" s="17">
        <f t="shared" si="97"/>
        <v>12141.4</v>
      </c>
      <c r="I210" s="17">
        <f t="shared" si="97"/>
        <v>18785.3</v>
      </c>
      <c r="J210" s="17">
        <f t="shared" si="97"/>
        <v>6194.3</v>
      </c>
      <c r="K210" s="17">
        <f t="shared" si="97"/>
        <v>21016.4</v>
      </c>
      <c r="L210" s="16">
        <f>K210*100/F210</f>
        <v>56.34106390793012</v>
      </c>
      <c r="M210" s="15">
        <f>K210*100/E210</f>
        <v>48.317561913169826</v>
      </c>
      <c r="N210" s="15">
        <f>K210*100/D210</f>
        <v>82.25017415602815</v>
      </c>
    </row>
    <row r="211" spans="1:14" ht="24">
      <c r="A211" s="49" t="s">
        <v>67</v>
      </c>
      <c r="B211" s="35"/>
      <c r="C211" s="50" t="s">
        <v>20</v>
      </c>
      <c r="D211" s="51">
        <v>25551.8</v>
      </c>
      <c r="E211" s="51">
        <f t="shared" si="96"/>
        <v>43496.4</v>
      </c>
      <c r="F211" s="21">
        <f t="shared" si="95"/>
        <v>37302.1</v>
      </c>
      <c r="G211" s="51">
        <v>6375.4</v>
      </c>
      <c r="H211" s="51">
        <v>12141.4</v>
      </c>
      <c r="I211" s="12">
        <f>9465.4+9319.9</f>
        <v>18785.3</v>
      </c>
      <c r="J211" s="12">
        <v>6194.3</v>
      </c>
      <c r="K211" s="13">
        <v>21016.4</v>
      </c>
      <c r="L211" s="14">
        <f>K211*100/F211</f>
        <v>56.34106390793012</v>
      </c>
      <c r="M211" s="13">
        <f>K211*100/E211</f>
        <v>48.317561913169826</v>
      </c>
      <c r="N211" s="13">
        <f>K211*100/D211</f>
        <v>82.25017415602815</v>
      </c>
    </row>
    <row r="212" spans="1:14" ht="12.75">
      <c r="A212" s="43"/>
      <c r="B212" s="58"/>
      <c r="C212" s="59" t="s">
        <v>4</v>
      </c>
      <c r="D212" s="15">
        <f aca="true" t="shared" si="98" ref="D212:K212">D210+D200</f>
        <v>30604.1</v>
      </c>
      <c r="E212" s="15">
        <f t="shared" si="98"/>
        <v>48703.100000000006</v>
      </c>
      <c r="F212" s="15">
        <f t="shared" si="98"/>
        <v>41131.4</v>
      </c>
      <c r="G212" s="34">
        <f t="shared" si="98"/>
        <v>7608.7</v>
      </c>
      <c r="H212" s="34">
        <f t="shared" si="98"/>
        <v>13421.3</v>
      </c>
      <c r="I212" s="34">
        <f t="shared" si="98"/>
        <v>20101.399999999998</v>
      </c>
      <c r="J212" s="34">
        <f t="shared" si="98"/>
        <v>7571.700000000001</v>
      </c>
      <c r="K212" s="15">
        <f t="shared" si="98"/>
        <v>25139.7</v>
      </c>
      <c r="L212" s="16">
        <f>K212*100/F212</f>
        <v>61.12045784972065</v>
      </c>
      <c r="M212" s="15">
        <f>K212*100/E212</f>
        <v>51.61827481207561</v>
      </c>
      <c r="N212" s="15">
        <f>K212*100/D212</f>
        <v>82.14487601334461</v>
      </c>
    </row>
    <row r="213" spans="1:14" ht="12.75">
      <c r="A213" s="88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16"/>
      <c r="M213" s="15"/>
      <c r="N213" s="13"/>
    </row>
    <row r="214" spans="1:14" ht="12.75">
      <c r="A214" s="91" t="s">
        <v>36</v>
      </c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3"/>
    </row>
    <row r="215" spans="1:14" ht="12.75">
      <c r="A215" s="47" t="s">
        <v>3</v>
      </c>
      <c r="B215" s="78"/>
      <c r="C215" s="60" t="s">
        <v>68</v>
      </c>
      <c r="D215" s="16">
        <f aca="true" t="shared" si="99" ref="D215:J215">D216+D218+D219+D220+D222+D223+D225+D227+D224+D221+D228+D226+D217</f>
        <v>978570.1</v>
      </c>
      <c r="E215" s="16">
        <f t="shared" si="99"/>
        <v>1072016.1</v>
      </c>
      <c r="F215" s="16">
        <f t="shared" si="99"/>
        <v>801858.5000000001</v>
      </c>
      <c r="G215" s="16">
        <f t="shared" si="99"/>
        <v>259022.6</v>
      </c>
      <c r="H215" s="16">
        <f t="shared" si="99"/>
        <v>297321.80000000005</v>
      </c>
      <c r="I215" s="16">
        <f t="shared" si="99"/>
        <v>245514.1</v>
      </c>
      <c r="J215" s="16">
        <f t="shared" si="99"/>
        <v>270157.60000000003</v>
      </c>
      <c r="K215" s="16">
        <f>K216+K218+K219+K220+K222+K223+K225+K227+K224+K221+K228+K226+K217</f>
        <v>828720.3000000002</v>
      </c>
      <c r="L215" s="16">
        <f aca="true" t="shared" si="100" ref="L215:L220">K215*100/F215</f>
        <v>103.34994266444765</v>
      </c>
      <c r="M215" s="15">
        <f aca="true" t="shared" si="101" ref="M215:M220">K215*100/E215</f>
        <v>77.30483711951715</v>
      </c>
      <c r="N215" s="15">
        <f aca="true" t="shared" si="102" ref="N215:N227">K215*100/D215</f>
        <v>84.68686096172365</v>
      </c>
    </row>
    <row r="216" spans="1:14" ht="12.75">
      <c r="A216" s="43" t="s">
        <v>23</v>
      </c>
      <c r="B216" s="79" t="s">
        <v>54</v>
      </c>
      <c r="C216" s="38" t="s">
        <v>22</v>
      </c>
      <c r="D216" s="13">
        <f>D9+D31+D47+D65+D82+D100+D116+D133+D151+D168+D185+D201</f>
        <v>706575.5</v>
      </c>
      <c r="E216" s="51">
        <f>G216+H216+I216+J216</f>
        <v>752009.1000000001</v>
      </c>
      <c r="F216" s="21">
        <f aca="true" t="shared" si="103" ref="F216:F232">G216+H216+I216</f>
        <v>560492.6000000001</v>
      </c>
      <c r="G216" s="13">
        <f>G9+G31+G47+G65+G82+G100+G116+G133+G151+G168+G185+G201</f>
        <v>187476.50000000003</v>
      </c>
      <c r="H216" s="13">
        <f>H9+H31+H47+H65+H82+H100+H116+H133+H151+H168+H185+H201</f>
        <v>199627.90000000002</v>
      </c>
      <c r="I216" s="13">
        <f>I9+I31+I47+I65+I82+I100+I116+I133+I151+I168+I185+I201</f>
        <v>173388.2</v>
      </c>
      <c r="J216" s="13">
        <f>J9+J31+J47+J65+J82+J100+J116+J133+J151+J168+J185+J201</f>
        <v>191516.5</v>
      </c>
      <c r="K216" s="13">
        <f>K9+K31+K47+K65+K82+K100+K116+K133+K151+K168+K185+K201</f>
        <v>558671.8</v>
      </c>
      <c r="L216" s="14">
        <f t="shared" si="100"/>
        <v>99.67514290108379</v>
      </c>
      <c r="M216" s="13">
        <f t="shared" si="101"/>
        <v>74.29056377110331</v>
      </c>
      <c r="N216" s="13">
        <f t="shared" si="102"/>
        <v>79.0675306460527</v>
      </c>
    </row>
    <row r="217" spans="1:14" ht="12.75">
      <c r="A217" s="35" t="s">
        <v>70</v>
      </c>
      <c r="B217" s="35"/>
      <c r="C217" s="38" t="s">
        <v>71</v>
      </c>
      <c r="D217" s="13">
        <f>D10+D32+D48+D66+D83+D101+D118+D134+D152+D169+D186+D202</f>
        <v>46940.7</v>
      </c>
      <c r="E217" s="51">
        <f aca="true" t="shared" si="104" ref="E217:E232">G217+H217+I217+J217</f>
        <v>47160.4</v>
      </c>
      <c r="F217" s="21">
        <f t="shared" si="103"/>
        <v>35595.4</v>
      </c>
      <c r="G217" s="13">
        <f>G10+G32+G48+G66+G83+G101+G118+G134+G152+G169+G186+G202</f>
        <v>11338.2</v>
      </c>
      <c r="H217" s="13">
        <f>H10+H32+H48+H66+H83+H101+H118+H134+H152+H169+H186+H202</f>
        <v>12159.900000000001</v>
      </c>
      <c r="I217" s="13">
        <f>I10+I32+I48+I66+I83+I101+I118+I134+I152+I169+I186+I202</f>
        <v>12097.3</v>
      </c>
      <c r="J217" s="13">
        <f>J10+J32+J48+J66+J83+J101+J118+J134+J152+J169+J186+J202</f>
        <v>11565</v>
      </c>
      <c r="K217" s="13">
        <f>K10+K32+K48+K66+K83+K101+K118+K134+K152+K169+K186+K202-0.2</f>
        <v>38413.8</v>
      </c>
      <c r="L217" s="14">
        <f t="shared" si="100"/>
        <v>107.91787702905432</v>
      </c>
      <c r="M217" s="13">
        <f t="shared" si="101"/>
        <v>81.45350760383712</v>
      </c>
      <c r="N217" s="13">
        <f t="shared" si="102"/>
        <v>81.83474042781639</v>
      </c>
    </row>
    <row r="218" spans="1:14" ht="12.75">
      <c r="A218" s="35" t="s">
        <v>8</v>
      </c>
      <c r="B218" s="77" t="s">
        <v>55</v>
      </c>
      <c r="C218" s="38" t="s">
        <v>5</v>
      </c>
      <c r="D218" s="13">
        <f>D11+D49+D67+D203+D153+D117+D187+D84+D102+D170+D119</f>
        <v>45460</v>
      </c>
      <c r="E218" s="51">
        <f>G218+H218+I218+J218</f>
        <v>47130.50000000001</v>
      </c>
      <c r="F218" s="21">
        <f t="shared" si="103"/>
        <v>39262.100000000006</v>
      </c>
      <c r="G218" s="13">
        <f>G11+G49+G67+G203+G153+G187+G84+G102+G170+G119+G135</f>
        <v>8390.800000000001</v>
      </c>
      <c r="H218" s="13">
        <f>H11+H49+H67+H203+H153+H187+H84+H102+H170+H119+H135</f>
        <v>20395</v>
      </c>
      <c r="I218" s="13">
        <f>I11+I49+I67+I203+I153+I187+I84+I102+I170+I119+I135</f>
        <v>10476.3</v>
      </c>
      <c r="J218" s="13">
        <f>J11+J49+J67+J203+J153+J187+J84+J102+J170+J119+J135</f>
        <v>7868.4</v>
      </c>
      <c r="K218" s="13">
        <f>K11+K49+K67+K203+K153+K187+K84+K102+K170+K119+K135+0.1</f>
        <v>39782.29999999999</v>
      </c>
      <c r="L218" s="14">
        <f t="shared" si="100"/>
        <v>101.32494186505558</v>
      </c>
      <c r="M218" s="13">
        <f t="shared" si="101"/>
        <v>84.40882231251521</v>
      </c>
      <c r="N218" s="13">
        <f t="shared" si="102"/>
        <v>87.51055873295202</v>
      </c>
    </row>
    <row r="219" spans="1:14" ht="12.75">
      <c r="A219" s="35" t="s">
        <v>9</v>
      </c>
      <c r="B219" s="77" t="s">
        <v>56</v>
      </c>
      <c r="C219" s="38" t="s">
        <v>6</v>
      </c>
      <c r="D219" s="13">
        <f>D12+D33+D50+D68+D85+D103+D120+D136+D154+D171+D188+D204</f>
        <v>21147.7</v>
      </c>
      <c r="E219" s="51">
        <f t="shared" si="104"/>
        <v>24496</v>
      </c>
      <c r="F219" s="21">
        <f t="shared" si="103"/>
        <v>13723.400000000001</v>
      </c>
      <c r="G219" s="13">
        <f>G12+G33+G50+G68+G85+G103+G120+G136+G154+G171+G188+G204</f>
        <v>4219</v>
      </c>
      <c r="H219" s="13">
        <f>H12+H33+H50+H68+H85+H103+H120+H136+H154+H171+H188+H204</f>
        <v>3671.5</v>
      </c>
      <c r="I219" s="13">
        <f>I12+I33+I50+I68+I85+I103+I120+I136+I154+I171+I188+I204</f>
        <v>5832.900000000001</v>
      </c>
      <c r="J219" s="13">
        <f>J12+J33+J50+J68+J85+J103+J120+J136+J154+J171+J188+J204</f>
        <v>10772.6</v>
      </c>
      <c r="K219" s="13">
        <f>K12+K33+K50+K68+K85+K103+K120+K136+K154+K171+K188+K204</f>
        <v>15170.9</v>
      </c>
      <c r="L219" s="14">
        <f t="shared" si="100"/>
        <v>110.54767768920237</v>
      </c>
      <c r="M219" s="13">
        <f t="shared" si="101"/>
        <v>61.93215218811235</v>
      </c>
      <c r="N219" s="13">
        <f t="shared" si="102"/>
        <v>71.73782491713047</v>
      </c>
    </row>
    <row r="220" spans="1:14" ht="12.75">
      <c r="A220" s="35" t="s">
        <v>10</v>
      </c>
      <c r="B220" s="77" t="s">
        <v>49</v>
      </c>
      <c r="C220" s="38" t="s">
        <v>21</v>
      </c>
      <c r="D220" s="13">
        <f>D13+D34+D51+D69+D86+D104+D121+D137+D155+D172+D189+D205</f>
        <v>3579.3999999999996</v>
      </c>
      <c r="E220" s="51">
        <f t="shared" si="104"/>
        <v>3779.3</v>
      </c>
      <c r="F220" s="21">
        <f t="shared" si="103"/>
        <v>3010.3</v>
      </c>
      <c r="G220" s="13">
        <f>G13+G34+G69+G86+G104+G121+G137+G155+G172+G189+G205</f>
        <v>1053.9</v>
      </c>
      <c r="H220" s="13">
        <f>H13+H34+H69+H86+H104+H121+H137+H155+H172+H189+H205</f>
        <v>1026</v>
      </c>
      <c r="I220" s="13">
        <f>I13+I34+I69+I86+I104+I121+I137+I155+I172+I189+I205</f>
        <v>930.3999999999999</v>
      </c>
      <c r="J220" s="13">
        <f>J13+J34+J69+J86+J104+J121+J137+J155+J172+J189+J205</f>
        <v>769</v>
      </c>
      <c r="K220" s="13">
        <f>K13+K34+K51+K69+K86+K104+K121+K137+K155+K172+K189+K205-0.1</f>
        <v>3058.4</v>
      </c>
      <c r="L220" s="14">
        <f t="shared" si="100"/>
        <v>101.59784739062552</v>
      </c>
      <c r="M220" s="13">
        <f t="shared" si="101"/>
        <v>80.9250390283915</v>
      </c>
      <c r="N220" s="13">
        <f t="shared" si="102"/>
        <v>85.4444879030005</v>
      </c>
    </row>
    <row r="221" spans="1:14" ht="24" hidden="1">
      <c r="A221" s="35" t="s">
        <v>37</v>
      </c>
      <c r="B221" s="77" t="s">
        <v>57</v>
      </c>
      <c r="C221" s="38" t="s">
        <v>38</v>
      </c>
      <c r="D221" s="18">
        <f>D14</f>
        <v>0</v>
      </c>
      <c r="E221" s="51">
        <f t="shared" si="104"/>
        <v>0</v>
      </c>
      <c r="F221" s="21">
        <f t="shared" si="103"/>
        <v>0</v>
      </c>
      <c r="G221" s="18">
        <f>G14</f>
        <v>0</v>
      </c>
      <c r="H221" s="18">
        <f>H14</f>
        <v>0</v>
      </c>
      <c r="I221" s="18">
        <f>I14</f>
        <v>0</v>
      </c>
      <c r="J221" s="18">
        <f>J14</f>
        <v>0</v>
      </c>
      <c r="K221" s="18">
        <f>K14</f>
        <v>0</v>
      </c>
      <c r="L221" s="14"/>
      <c r="M221" s="13"/>
      <c r="N221" s="13" t="e">
        <f t="shared" si="102"/>
        <v>#DIV/0!</v>
      </c>
    </row>
    <row r="222" spans="1:14" ht="24">
      <c r="A222" s="40" t="s">
        <v>11</v>
      </c>
      <c r="B222" s="80" t="s">
        <v>48</v>
      </c>
      <c r="C222" s="38" t="s">
        <v>17</v>
      </c>
      <c r="D222" s="13">
        <f>D15+D35+D52+D70+D87+D105+D122+D138+D156+D173+D190+D206</f>
        <v>116967.7</v>
      </c>
      <c r="E222" s="51">
        <f t="shared" si="104"/>
        <v>135622.6</v>
      </c>
      <c r="F222" s="21">
        <f t="shared" si="103"/>
        <v>102637.2</v>
      </c>
      <c r="G222" s="13">
        <f>G15+G35+G52+G70+G87+G105+G122+G138+G156+G173+G190+G206</f>
        <v>29962.699999999993</v>
      </c>
      <c r="H222" s="13">
        <f>H15+H35+H52+H70+H87+H105+H122+H138+H156+H173+H190+H206</f>
        <v>43809.80000000001</v>
      </c>
      <c r="I222" s="13">
        <f>I15+I35+I52+I70+I87+I105+I122+I138+I156+I173+I190+I206</f>
        <v>28864.7</v>
      </c>
      <c r="J222" s="13">
        <f>J15+J35+J52+J70+J87+J105+J122+J138+J156+J173+J190+J206</f>
        <v>32985.4</v>
      </c>
      <c r="K222" s="13">
        <f>K15+K35+K52+K70+K87+K105+K122+K138+K156+K173+K190+K206+0.1</f>
        <v>105887.90000000001</v>
      </c>
      <c r="L222" s="14">
        <f aca="true" t="shared" si="105" ref="L222:L227">K222*100/F222</f>
        <v>103.16717525419634</v>
      </c>
      <c r="M222" s="13">
        <f aca="true" t="shared" si="106" ref="M222:M227">K222*100/E222</f>
        <v>78.07540926069844</v>
      </c>
      <c r="N222" s="13">
        <f t="shared" si="102"/>
        <v>90.52747040422271</v>
      </c>
    </row>
    <row r="223" spans="1:14" ht="12.75">
      <c r="A223" s="41" t="s">
        <v>14</v>
      </c>
      <c r="B223" s="81" t="s">
        <v>47</v>
      </c>
      <c r="C223" s="38" t="s">
        <v>13</v>
      </c>
      <c r="D223" s="13">
        <f>D16</f>
        <v>4251.8</v>
      </c>
      <c r="E223" s="51">
        <f t="shared" si="104"/>
        <v>5000.900000000001</v>
      </c>
      <c r="F223" s="21">
        <f t="shared" si="103"/>
        <v>3817.7000000000003</v>
      </c>
      <c r="G223" s="13">
        <f>G16</f>
        <v>1766.5</v>
      </c>
      <c r="H223" s="13">
        <f>H16</f>
        <v>763.3</v>
      </c>
      <c r="I223" s="13">
        <f>I16</f>
        <v>1287.9</v>
      </c>
      <c r="J223" s="13">
        <f>J16</f>
        <v>1183.2</v>
      </c>
      <c r="K223" s="13">
        <f>K16</f>
        <v>3828.6</v>
      </c>
      <c r="L223" s="14">
        <f t="shared" si="105"/>
        <v>100.28551221939911</v>
      </c>
      <c r="M223" s="13">
        <f t="shared" si="106"/>
        <v>76.5582195204863</v>
      </c>
      <c r="N223" s="13">
        <f t="shared" si="102"/>
        <v>90.04656851215955</v>
      </c>
    </row>
    <row r="224" spans="1:14" ht="24">
      <c r="A224" s="42" t="s">
        <v>42</v>
      </c>
      <c r="B224" s="82" t="s">
        <v>58</v>
      </c>
      <c r="C224" s="38" t="s">
        <v>43</v>
      </c>
      <c r="D224" s="19">
        <f>D17+D88+D53+D106+D139+D157+D174+D191+D123+D71+D36</f>
        <v>15872.999999999998</v>
      </c>
      <c r="E224" s="51">
        <f t="shared" si="104"/>
        <v>17548.6</v>
      </c>
      <c r="F224" s="21">
        <f t="shared" si="103"/>
        <v>11126.9</v>
      </c>
      <c r="G224" s="19">
        <f>G17+G88+G53+G106+G139+G157+G174+G191+G123+G71+G36</f>
        <v>4199.900000000001</v>
      </c>
      <c r="H224" s="19">
        <f>H17+H88+H53+H106+H139+H157+H174+H191+H123+H71+H36</f>
        <v>4144.4</v>
      </c>
      <c r="I224" s="19">
        <f>I17+I88+I53+I106+I139+I157+I174+I191+I123+I71+I36</f>
        <v>2782.6</v>
      </c>
      <c r="J224" s="19">
        <f>J17+J88+J53+J106+J139+J157+J174+J191+J123+J71+J36</f>
        <v>6421.700000000001</v>
      </c>
      <c r="K224" s="19">
        <f>K17+K88+K53+K106+K139+K157+K174+K191+K123+K71+K36+0.1</f>
        <v>22407</v>
      </c>
      <c r="L224" s="14">
        <f t="shared" si="105"/>
        <v>201.37684350537887</v>
      </c>
      <c r="M224" s="13">
        <f t="shared" si="106"/>
        <v>127.68539940508076</v>
      </c>
      <c r="N224" s="13">
        <f t="shared" si="102"/>
        <v>141.1642411642412</v>
      </c>
    </row>
    <row r="225" spans="1:14" ht="24">
      <c r="A225" s="42" t="s">
        <v>18</v>
      </c>
      <c r="B225" s="82" t="s">
        <v>53</v>
      </c>
      <c r="C225" s="38" t="s">
        <v>15</v>
      </c>
      <c r="D225" s="13">
        <f>D18+D37+D54+D72+D89+D124+D158+D175+D192+D207+D140</f>
        <v>17538</v>
      </c>
      <c r="E225" s="51">
        <f>G225+H225+I225+J225</f>
        <v>26229.400000000005</v>
      </c>
      <c r="F225" s="21">
        <f t="shared" si="103"/>
        <v>20359.700000000004</v>
      </c>
      <c r="G225" s="13">
        <f>G18+G37+G54+G72+G89+G124+G158+G175+G192+G207+G140</f>
        <v>6480.6</v>
      </c>
      <c r="H225" s="13">
        <f>H18+H37+H54+H72+H89+H124+H158+H175+H192+H207+H140</f>
        <v>5903.000000000001</v>
      </c>
      <c r="I225" s="13">
        <f>I18+I37+I54+I72+I89+I124+I158+I175+I192+I207+I140</f>
        <v>7976.1</v>
      </c>
      <c r="J225" s="13">
        <f>J18+J37+J54+J72+J89+J124+J158+J175+J192+J207+J140</f>
        <v>5869.7</v>
      </c>
      <c r="K225" s="13">
        <f>K18+K37+K54+K72+K89+K124+K158+K175+K192+K207+K140</f>
        <v>21872.6</v>
      </c>
      <c r="L225" s="14">
        <f t="shared" si="105"/>
        <v>107.43085605387111</v>
      </c>
      <c r="M225" s="13">
        <f t="shared" si="106"/>
        <v>83.38963148222985</v>
      </c>
      <c r="N225" s="13">
        <f t="shared" si="102"/>
        <v>124.71547496863953</v>
      </c>
    </row>
    <row r="226" spans="1:14" ht="12.75">
      <c r="A226" s="42" t="s">
        <v>60</v>
      </c>
      <c r="B226" s="42"/>
      <c r="C226" s="38" t="s">
        <v>61</v>
      </c>
      <c r="D226" s="13">
        <f>D19</f>
        <v>6</v>
      </c>
      <c r="E226" s="51">
        <f t="shared" si="104"/>
        <v>9</v>
      </c>
      <c r="F226" s="21">
        <f t="shared" si="103"/>
        <v>9</v>
      </c>
      <c r="G226" s="13">
        <f>G19</f>
        <v>5</v>
      </c>
      <c r="H226" s="13">
        <f>H19</f>
        <v>3</v>
      </c>
      <c r="I226" s="13">
        <f>I19</f>
        <v>1</v>
      </c>
      <c r="J226" s="13">
        <f>J19</f>
        <v>0</v>
      </c>
      <c r="K226" s="13">
        <f>K19</f>
        <v>9</v>
      </c>
      <c r="L226" s="14">
        <f t="shared" si="105"/>
        <v>100</v>
      </c>
      <c r="M226" s="13">
        <f t="shared" si="106"/>
        <v>100</v>
      </c>
      <c r="N226" s="13">
        <f t="shared" si="102"/>
        <v>150</v>
      </c>
    </row>
    <row r="227" spans="1:14" ht="12.75">
      <c r="A227" s="43" t="s">
        <v>12</v>
      </c>
      <c r="B227" s="79" t="s">
        <v>50</v>
      </c>
      <c r="C227" s="38" t="s">
        <v>7</v>
      </c>
      <c r="D227" s="13">
        <f>D20+D193+D208+D73+D141+D55+D159+D90+D176+D107</f>
        <v>230.29999999999998</v>
      </c>
      <c r="E227" s="51">
        <f t="shared" si="104"/>
        <v>13017.500000000002</v>
      </c>
      <c r="F227" s="21">
        <f t="shared" si="103"/>
        <v>11811.400000000001</v>
      </c>
      <c r="G227" s="13">
        <f>G20+G193+G208+G73+G141+G55+G159+G90+G176+G107+G38+G125</f>
        <v>4116.7</v>
      </c>
      <c r="H227" s="13">
        <f>H20+H193+H208+H73+H141+H55+H159+H90+H176+H107+H38+H125</f>
        <v>5818</v>
      </c>
      <c r="I227" s="13">
        <f>I20+I193+I208+I73+I141+I55+I159+I90+I176+I107+I38+I125</f>
        <v>1876.7</v>
      </c>
      <c r="J227" s="13">
        <f>J20+J193+J208+J73+J141+J55+J159+J90+J176+J107+J38+J125</f>
        <v>1206.1</v>
      </c>
      <c r="K227" s="13">
        <f>K20+K193+K208+K73+K141+K55+K159+K90+K176+K107+K38+K125+0.1</f>
        <v>18984.7</v>
      </c>
      <c r="L227" s="14">
        <f t="shared" si="105"/>
        <v>160.73200467345106</v>
      </c>
      <c r="M227" s="13">
        <f t="shared" si="106"/>
        <v>145.83983099673515</v>
      </c>
      <c r="N227" s="13">
        <f t="shared" si="102"/>
        <v>8243.465045592706</v>
      </c>
    </row>
    <row r="228" spans="1:14" ht="12.75">
      <c r="A228" s="44" t="s">
        <v>39</v>
      </c>
      <c r="B228" s="83" t="s">
        <v>57</v>
      </c>
      <c r="C228" s="46" t="s">
        <v>40</v>
      </c>
      <c r="D228" s="13">
        <f>D21+D39+D56+D74+D91+D108+D126+D142+D160+D177+D194+D209</f>
        <v>0</v>
      </c>
      <c r="E228" s="51">
        <f t="shared" si="104"/>
        <v>12.8</v>
      </c>
      <c r="F228" s="21">
        <f t="shared" si="103"/>
        <v>12.8</v>
      </c>
      <c r="G228" s="13">
        <f>G21+G39+G56+G74+G91+G108+G126+G142+G160+G177+G194+G209</f>
        <v>12.8</v>
      </c>
      <c r="H228" s="13">
        <f>H21+H39+H56+H74+H91+H108+H126+H142+H160+H177+H194+H209</f>
        <v>0</v>
      </c>
      <c r="I228" s="13">
        <f>I21+I39+I56+I74+I91+I108+I126+I142+I160+I177+I194+I209</f>
        <v>0</v>
      </c>
      <c r="J228" s="13">
        <f>J21+J39+J56+J74+J91+J108+J126+J142+J160+J177+J194+J209</f>
        <v>0</v>
      </c>
      <c r="K228" s="13">
        <f>K21+K39+K56+K74+K91+K108+K126+K142+K160+K177+K194+K209-0.1</f>
        <v>633.3</v>
      </c>
      <c r="L228" s="14"/>
      <c r="M228" s="13"/>
      <c r="N228" s="13"/>
    </row>
    <row r="229" spans="1:14" ht="12.75">
      <c r="A229" s="47" t="s">
        <v>1</v>
      </c>
      <c r="B229" s="78"/>
      <c r="C229" s="48" t="s">
        <v>0</v>
      </c>
      <c r="D229" s="17">
        <f aca="true" t="shared" si="107" ref="D229:J229">D230+D231+D232</f>
        <v>2676706.5</v>
      </c>
      <c r="E229" s="17">
        <f t="shared" si="107"/>
        <v>2852401.3</v>
      </c>
      <c r="F229" s="17">
        <f t="shared" si="107"/>
        <v>2064569</v>
      </c>
      <c r="G229" s="17">
        <f t="shared" si="107"/>
        <v>847498.1</v>
      </c>
      <c r="H229" s="17">
        <f t="shared" si="107"/>
        <v>729344.5</v>
      </c>
      <c r="I229" s="17">
        <f t="shared" si="107"/>
        <v>487726.39999999997</v>
      </c>
      <c r="J229" s="17">
        <f t="shared" si="107"/>
        <v>787832.3</v>
      </c>
      <c r="K229" s="17">
        <f>K230+K231+K232</f>
        <v>2057989.5999999999</v>
      </c>
      <c r="L229" s="16">
        <f>K229*100/F229</f>
        <v>99.6813184737347</v>
      </c>
      <c r="M229" s="15">
        <f>K229*100/E229</f>
        <v>72.1493711281088</v>
      </c>
      <c r="N229" s="15">
        <f>K229*100/D229</f>
        <v>76.88514224476984</v>
      </c>
    </row>
    <row r="230" spans="1:14" ht="24">
      <c r="A230" s="49" t="s">
        <v>67</v>
      </c>
      <c r="B230" s="77" t="s">
        <v>51</v>
      </c>
      <c r="C230" s="50" t="s">
        <v>20</v>
      </c>
      <c r="D230" s="12">
        <f>D23-16095.4</f>
        <v>2676706.5</v>
      </c>
      <c r="E230" s="51">
        <f t="shared" si="104"/>
        <v>2823919.8</v>
      </c>
      <c r="F230" s="21">
        <f t="shared" si="103"/>
        <v>2036425.4</v>
      </c>
      <c r="G230" s="12">
        <f>G23-13.5</f>
        <v>844541.5</v>
      </c>
      <c r="H230" s="12">
        <f>H23-3123.1</f>
        <v>704601.3</v>
      </c>
      <c r="I230" s="12">
        <f>I23-5717.4</f>
        <v>487282.6</v>
      </c>
      <c r="J230" s="12">
        <f>J23-7045</f>
        <v>787494.4</v>
      </c>
      <c r="K230" s="12">
        <f>K23-7188.5</f>
        <v>2038074</v>
      </c>
      <c r="L230" s="14">
        <f>K230*100/F230</f>
        <v>100.08095558030263</v>
      </c>
      <c r="M230" s="13">
        <f>K230*100/E230</f>
        <v>72.17180884527953</v>
      </c>
      <c r="N230" s="13">
        <f>K230*100/D230</f>
        <v>76.14110848537186</v>
      </c>
    </row>
    <row r="231" spans="1:14" ht="12.75">
      <c r="A231" s="49" t="s">
        <v>82</v>
      </c>
      <c r="B231" s="49" t="s">
        <v>52</v>
      </c>
      <c r="C231" s="52" t="s">
        <v>19</v>
      </c>
      <c r="D231" s="13">
        <f>D24+D95+D180+D77</f>
        <v>0</v>
      </c>
      <c r="E231" s="13">
        <f>E24+E95+E180+E77+E145</f>
        <v>30200.000000000004</v>
      </c>
      <c r="F231" s="21">
        <f t="shared" si="103"/>
        <v>29862.100000000002</v>
      </c>
      <c r="G231" s="13">
        <f>G24+G95+G180+G77</f>
        <v>4675.1</v>
      </c>
      <c r="H231" s="13">
        <f>H24+H95+H180+H77</f>
        <v>24743.2</v>
      </c>
      <c r="I231" s="13">
        <f>I24+I95+I180+I77</f>
        <v>443.8</v>
      </c>
      <c r="J231" s="13">
        <f>J24+J95+J180+J77</f>
        <v>337.9</v>
      </c>
      <c r="K231" s="13">
        <f>K24+K95+K180+K77+K145</f>
        <v>32240.899999999998</v>
      </c>
      <c r="L231" s="14">
        <f>K231*100/F231</f>
        <v>107.96595015086011</v>
      </c>
      <c r="M231" s="13">
        <f>K231*100/E231</f>
        <v>106.75794701986754</v>
      </c>
      <c r="N231" s="13"/>
    </row>
    <row r="232" spans="1:14" ht="36">
      <c r="A232" s="49" t="s">
        <v>66</v>
      </c>
      <c r="B232" s="54"/>
      <c r="C232" s="56" t="s">
        <v>63</v>
      </c>
      <c r="D232" s="13">
        <f>D26</f>
        <v>0</v>
      </c>
      <c r="E232" s="51">
        <f t="shared" si="104"/>
        <v>-1718.5</v>
      </c>
      <c r="F232" s="21">
        <f t="shared" si="103"/>
        <v>-1718.5</v>
      </c>
      <c r="G232" s="13">
        <f>G26</f>
        <v>-1718.5</v>
      </c>
      <c r="H232" s="13">
        <f>H26</f>
        <v>0</v>
      </c>
      <c r="I232" s="13">
        <f>I26</f>
        <v>0</v>
      </c>
      <c r="J232" s="13">
        <f>J26</f>
        <v>0</v>
      </c>
      <c r="K232" s="13">
        <f>K26</f>
        <v>-12325.3</v>
      </c>
      <c r="L232" s="14">
        <f>K232*100/F232</f>
        <v>717.2126854815245</v>
      </c>
      <c r="M232" s="13">
        <f>K232*100/E232</f>
        <v>717.2126854815245</v>
      </c>
      <c r="N232" s="13"/>
    </row>
    <row r="233" spans="1:14" ht="12.75">
      <c r="A233" s="43"/>
      <c r="B233" s="58"/>
      <c r="C233" s="59" t="s">
        <v>4</v>
      </c>
      <c r="D233" s="15">
        <f aca="true" t="shared" si="108" ref="D233:K233">D229+D215</f>
        <v>3655276.6</v>
      </c>
      <c r="E233" s="15">
        <f t="shared" si="108"/>
        <v>3924417.4</v>
      </c>
      <c r="F233" s="15">
        <f t="shared" si="108"/>
        <v>2866427.5</v>
      </c>
      <c r="G233" s="15">
        <f t="shared" si="108"/>
        <v>1106520.7</v>
      </c>
      <c r="H233" s="15">
        <f t="shared" si="108"/>
        <v>1026666.3</v>
      </c>
      <c r="I233" s="15">
        <f t="shared" si="108"/>
        <v>733240.5</v>
      </c>
      <c r="J233" s="15">
        <f t="shared" si="108"/>
        <v>1057989.9000000001</v>
      </c>
      <c r="K233" s="15">
        <f t="shared" si="108"/>
        <v>2886709.9</v>
      </c>
      <c r="L233" s="16">
        <f>K233*100/F233</f>
        <v>100.70758461534436</v>
      </c>
      <c r="M233" s="15">
        <f>K233*100/E233</f>
        <v>73.5576674387388</v>
      </c>
      <c r="N233" s="15">
        <f>K233*100/D233</f>
        <v>78.9737745154498</v>
      </c>
    </row>
    <row r="234" spans="3:9" ht="12.75">
      <c r="C234" s="8"/>
      <c r="D234" s="8"/>
      <c r="E234" s="8"/>
      <c r="F234" s="8"/>
      <c r="G234" s="8"/>
      <c r="H234" s="8"/>
      <c r="I234" s="2"/>
    </row>
    <row r="235" spans="3:11" ht="12.75">
      <c r="C235" s="9" t="s">
        <v>59</v>
      </c>
      <c r="D235" s="9"/>
      <c r="E235" s="9"/>
      <c r="F235" s="9"/>
      <c r="G235" s="9"/>
      <c r="H235" s="9"/>
      <c r="I235" s="3"/>
      <c r="J235" s="3"/>
      <c r="K235" s="5"/>
    </row>
    <row r="236" spans="3:11" ht="12.75" hidden="1">
      <c r="C236" s="9"/>
      <c r="D236" s="9"/>
      <c r="E236" s="9"/>
      <c r="F236" s="9"/>
      <c r="G236" s="9"/>
      <c r="H236" s="9"/>
      <c r="I236" s="3" t="s">
        <v>62</v>
      </c>
      <c r="J236" s="3">
        <f>J235-J215</f>
        <v>-270157.60000000003</v>
      </c>
      <c r="K236" s="4"/>
    </row>
    <row r="237" spans="1:11" ht="12.75" hidden="1">
      <c r="A237" s="2"/>
      <c r="C237" s="9"/>
      <c r="D237" s="9"/>
      <c r="E237" s="9"/>
      <c r="F237" s="9"/>
      <c r="G237" s="9"/>
      <c r="H237" s="9"/>
      <c r="I237" s="6"/>
      <c r="J237" s="3"/>
      <c r="K237" s="5"/>
    </row>
    <row r="238" spans="3:11" ht="12.75" hidden="1">
      <c r="C238" s="10"/>
      <c r="D238" s="10"/>
      <c r="E238" s="10"/>
      <c r="F238" s="10"/>
      <c r="G238" s="10"/>
      <c r="H238" s="10"/>
      <c r="I238" s="3"/>
      <c r="J238" s="3">
        <f>J237-J229</f>
        <v>-787832.3</v>
      </c>
      <c r="K238" s="5"/>
    </row>
    <row r="239" spans="3:11" ht="12.75" hidden="1">
      <c r="C239" s="10"/>
      <c r="D239" s="10"/>
      <c r="E239" s="10"/>
      <c r="F239" s="10"/>
      <c r="G239" s="10"/>
      <c r="H239" s="10"/>
      <c r="I239" s="6"/>
      <c r="J239" s="3" t="e">
        <f>#REF!+#REF!+#REF!+#REF!+#REF!+#REF!+#REF!+#REF!+#REF!+#REF!</f>
        <v>#REF!</v>
      </c>
      <c r="K239" s="5"/>
    </row>
    <row r="240" spans="1:11" ht="12.75" hidden="1">
      <c r="A240" s="2">
        <f>J215+J229</f>
        <v>1057989.9000000001</v>
      </c>
      <c r="C240" s="11"/>
      <c r="D240" s="11"/>
      <c r="E240" s="11"/>
      <c r="F240" s="11"/>
      <c r="G240" s="11"/>
      <c r="H240" s="11"/>
      <c r="I240" s="6"/>
      <c r="J240" s="3" t="e">
        <f>J239-#REF!</f>
        <v>#REF!</v>
      </c>
      <c r="K240" s="5"/>
    </row>
    <row r="241" spans="1:11" ht="12.75" hidden="1">
      <c r="A241" s="2" t="e">
        <f>#REF!+#REF!</f>
        <v>#REF!</v>
      </c>
      <c r="C241" s="10"/>
      <c r="D241" s="10"/>
      <c r="E241" s="10"/>
      <c r="F241" s="10"/>
      <c r="G241" s="10"/>
      <c r="H241" s="10"/>
      <c r="I241" s="6"/>
      <c r="J241" s="3" t="e">
        <f>J235+J237+J239</f>
        <v>#REF!</v>
      </c>
      <c r="K241" s="5"/>
    </row>
    <row r="242" spans="1:11" ht="12.75" hidden="1">
      <c r="A242" s="2" t="e">
        <f>J215+#REF!</f>
        <v>#REF!</v>
      </c>
      <c r="C242" s="9"/>
      <c r="D242" s="9"/>
      <c r="E242" s="9"/>
      <c r="F242" s="9"/>
      <c r="G242" s="9"/>
      <c r="H242" s="9"/>
      <c r="I242" s="6"/>
      <c r="J242" s="3">
        <f>J27+J43+J61+J78+J96+J112+J129+J147+J164+J181+J197+J212-J210-J195-J178-J161-J143-J127-J109-J93-J75-J40-J57</f>
        <v>1065034.9</v>
      </c>
      <c r="K242" s="5"/>
    </row>
    <row r="243" spans="1:11" ht="12.75" hidden="1">
      <c r="A243" s="2" t="e">
        <f>J229+#REF!</f>
        <v>#REF!</v>
      </c>
      <c r="C243" s="9"/>
      <c r="D243" s="9"/>
      <c r="E243" s="9"/>
      <c r="F243" s="9"/>
      <c r="G243" s="9"/>
      <c r="H243" s="9"/>
      <c r="I243" s="6"/>
      <c r="J243" s="3">
        <f>J242-J233</f>
        <v>7044.999999999767</v>
      </c>
      <c r="K243" s="5"/>
    </row>
    <row r="244" spans="3:11" ht="12.75" hidden="1">
      <c r="C244" s="9"/>
      <c r="D244" s="9"/>
      <c r="E244" s="9"/>
      <c r="F244" s="9"/>
      <c r="G244" s="9"/>
      <c r="H244" s="9"/>
      <c r="I244" s="6"/>
      <c r="J244" s="3"/>
      <c r="K244" s="5"/>
    </row>
    <row r="245" spans="3:11" ht="12.75" hidden="1">
      <c r="C245" s="8"/>
      <c r="D245" s="8"/>
      <c r="E245" s="8"/>
      <c r="F245" s="8"/>
      <c r="G245" s="8"/>
      <c r="H245" s="8"/>
      <c r="I245" s="5"/>
      <c r="J245" s="4"/>
      <c r="K245" s="5"/>
    </row>
    <row r="246" spans="3:11" ht="12.75">
      <c r="C246" s="8"/>
      <c r="D246" s="8"/>
      <c r="E246" s="8"/>
      <c r="F246" s="20"/>
      <c r="G246" s="20"/>
      <c r="H246" s="20"/>
      <c r="I246" s="20"/>
      <c r="J246" s="20"/>
      <c r="K246" s="20"/>
    </row>
    <row r="247" spans="3:11" ht="12.75">
      <c r="C247" s="8"/>
      <c r="D247" s="8"/>
      <c r="E247" s="8"/>
      <c r="F247" s="8"/>
      <c r="G247" s="8"/>
      <c r="H247" s="8"/>
      <c r="I247" s="5"/>
      <c r="J247" s="4"/>
      <c r="K247" s="5"/>
    </row>
    <row r="248" spans="3:11" ht="12.75">
      <c r="C248" s="8"/>
      <c r="D248" s="20"/>
      <c r="E248" s="20"/>
      <c r="F248" s="8"/>
      <c r="G248" s="20"/>
      <c r="H248" s="20"/>
      <c r="I248" s="20"/>
      <c r="J248" s="20"/>
      <c r="K248" s="20"/>
    </row>
    <row r="249" spans="4:11" ht="12.75">
      <c r="D249" s="2"/>
      <c r="E249" s="2"/>
      <c r="F249" s="2"/>
      <c r="G249" s="2"/>
      <c r="H249" s="2"/>
      <c r="I249" s="2"/>
      <c r="J249" s="2"/>
      <c r="K249" s="2"/>
    </row>
    <row r="250" spans="9:11" ht="12.75">
      <c r="I250" s="5"/>
      <c r="J250" s="4"/>
      <c r="K250" s="5"/>
    </row>
    <row r="251" spans="9:11" ht="12.75">
      <c r="I251" s="5"/>
      <c r="J251" s="4"/>
      <c r="K251" s="5"/>
    </row>
    <row r="252" spans="3:11" ht="12.75">
      <c r="C252" s="8"/>
      <c r="D252" s="8"/>
      <c r="E252" s="8"/>
      <c r="F252" s="8"/>
      <c r="G252" s="8"/>
      <c r="H252" s="8"/>
      <c r="I252" s="5"/>
      <c r="J252" s="4"/>
      <c r="K252" s="5"/>
    </row>
    <row r="253" spans="3:11" ht="12.75">
      <c r="C253" s="8"/>
      <c r="D253" s="8"/>
      <c r="E253" s="8"/>
      <c r="F253" s="8"/>
      <c r="G253" s="8"/>
      <c r="H253" s="8"/>
      <c r="I253" s="5"/>
      <c r="J253" s="4"/>
      <c r="K253" s="5"/>
    </row>
    <row r="254" spans="3:11" ht="12.75">
      <c r="C254" s="8"/>
      <c r="D254" s="8"/>
      <c r="E254" s="8"/>
      <c r="F254" s="8"/>
      <c r="G254" s="8"/>
      <c r="H254" s="8"/>
      <c r="I254" s="5"/>
      <c r="J254" s="4"/>
      <c r="K254" s="5"/>
    </row>
    <row r="255" spans="3:11" ht="12.75">
      <c r="C255" s="8"/>
      <c r="D255" s="8"/>
      <c r="E255" s="8"/>
      <c r="F255" s="8"/>
      <c r="G255" s="8"/>
      <c r="H255" s="8"/>
      <c r="I255" s="5"/>
      <c r="J255" s="4"/>
      <c r="K255" s="5"/>
    </row>
    <row r="256" spans="3:11" ht="12.75">
      <c r="C256" s="8"/>
      <c r="D256" s="8"/>
      <c r="E256" s="8"/>
      <c r="F256" s="8"/>
      <c r="G256" s="8"/>
      <c r="H256" s="8"/>
      <c r="I256" s="4"/>
      <c r="J256" s="4"/>
      <c r="K256" s="4"/>
    </row>
    <row r="257" spans="3:11" ht="12.75">
      <c r="C257" s="8"/>
      <c r="D257" s="8"/>
      <c r="E257" s="8"/>
      <c r="F257" s="8"/>
      <c r="G257" s="8"/>
      <c r="H257" s="8"/>
      <c r="I257" s="5"/>
      <c r="J257" s="5"/>
      <c r="K257" s="5"/>
    </row>
    <row r="258" spans="3:11" ht="12.75">
      <c r="C258" s="8"/>
      <c r="D258" s="8"/>
      <c r="E258" s="8"/>
      <c r="F258" s="8"/>
      <c r="G258" s="8"/>
      <c r="H258" s="8"/>
      <c r="I258" s="7"/>
      <c r="J258" s="4"/>
      <c r="K258" s="5"/>
    </row>
  </sheetData>
  <sheetProtection password="CF7A" sheet="1"/>
  <mergeCells count="38">
    <mergeCell ref="A182:K182"/>
    <mergeCell ref="A148:K148"/>
    <mergeCell ref="A63:N63"/>
    <mergeCell ref="A114:N114"/>
    <mergeCell ref="G4:G6"/>
    <mergeCell ref="N4:N6"/>
    <mergeCell ref="F4:F6"/>
    <mergeCell ref="A79:N79"/>
    <mergeCell ref="A213:K213"/>
    <mergeCell ref="A198:K198"/>
    <mergeCell ref="A165:K165"/>
    <mergeCell ref="L4:L6"/>
    <mergeCell ref="A130:K130"/>
    <mergeCell ref="A98:N98"/>
    <mergeCell ref="A80:N80"/>
    <mergeCell ref="E4:E6"/>
    <mergeCell ref="M4:M6"/>
    <mergeCell ref="H4:H6"/>
    <mergeCell ref="A1:N1"/>
    <mergeCell ref="A214:N214"/>
    <mergeCell ref="A199:N199"/>
    <mergeCell ref="A183:N183"/>
    <mergeCell ref="A166:N166"/>
    <mergeCell ref="A149:N149"/>
    <mergeCell ref="A131:N131"/>
    <mergeCell ref="I4:I6"/>
    <mergeCell ref="J4:J6"/>
    <mergeCell ref="D4:D6"/>
    <mergeCell ref="A2:K2"/>
    <mergeCell ref="A97:K97"/>
    <mergeCell ref="A113:K113"/>
    <mergeCell ref="C44:K44"/>
    <mergeCell ref="A28:K28"/>
    <mergeCell ref="A7:N7"/>
    <mergeCell ref="A62:K62"/>
    <mergeCell ref="A45:N45"/>
    <mergeCell ref="A29:N29"/>
    <mergeCell ref="K4:K6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I123" sqref="I123"/>
    </sheetView>
  </sheetViews>
  <sheetFormatPr defaultColWidth="9.00390625" defaultRowHeight="12.75"/>
  <cols>
    <col min="1" max="1" width="9.25390625" style="0" bestFit="1" customWidth="1"/>
    <col min="2" max="2" width="30.625" style="0" customWidth="1"/>
    <col min="3" max="4" width="14.25390625" style="0" bestFit="1" customWidth="1"/>
    <col min="5" max="5" width="13.625" style="0" customWidth="1"/>
    <col min="6" max="6" width="12.375" style="0" bestFit="1" customWidth="1"/>
    <col min="7" max="7" width="17.125" style="0" customWidth="1"/>
    <col min="8" max="8" width="11.875" style="0" customWidth="1"/>
    <col min="9" max="9" width="14.25390625" style="0" bestFit="1" customWidth="1"/>
    <col min="10" max="10" width="18.00390625" style="0" customWidth="1"/>
    <col min="11" max="11" width="16.75390625" style="0" customWidth="1"/>
  </cols>
  <sheetData>
    <row r="1" spans="1:11" s="171" customFormat="1" ht="15" customHeight="1">
      <c r="A1" s="170" t="s">
        <v>85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s="171" customFormat="1" ht="15.75" thickBot="1">
      <c r="A2" s="172"/>
      <c r="B2" s="173"/>
      <c r="C2" s="174"/>
      <c r="D2" s="175"/>
      <c r="E2" s="176"/>
      <c r="F2" s="177"/>
      <c r="G2" s="177"/>
      <c r="H2" s="178"/>
      <c r="I2" s="179"/>
      <c r="J2" s="180"/>
      <c r="K2" s="181"/>
    </row>
    <row r="3" spans="1:11" s="171" customFormat="1" ht="13.5" customHeight="1">
      <c r="A3" s="106" t="s">
        <v>86</v>
      </c>
      <c r="B3" s="107" t="s">
        <v>87</v>
      </c>
      <c r="C3" s="108" t="s">
        <v>88</v>
      </c>
      <c r="D3" s="108"/>
      <c r="E3" s="108"/>
      <c r="F3" s="109" t="s">
        <v>89</v>
      </c>
      <c r="G3" s="109"/>
      <c r="H3" s="109"/>
      <c r="I3" s="110" t="s">
        <v>90</v>
      </c>
      <c r="J3" s="110"/>
      <c r="K3" s="111"/>
    </row>
    <row r="4" spans="1:11" s="171" customFormat="1" ht="19.5" customHeight="1">
      <c r="A4" s="112"/>
      <c r="B4" s="113"/>
      <c r="C4" s="114" t="s">
        <v>91</v>
      </c>
      <c r="D4" s="114" t="s">
        <v>92</v>
      </c>
      <c r="E4" s="115" t="s">
        <v>93</v>
      </c>
      <c r="F4" s="114" t="s">
        <v>91</v>
      </c>
      <c r="G4" s="114" t="s">
        <v>92</v>
      </c>
      <c r="H4" s="116" t="s">
        <v>93</v>
      </c>
      <c r="I4" s="117" t="s">
        <v>91</v>
      </c>
      <c r="J4" s="118" t="s">
        <v>94</v>
      </c>
      <c r="K4" s="119" t="s">
        <v>93</v>
      </c>
    </row>
    <row r="5" spans="1:11" s="171" customFormat="1" ht="11.25" customHeight="1">
      <c r="A5" s="112"/>
      <c r="B5" s="113"/>
      <c r="C5" s="120"/>
      <c r="D5" s="114"/>
      <c r="E5" s="169"/>
      <c r="F5" s="120"/>
      <c r="G5" s="114"/>
      <c r="H5" s="121"/>
      <c r="I5" s="122"/>
      <c r="J5" s="118"/>
      <c r="K5" s="123"/>
    </row>
    <row r="6" spans="1:11" s="171" customFormat="1" ht="8.25" customHeight="1">
      <c r="A6" s="112"/>
      <c r="B6" s="124" t="s">
        <v>95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1:11" s="171" customFormat="1" ht="12.75" customHeight="1" hidden="1">
      <c r="A7" s="112"/>
      <c r="B7" s="124"/>
      <c r="C7" s="124"/>
      <c r="D7" s="124"/>
      <c r="E7" s="124"/>
      <c r="F7" s="124"/>
      <c r="G7" s="124"/>
      <c r="H7" s="124"/>
      <c r="I7" s="124"/>
      <c r="J7" s="124"/>
      <c r="K7" s="125"/>
    </row>
    <row r="8" spans="1:11" s="171" customFormat="1" ht="14.25" customHeight="1">
      <c r="A8" s="112"/>
      <c r="B8" s="124"/>
      <c r="C8" s="124"/>
      <c r="D8" s="124"/>
      <c r="E8" s="124"/>
      <c r="F8" s="124"/>
      <c r="G8" s="124"/>
      <c r="H8" s="124"/>
      <c r="I8" s="124"/>
      <c r="J8" s="124"/>
      <c r="K8" s="125"/>
    </row>
    <row r="9" spans="1:11" s="171" customFormat="1" ht="28.5">
      <c r="A9" s="126" t="s">
        <v>96</v>
      </c>
      <c r="B9" s="127" t="s">
        <v>97</v>
      </c>
      <c r="C9" s="128">
        <f>SUM(C10:C17)</f>
        <v>398135.9</v>
      </c>
      <c r="D9" s="128">
        <f>SUM(D10:D17)</f>
        <v>316824.5</v>
      </c>
      <c r="E9" s="128">
        <f>D9/C9*100</f>
        <v>79.57697359117827</v>
      </c>
      <c r="F9" s="128">
        <f>F10+F11+F12+F13+F14+F16+F17+F15</f>
        <v>202100</v>
      </c>
      <c r="G9" s="128">
        <f>SUM(G10:G17)</f>
        <v>153209.5</v>
      </c>
      <c r="H9" s="129">
        <f>G9/F9*100</f>
        <v>75.80875804057398</v>
      </c>
      <c r="I9" s="128">
        <f>SUM(I10:I17)</f>
        <v>599269.7</v>
      </c>
      <c r="J9" s="128">
        <f>SUM(J10:J17)</f>
        <v>469365.19999999995</v>
      </c>
      <c r="K9" s="130">
        <f>J9/I9*100</f>
        <v>78.32286531423163</v>
      </c>
    </row>
    <row r="10" spans="1:12" s="171" customFormat="1" ht="30">
      <c r="A10" s="131" t="s">
        <v>98</v>
      </c>
      <c r="B10" s="132" t="s">
        <v>99</v>
      </c>
      <c r="C10" s="133">
        <v>4507.4</v>
      </c>
      <c r="D10" s="133">
        <v>3375.6</v>
      </c>
      <c r="E10" s="134">
        <f>D10/C10*100</f>
        <v>74.89018059191552</v>
      </c>
      <c r="F10" s="135">
        <v>44370.5</v>
      </c>
      <c r="G10" s="135">
        <v>34935.6</v>
      </c>
      <c r="H10" s="136">
        <f>G10/F10*100</f>
        <v>78.73609718168602</v>
      </c>
      <c r="I10" s="137">
        <f>C10+F10</f>
        <v>48877.9</v>
      </c>
      <c r="J10" s="138">
        <f>D10+G10</f>
        <v>38311.2</v>
      </c>
      <c r="K10" s="139">
        <f aca="true" t="shared" si="0" ref="K10:K89">J10/I10*100</f>
        <v>78.38143619099837</v>
      </c>
      <c r="L10" s="182"/>
    </row>
    <row r="11" spans="1:12" s="171" customFormat="1" ht="63.75" customHeight="1">
      <c r="A11" s="131" t="s">
        <v>100</v>
      </c>
      <c r="B11" s="132" t="s">
        <v>101</v>
      </c>
      <c r="C11" s="133">
        <v>8503.2</v>
      </c>
      <c r="D11" s="133">
        <v>6198.4</v>
      </c>
      <c r="E11" s="134">
        <f aca="true" t="shared" si="1" ref="E11:E19">D11/C11*100</f>
        <v>72.89491015147237</v>
      </c>
      <c r="F11" s="135">
        <v>0</v>
      </c>
      <c r="G11" s="135"/>
      <c r="H11" s="136">
        <v>0</v>
      </c>
      <c r="I11" s="137">
        <f>C11+F11</f>
        <v>8503.2</v>
      </c>
      <c r="J11" s="138">
        <f>D11+G11</f>
        <v>6198.4</v>
      </c>
      <c r="K11" s="139">
        <f t="shared" si="0"/>
        <v>72.89491015147237</v>
      </c>
      <c r="L11" s="182"/>
    </row>
    <row r="12" spans="1:12" s="171" customFormat="1" ht="44.25" customHeight="1">
      <c r="A12" s="131" t="s">
        <v>102</v>
      </c>
      <c r="B12" s="132" t="s">
        <v>103</v>
      </c>
      <c r="C12" s="133">
        <v>156943.9</v>
      </c>
      <c r="D12" s="133">
        <v>117914.3</v>
      </c>
      <c r="E12" s="134">
        <f t="shared" si="1"/>
        <v>75.13149603138447</v>
      </c>
      <c r="F12" s="135">
        <v>120522.5</v>
      </c>
      <c r="G12" s="135">
        <v>93224.5</v>
      </c>
      <c r="H12" s="136">
        <f>G12/F12*100</f>
        <v>77.35028729075484</v>
      </c>
      <c r="I12" s="137">
        <f>C12+F12</f>
        <v>277466.4</v>
      </c>
      <c r="J12" s="138">
        <f>D12+G12</f>
        <v>211138.8</v>
      </c>
      <c r="K12" s="139">
        <f t="shared" si="0"/>
        <v>76.09526775133853</v>
      </c>
      <c r="L12" s="182"/>
    </row>
    <row r="13" spans="1:12" s="171" customFormat="1" ht="24.75" customHeight="1">
      <c r="A13" s="131" t="s">
        <v>104</v>
      </c>
      <c r="B13" s="132" t="s">
        <v>105</v>
      </c>
      <c r="C13" s="133">
        <v>11.3</v>
      </c>
      <c r="D13" s="133">
        <v>3</v>
      </c>
      <c r="E13" s="134">
        <f t="shared" si="1"/>
        <v>26.54867256637168</v>
      </c>
      <c r="F13" s="135">
        <v>0</v>
      </c>
      <c r="G13" s="135"/>
      <c r="H13" s="136">
        <v>0</v>
      </c>
      <c r="I13" s="137">
        <f>C13+F13</f>
        <v>11.3</v>
      </c>
      <c r="J13" s="138">
        <f>D13+G13</f>
        <v>3</v>
      </c>
      <c r="K13" s="139">
        <f t="shared" si="0"/>
        <v>26.54867256637168</v>
      </c>
      <c r="L13" s="182"/>
    </row>
    <row r="14" spans="1:12" s="171" customFormat="1" ht="38.25" customHeight="1">
      <c r="A14" s="131" t="s">
        <v>106</v>
      </c>
      <c r="B14" s="132" t="s">
        <v>107</v>
      </c>
      <c r="C14" s="133">
        <v>31790</v>
      </c>
      <c r="D14" s="133">
        <v>25713.2</v>
      </c>
      <c r="E14" s="134">
        <f t="shared" si="1"/>
        <v>80.88455489147532</v>
      </c>
      <c r="F14" s="135">
        <v>0</v>
      </c>
      <c r="G14" s="135"/>
      <c r="H14" s="136">
        <v>0</v>
      </c>
      <c r="I14" s="137">
        <f>C14+F14</f>
        <v>31790</v>
      </c>
      <c r="J14" s="140">
        <f>D14+G14</f>
        <v>25713.2</v>
      </c>
      <c r="K14" s="139">
        <f t="shared" si="0"/>
        <v>80.88455489147532</v>
      </c>
      <c r="L14" s="182"/>
    </row>
    <row r="15" spans="1:12" s="171" customFormat="1" ht="42" customHeight="1">
      <c r="A15" s="131" t="s">
        <v>108</v>
      </c>
      <c r="B15" s="132" t="s">
        <v>109</v>
      </c>
      <c r="C15" s="133"/>
      <c r="D15" s="133"/>
      <c r="E15" s="134"/>
      <c r="F15" s="135">
        <v>332</v>
      </c>
      <c r="G15" s="135">
        <v>332</v>
      </c>
      <c r="H15" s="136">
        <f>G15/F15*100</f>
        <v>100</v>
      </c>
      <c r="I15" s="137">
        <f>C15+F15</f>
        <v>332</v>
      </c>
      <c r="J15" s="138">
        <f>D15+G15</f>
        <v>332</v>
      </c>
      <c r="K15" s="139">
        <f t="shared" si="0"/>
        <v>100</v>
      </c>
      <c r="L15" s="182"/>
    </row>
    <row r="16" spans="1:12" s="171" customFormat="1" ht="22.5" customHeight="1">
      <c r="A16" s="141" t="s">
        <v>110</v>
      </c>
      <c r="B16" s="132" t="s">
        <v>111</v>
      </c>
      <c r="C16" s="133">
        <v>5000</v>
      </c>
      <c r="D16" s="133"/>
      <c r="E16" s="134">
        <f t="shared" si="1"/>
        <v>0</v>
      </c>
      <c r="F16" s="135">
        <v>1025</v>
      </c>
      <c r="G16" s="135"/>
      <c r="H16" s="136">
        <f>G16/F16*100</f>
        <v>0</v>
      </c>
      <c r="I16" s="137">
        <f>C16+F16</f>
        <v>6025</v>
      </c>
      <c r="J16" s="138">
        <f>D16+G16</f>
        <v>0</v>
      </c>
      <c r="K16" s="139">
        <f t="shared" si="0"/>
        <v>0</v>
      </c>
      <c r="L16" s="182"/>
    </row>
    <row r="17" spans="1:12" s="171" customFormat="1" ht="38.25" customHeight="1">
      <c r="A17" s="131" t="s">
        <v>112</v>
      </c>
      <c r="B17" s="132" t="s">
        <v>113</v>
      </c>
      <c r="C17" s="133">
        <v>191380.1</v>
      </c>
      <c r="D17" s="133">
        <v>163620</v>
      </c>
      <c r="E17" s="134">
        <f t="shared" si="1"/>
        <v>85.49478237287994</v>
      </c>
      <c r="F17" s="135">
        <v>35850</v>
      </c>
      <c r="G17" s="135">
        <v>24717.4</v>
      </c>
      <c r="H17" s="136">
        <f>G17/F17*100</f>
        <v>68.94672245467225</v>
      </c>
      <c r="I17" s="142">
        <f>C17+F17-446.2-520</f>
        <v>226263.9</v>
      </c>
      <c r="J17" s="143">
        <f>D17+G17-83.8-520-65</f>
        <v>187668.6</v>
      </c>
      <c r="K17" s="139">
        <f t="shared" si="0"/>
        <v>82.94235182899261</v>
      </c>
      <c r="L17" s="182"/>
    </row>
    <row r="18" spans="1:12" s="171" customFormat="1" ht="24.75" customHeight="1">
      <c r="A18" s="126" t="s">
        <v>114</v>
      </c>
      <c r="B18" s="127" t="s">
        <v>115</v>
      </c>
      <c r="C18" s="128">
        <f aca="true" t="shared" si="2" ref="C18:J18">C19</f>
        <v>3702</v>
      </c>
      <c r="D18" s="128">
        <f t="shared" si="2"/>
        <v>2418.2</v>
      </c>
      <c r="E18" s="128">
        <f t="shared" si="2"/>
        <v>65.32144786601836</v>
      </c>
      <c r="F18" s="128">
        <f t="shared" si="2"/>
        <v>3702</v>
      </c>
      <c r="G18" s="128">
        <f t="shared" si="2"/>
        <v>2417.3</v>
      </c>
      <c r="H18" s="144">
        <f t="shared" si="2"/>
        <v>65.29713668287413</v>
      </c>
      <c r="I18" s="128">
        <f t="shared" si="2"/>
        <v>3702</v>
      </c>
      <c r="J18" s="128">
        <f t="shared" si="2"/>
        <v>2417.2</v>
      </c>
      <c r="K18" s="145">
        <f t="shared" si="0"/>
        <v>65.29443544030254</v>
      </c>
      <c r="L18" s="182"/>
    </row>
    <row r="19" spans="1:12" s="171" customFormat="1" ht="27.75" customHeight="1">
      <c r="A19" s="131" t="s">
        <v>116</v>
      </c>
      <c r="B19" s="132" t="s">
        <v>117</v>
      </c>
      <c r="C19" s="133">
        <v>3702</v>
      </c>
      <c r="D19" s="133">
        <v>2418.2</v>
      </c>
      <c r="E19" s="134">
        <f t="shared" si="1"/>
        <v>65.32144786601836</v>
      </c>
      <c r="F19" s="135">
        <v>3702</v>
      </c>
      <c r="G19" s="135">
        <v>2417.3</v>
      </c>
      <c r="H19" s="136">
        <f>G19/F19*100</f>
        <v>65.29713668287413</v>
      </c>
      <c r="I19" s="143">
        <f>C19+F19-3702</f>
        <v>3702</v>
      </c>
      <c r="J19" s="143">
        <f>D19+G19-2418.3</f>
        <v>2417.2</v>
      </c>
      <c r="K19" s="139">
        <f t="shared" si="0"/>
        <v>65.29443544030254</v>
      </c>
      <c r="L19" s="182"/>
    </row>
    <row r="20" spans="1:12" s="171" customFormat="1" ht="12.75" customHeight="1">
      <c r="A20" s="146" t="s">
        <v>118</v>
      </c>
      <c r="B20" s="147" t="s">
        <v>119</v>
      </c>
      <c r="C20" s="148">
        <f>C23+C24+C22</f>
        <v>18371.8</v>
      </c>
      <c r="D20" s="148">
        <f>D23+D24+D22</f>
        <v>13102.6</v>
      </c>
      <c r="E20" s="148">
        <f>D20/C20*100</f>
        <v>71.31908686138539</v>
      </c>
      <c r="F20" s="148">
        <f>F23+F24+F22</f>
        <v>4804.6</v>
      </c>
      <c r="G20" s="148">
        <f>G23+G24+G22</f>
        <v>2650.7000000000003</v>
      </c>
      <c r="H20" s="148">
        <f>G20/F20*100</f>
        <v>55.17004537318403</v>
      </c>
      <c r="I20" s="148">
        <f>I23+I24+I22</f>
        <v>21507.8</v>
      </c>
      <c r="J20" s="148">
        <f>SUM(J22:J24)</f>
        <v>14852.700000000003</v>
      </c>
      <c r="K20" s="148">
        <f>J20/I20*100</f>
        <v>69.05727224541795</v>
      </c>
      <c r="L20" s="182"/>
    </row>
    <row r="21" spans="1:12" s="171" customFormat="1" ht="36.75" customHeight="1">
      <c r="A21" s="146"/>
      <c r="B21" s="147"/>
      <c r="C21" s="148"/>
      <c r="D21" s="148"/>
      <c r="E21" s="148"/>
      <c r="F21" s="148"/>
      <c r="G21" s="148"/>
      <c r="H21" s="148"/>
      <c r="I21" s="148"/>
      <c r="J21" s="148"/>
      <c r="K21" s="148"/>
      <c r="L21" s="182"/>
    </row>
    <row r="22" spans="1:12" s="171" customFormat="1" ht="15">
      <c r="A22" s="141" t="s">
        <v>120</v>
      </c>
      <c r="B22" s="132" t="s">
        <v>121</v>
      </c>
      <c r="C22" s="133">
        <v>6929.4</v>
      </c>
      <c r="D22" s="133">
        <v>4262.1</v>
      </c>
      <c r="E22" s="134">
        <f aca="true" t="shared" si="3" ref="E22:E100">D22/C22*100</f>
        <v>61.50748982595896</v>
      </c>
      <c r="F22" s="135">
        <v>874</v>
      </c>
      <c r="G22" s="135">
        <v>433</v>
      </c>
      <c r="H22" s="136">
        <f>G22/F22*100</f>
        <v>49.54233409610984</v>
      </c>
      <c r="I22" s="143">
        <f>C22+F22-874</f>
        <v>6929.4</v>
      </c>
      <c r="J22" s="143">
        <f>D22+G22-433.4</f>
        <v>4261.700000000001</v>
      </c>
      <c r="K22" s="139">
        <f>J22/I22*100</f>
        <v>61.50171732040294</v>
      </c>
      <c r="L22" s="182"/>
    </row>
    <row r="23" spans="1:12" s="171" customFormat="1" ht="50.25" customHeight="1">
      <c r="A23" s="131" t="s">
        <v>122</v>
      </c>
      <c r="B23" s="132" t="s">
        <v>123</v>
      </c>
      <c r="C23" s="133">
        <v>11045.9</v>
      </c>
      <c r="D23" s="133">
        <v>8591.6</v>
      </c>
      <c r="E23" s="134">
        <f t="shared" si="3"/>
        <v>77.78089607908818</v>
      </c>
      <c r="F23" s="135">
        <v>3568.1</v>
      </c>
      <c r="G23" s="135">
        <v>2048.8</v>
      </c>
      <c r="H23" s="136">
        <f>G23/F23*100</f>
        <v>57.419915361116566</v>
      </c>
      <c r="I23" s="143">
        <f>C23+F23-545.7</f>
        <v>14068.3</v>
      </c>
      <c r="J23" s="143">
        <f>D23+G23-218.3</f>
        <v>10422.100000000002</v>
      </c>
      <c r="K23" s="139">
        <f>J23/I23*100</f>
        <v>74.08215633729735</v>
      </c>
      <c r="L23" s="182"/>
    </row>
    <row r="24" spans="1:12" s="171" customFormat="1" ht="59.25" customHeight="1">
      <c r="A24" s="141" t="s">
        <v>124</v>
      </c>
      <c r="B24" s="132" t="s">
        <v>125</v>
      </c>
      <c r="C24" s="133">
        <v>396.5</v>
      </c>
      <c r="D24" s="133">
        <v>248.9</v>
      </c>
      <c r="E24" s="134">
        <f t="shared" si="3"/>
        <v>62.774274905422445</v>
      </c>
      <c r="F24" s="135">
        <v>362.5</v>
      </c>
      <c r="G24" s="135">
        <v>168.9</v>
      </c>
      <c r="H24" s="136">
        <f>G24/F24*100</f>
        <v>46.59310344827586</v>
      </c>
      <c r="I24" s="143">
        <f>C24+F24-248.9</f>
        <v>510.1</v>
      </c>
      <c r="J24" s="143">
        <f>D24+G24-248.9</f>
        <v>168.9</v>
      </c>
      <c r="K24" s="139">
        <f>J24/I24*100</f>
        <v>33.11115467555381</v>
      </c>
      <c r="L24" s="182"/>
    </row>
    <row r="25" spans="1:12" s="171" customFormat="1" ht="29.25" customHeight="1">
      <c r="A25" s="126" t="s">
        <v>126</v>
      </c>
      <c r="B25" s="127" t="s">
        <v>127</v>
      </c>
      <c r="C25" s="128">
        <f>SUM(C26:C46)</f>
        <v>210579.9</v>
      </c>
      <c r="D25" s="128">
        <f>SUM(D26:D46)</f>
        <v>153092.10000000003</v>
      </c>
      <c r="E25" s="128">
        <f>D25/C25*100</f>
        <v>72.70024347053068</v>
      </c>
      <c r="F25" s="128">
        <f>SUM(F26:F46)</f>
        <v>105272.29999999999</v>
      </c>
      <c r="G25" s="128">
        <f>SUM(G26:G46)</f>
        <v>69196.2</v>
      </c>
      <c r="H25" s="129">
        <f>G25/F25*100</f>
        <v>65.73068129032994</v>
      </c>
      <c r="I25" s="128">
        <f>SUM(I26:I46)</f>
        <v>284121.5</v>
      </c>
      <c r="J25" s="128">
        <f>SUM(J26:J46)</f>
        <v>205952.1</v>
      </c>
      <c r="K25" s="149">
        <f t="shared" si="0"/>
        <v>72.48733376390031</v>
      </c>
      <c r="L25" s="182"/>
    </row>
    <row r="26" spans="1:12" s="171" customFormat="1" ht="75" customHeight="1">
      <c r="A26" s="141" t="s">
        <v>128</v>
      </c>
      <c r="B26" s="150" t="s">
        <v>129</v>
      </c>
      <c r="C26" s="133">
        <v>18205.5</v>
      </c>
      <c r="D26" s="133">
        <v>9953.3</v>
      </c>
      <c r="E26" s="134">
        <f t="shared" si="3"/>
        <v>54.67193979841256</v>
      </c>
      <c r="F26" s="133">
        <v>12589.2</v>
      </c>
      <c r="G26" s="135">
        <v>9934.1</v>
      </c>
      <c r="H26" s="136">
        <f>G26/F26*100</f>
        <v>78.90970037810186</v>
      </c>
      <c r="I26" s="143">
        <f>C26+F26-12034.4</f>
        <v>18760.300000000003</v>
      </c>
      <c r="J26" s="143">
        <f>D26+G26-6270.9</f>
        <v>13616.500000000002</v>
      </c>
      <c r="K26" s="139">
        <f t="shared" si="0"/>
        <v>72.5814619169203</v>
      </c>
      <c r="L26" s="182"/>
    </row>
    <row r="27" spans="1:12" s="171" customFormat="1" ht="36" customHeight="1">
      <c r="A27" s="131" t="s">
        <v>130</v>
      </c>
      <c r="B27" s="132" t="s">
        <v>131</v>
      </c>
      <c r="C27" s="133">
        <v>52105.8</v>
      </c>
      <c r="D27" s="133">
        <v>42324.7</v>
      </c>
      <c r="E27" s="134">
        <f t="shared" si="3"/>
        <v>81.22838532370676</v>
      </c>
      <c r="F27" s="135">
        <v>0</v>
      </c>
      <c r="G27" s="135"/>
      <c r="H27" s="136">
        <v>0</v>
      </c>
      <c r="I27" s="138">
        <f>C27+F27</f>
        <v>52105.8</v>
      </c>
      <c r="J27" s="138">
        <f>D27+G27</f>
        <v>42324.7</v>
      </c>
      <c r="K27" s="139">
        <f t="shared" si="0"/>
        <v>81.22838532370676</v>
      </c>
      <c r="L27" s="182"/>
    </row>
    <row r="28" spans="1:12" s="171" customFormat="1" ht="31.5" customHeight="1">
      <c r="A28" s="131" t="s">
        <v>132</v>
      </c>
      <c r="B28" s="132" t="s">
        <v>133</v>
      </c>
      <c r="C28" s="133">
        <v>7000</v>
      </c>
      <c r="D28" s="133">
        <v>3101.8</v>
      </c>
      <c r="E28" s="134">
        <f t="shared" si="3"/>
        <v>44.31142857142857</v>
      </c>
      <c r="F28" s="135">
        <v>0</v>
      </c>
      <c r="G28" s="135"/>
      <c r="H28" s="136">
        <v>0</v>
      </c>
      <c r="I28" s="137">
        <f>C28+F28</f>
        <v>7000</v>
      </c>
      <c r="J28" s="138">
        <f>D28+G28</f>
        <v>3101.8</v>
      </c>
      <c r="K28" s="139">
        <f t="shared" si="0"/>
        <v>44.31142857142857</v>
      </c>
      <c r="L28" s="182"/>
    </row>
    <row r="29" spans="1:12" s="171" customFormat="1" ht="45" customHeight="1">
      <c r="A29" s="131" t="s">
        <v>132</v>
      </c>
      <c r="B29" s="132" t="s">
        <v>134</v>
      </c>
      <c r="C29" s="133">
        <v>18607</v>
      </c>
      <c r="D29" s="133">
        <v>14524.1</v>
      </c>
      <c r="E29" s="134">
        <f t="shared" si="3"/>
        <v>78.05718278067394</v>
      </c>
      <c r="F29" s="135">
        <v>16059</v>
      </c>
      <c r="G29" s="135">
        <v>9382.4</v>
      </c>
      <c r="H29" s="136">
        <f>G29/F29*100</f>
        <v>58.424559437075786</v>
      </c>
      <c r="I29" s="143">
        <f>C29+F29-2107</f>
        <v>32559</v>
      </c>
      <c r="J29" s="143">
        <f>D29+G29-842.8</f>
        <v>23063.7</v>
      </c>
      <c r="K29" s="139">
        <f t="shared" si="0"/>
        <v>70.83663503178845</v>
      </c>
      <c r="L29" s="182"/>
    </row>
    <row r="30" spans="1:12" s="171" customFormat="1" ht="25.5" customHeight="1">
      <c r="A30" s="131" t="s">
        <v>132</v>
      </c>
      <c r="B30" s="132" t="s">
        <v>135</v>
      </c>
      <c r="C30" s="133">
        <v>21500</v>
      </c>
      <c r="D30" s="133">
        <v>13855.8</v>
      </c>
      <c r="E30" s="134">
        <f t="shared" si="3"/>
        <v>64.44558139534884</v>
      </c>
      <c r="F30" s="135">
        <v>0</v>
      </c>
      <c r="G30" s="135"/>
      <c r="H30" s="136">
        <v>0</v>
      </c>
      <c r="I30" s="137">
        <f>C30+F30</f>
        <v>21500</v>
      </c>
      <c r="J30" s="138">
        <f>D30+G30</f>
        <v>13855.8</v>
      </c>
      <c r="K30" s="139">
        <f t="shared" si="0"/>
        <v>64.44558139534884</v>
      </c>
      <c r="L30" s="182"/>
    </row>
    <row r="31" spans="1:12" s="171" customFormat="1" ht="73.5" customHeight="1">
      <c r="A31" s="131" t="s">
        <v>136</v>
      </c>
      <c r="B31" s="151" t="s">
        <v>137</v>
      </c>
      <c r="C31" s="133">
        <v>2396</v>
      </c>
      <c r="D31" s="133">
        <v>2241.1</v>
      </c>
      <c r="E31" s="134">
        <f t="shared" si="3"/>
        <v>93.53505843071785</v>
      </c>
      <c r="F31" s="135">
        <v>577.7</v>
      </c>
      <c r="G31" s="135">
        <v>400.6</v>
      </c>
      <c r="H31" s="136">
        <f aca="true" t="shared" si="4" ref="H31:H40">G31/F31*100</f>
        <v>69.34395014713519</v>
      </c>
      <c r="I31" s="137">
        <f>C31+F31</f>
        <v>2973.7</v>
      </c>
      <c r="J31" s="138">
        <f>D31+G31</f>
        <v>2641.7</v>
      </c>
      <c r="K31" s="139">
        <f t="shared" si="0"/>
        <v>88.83545751084507</v>
      </c>
      <c r="L31" s="182"/>
    </row>
    <row r="32" spans="1:12" s="171" customFormat="1" ht="82.5" customHeight="1">
      <c r="A32" s="141" t="s">
        <v>136</v>
      </c>
      <c r="B32" s="151" t="s">
        <v>138</v>
      </c>
      <c r="C32" s="133">
        <v>51319</v>
      </c>
      <c r="D32" s="133">
        <v>48295.4</v>
      </c>
      <c r="E32" s="134">
        <f t="shared" si="3"/>
        <v>94.1082250238703</v>
      </c>
      <c r="F32" s="135">
        <v>10608.3</v>
      </c>
      <c r="G32" s="135">
        <v>7610</v>
      </c>
      <c r="H32" s="136">
        <f t="shared" si="4"/>
        <v>71.73628196789306</v>
      </c>
      <c r="I32" s="143">
        <f>C32+F32-10608.3</f>
        <v>51319</v>
      </c>
      <c r="J32" s="152">
        <f>D32+G32-7609.9</f>
        <v>48295.5</v>
      </c>
      <c r="K32" s="139">
        <f t="shared" si="0"/>
        <v>94.10841988347396</v>
      </c>
      <c r="L32" s="182"/>
    </row>
    <row r="33" spans="1:12" s="171" customFormat="1" ht="66" customHeight="1">
      <c r="A33" s="141" t="s">
        <v>136</v>
      </c>
      <c r="B33" s="132" t="s">
        <v>139</v>
      </c>
      <c r="C33" s="133">
        <f>6738.5+133+67.4</f>
        <v>6938.9</v>
      </c>
      <c r="D33" s="133">
        <v>3662.2</v>
      </c>
      <c r="E33" s="134">
        <f t="shared" si="3"/>
        <v>52.77781780973929</v>
      </c>
      <c r="F33" s="135">
        <v>2300</v>
      </c>
      <c r="G33" s="135">
        <v>1463</v>
      </c>
      <c r="H33" s="136">
        <f t="shared" si="4"/>
        <v>63.60869565217391</v>
      </c>
      <c r="I33" s="143">
        <f>C33+F33-2300</f>
        <v>6938.9</v>
      </c>
      <c r="J33" s="143">
        <f>D33+G33-1463</f>
        <v>3662.2</v>
      </c>
      <c r="K33" s="139">
        <f t="shared" si="0"/>
        <v>52.77781780973929</v>
      </c>
      <c r="L33" s="182"/>
    </row>
    <row r="34" spans="1:12" s="171" customFormat="1" ht="113.25" customHeight="1">
      <c r="A34" s="141" t="s">
        <v>136</v>
      </c>
      <c r="B34" s="132" t="s">
        <v>140</v>
      </c>
      <c r="C34" s="133">
        <v>99</v>
      </c>
      <c r="D34" s="133">
        <v>99</v>
      </c>
      <c r="E34" s="134">
        <f t="shared" si="3"/>
        <v>100</v>
      </c>
      <c r="F34" s="135"/>
      <c r="G34" s="135"/>
      <c r="H34" s="136"/>
      <c r="I34" s="143">
        <f>C34+F34</f>
        <v>99</v>
      </c>
      <c r="J34" s="143">
        <f>D34+G34</f>
        <v>99</v>
      </c>
      <c r="K34" s="139">
        <f t="shared" si="0"/>
        <v>100</v>
      </c>
      <c r="L34" s="182"/>
    </row>
    <row r="35" spans="1:12" s="171" customFormat="1" ht="116.25" customHeight="1">
      <c r="A35" s="141" t="s">
        <v>136</v>
      </c>
      <c r="B35" s="132" t="s">
        <v>141</v>
      </c>
      <c r="C35" s="133">
        <v>3500</v>
      </c>
      <c r="D35" s="133"/>
      <c r="E35" s="134">
        <f t="shared" si="3"/>
        <v>0</v>
      </c>
      <c r="F35" s="135">
        <v>3500</v>
      </c>
      <c r="G35" s="135"/>
      <c r="H35" s="136">
        <f t="shared" si="4"/>
        <v>0</v>
      </c>
      <c r="I35" s="143">
        <f>C35+F35-3500</f>
        <v>3500</v>
      </c>
      <c r="J35" s="138">
        <f>D35+G35</f>
        <v>0</v>
      </c>
      <c r="K35" s="139">
        <f t="shared" si="0"/>
        <v>0</v>
      </c>
      <c r="L35" s="182"/>
    </row>
    <row r="36" spans="1:12" s="171" customFormat="1" ht="66.75" customHeight="1">
      <c r="A36" s="141" t="s">
        <v>136</v>
      </c>
      <c r="B36" s="132" t="s">
        <v>142</v>
      </c>
      <c r="C36" s="133">
        <v>0</v>
      </c>
      <c r="D36" s="133"/>
      <c r="E36" s="134" t="e">
        <f>D36/C36*100</f>
        <v>#DIV/0!</v>
      </c>
      <c r="F36" s="135">
        <v>4282.1</v>
      </c>
      <c r="G36" s="135">
        <v>2633</v>
      </c>
      <c r="H36" s="136">
        <f t="shared" si="4"/>
        <v>61.48852198687559</v>
      </c>
      <c r="I36" s="137">
        <f>C36+F36</f>
        <v>4282.1</v>
      </c>
      <c r="J36" s="138">
        <f>D36+G36</f>
        <v>2633</v>
      </c>
      <c r="K36" s="139">
        <f t="shared" si="0"/>
        <v>61.48852198687559</v>
      </c>
      <c r="L36" s="182"/>
    </row>
    <row r="37" spans="1:12" s="171" customFormat="1" ht="52.5" customHeight="1">
      <c r="A37" s="141" t="s">
        <v>136</v>
      </c>
      <c r="B37" s="132" t="s">
        <v>143</v>
      </c>
      <c r="C37" s="133"/>
      <c r="D37" s="133"/>
      <c r="E37" s="133" t="e">
        <f t="shared" si="3"/>
        <v>#DIV/0!</v>
      </c>
      <c r="F37" s="135">
        <v>6644.6</v>
      </c>
      <c r="G37" s="135">
        <v>3499.1</v>
      </c>
      <c r="H37" s="136">
        <f t="shared" si="4"/>
        <v>52.66080727207056</v>
      </c>
      <c r="I37" s="137">
        <f>C37+F37</f>
        <v>6644.6</v>
      </c>
      <c r="J37" s="138">
        <f>D37+G37</f>
        <v>3499.1</v>
      </c>
      <c r="K37" s="139">
        <f t="shared" si="0"/>
        <v>52.66080727207056</v>
      </c>
      <c r="L37" s="182"/>
    </row>
    <row r="38" spans="1:12" s="171" customFormat="1" ht="69" customHeight="1">
      <c r="A38" s="141" t="s">
        <v>136</v>
      </c>
      <c r="B38" s="132" t="s">
        <v>144</v>
      </c>
      <c r="C38" s="133"/>
      <c r="D38" s="133"/>
      <c r="E38" s="134"/>
      <c r="F38" s="135">
        <v>41933</v>
      </c>
      <c r="G38" s="135">
        <v>30056.9</v>
      </c>
      <c r="H38" s="136">
        <f t="shared" si="4"/>
        <v>71.67839172012496</v>
      </c>
      <c r="I38" s="137">
        <f>C38+F38</f>
        <v>41933</v>
      </c>
      <c r="J38" s="138">
        <f>D38+G38</f>
        <v>30056.9</v>
      </c>
      <c r="K38" s="139">
        <f t="shared" si="0"/>
        <v>71.67839172012496</v>
      </c>
      <c r="L38" s="182"/>
    </row>
    <row r="39" spans="1:12" s="171" customFormat="1" ht="26.25" customHeight="1">
      <c r="A39" s="131" t="s">
        <v>145</v>
      </c>
      <c r="B39" s="132" t="s">
        <v>146</v>
      </c>
      <c r="C39" s="133">
        <v>4165.8</v>
      </c>
      <c r="D39" s="133">
        <v>2729.1</v>
      </c>
      <c r="E39" s="134">
        <f t="shared" si="3"/>
        <v>65.51202650151231</v>
      </c>
      <c r="F39" s="135">
        <v>5501.4</v>
      </c>
      <c r="G39" s="135">
        <v>3989.2</v>
      </c>
      <c r="H39" s="135">
        <f t="shared" si="4"/>
        <v>72.51245137601337</v>
      </c>
      <c r="I39" s="137">
        <f>C39+F39</f>
        <v>9667.2</v>
      </c>
      <c r="J39" s="138">
        <f>D39+G39</f>
        <v>6718.299999999999</v>
      </c>
      <c r="K39" s="139">
        <f t="shared" si="0"/>
        <v>69.49582092022509</v>
      </c>
      <c r="L39" s="182"/>
    </row>
    <row r="40" spans="1:12" s="171" customFormat="1" ht="81.75" customHeight="1">
      <c r="A40" s="131" t="s">
        <v>147</v>
      </c>
      <c r="B40" s="151" t="s">
        <v>148</v>
      </c>
      <c r="C40" s="133">
        <v>2666.2</v>
      </c>
      <c r="D40" s="133">
        <v>1386.5</v>
      </c>
      <c r="E40" s="133">
        <f t="shared" si="3"/>
        <v>52.002850498837304</v>
      </c>
      <c r="F40" s="135">
        <v>1181</v>
      </c>
      <c r="G40" s="135">
        <v>227.9</v>
      </c>
      <c r="H40" s="135">
        <f t="shared" si="4"/>
        <v>19.297205757832344</v>
      </c>
      <c r="I40" s="143">
        <f>C40+F40-1181</f>
        <v>2666.2</v>
      </c>
      <c r="J40" s="143">
        <f>D40+G40-149.6</f>
        <v>1464.8000000000002</v>
      </c>
      <c r="K40" s="139">
        <f t="shared" si="0"/>
        <v>54.93961443252571</v>
      </c>
      <c r="L40" s="182"/>
    </row>
    <row r="41" spans="1:12" s="171" customFormat="1" ht="64.5" customHeight="1">
      <c r="A41" s="131" t="s">
        <v>147</v>
      </c>
      <c r="B41" s="151" t="s">
        <v>149</v>
      </c>
      <c r="C41" s="133">
        <f>10687.6+562.5</f>
        <v>11250.1</v>
      </c>
      <c r="D41" s="133">
        <v>1964.8</v>
      </c>
      <c r="E41" s="133">
        <f t="shared" si="3"/>
        <v>17.46473364681203</v>
      </c>
      <c r="F41" s="135"/>
      <c r="G41" s="135"/>
      <c r="H41" s="135"/>
      <c r="I41" s="137">
        <f>C41+F41</f>
        <v>11250.1</v>
      </c>
      <c r="J41" s="138">
        <f>D41+G41</f>
        <v>1964.8</v>
      </c>
      <c r="K41" s="139">
        <f t="shared" si="0"/>
        <v>17.46473364681203</v>
      </c>
      <c r="L41" s="182"/>
    </row>
    <row r="42" spans="1:12" s="171" customFormat="1" ht="115.5" customHeight="1">
      <c r="A42" s="131" t="s">
        <v>147</v>
      </c>
      <c r="B42" s="151" t="s">
        <v>150</v>
      </c>
      <c r="C42" s="133">
        <f>2392.8+1117+63</f>
        <v>3572.8</v>
      </c>
      <c r="D42" s="135">
        <v>3482.7</v>
      </c>
      <c r="E42" s="134">
        <f t="shared" si="3"/>
        <v>97.47816838334079</v>
      </c>
      <c r="F42" s="135">
        <v>0</v>
      </c>
      <c r="G42" s="135"/>
      <c r="H42" s="135">
        <v>0</v>
      </c>
      <c r="I42" s="137">
        <f>C42+F42</f>
        <v>3572.8</v>
      </c>
      <c r="J42" s="138">
        <f>D42+G42</f>
        <v>3482.7</v>
      </c>
      <c r="K42" s="139">
        <f t="shared" si="0"/>
        <v>97.47816838334079</v>
      </c>
      <c r="L42" s="182"/>
    </row>
    <row r="43" spans="1:12" s="171" customFormat="1" ht="137.25" customHeight="1">
      <c r="A43" s="141" t="s">
        <v>147</v>
      </c>
      <c r="B43" s="151" t="s">
        <v>151</v>
      </c>
      <c r="C43" s="133">
        <f>4319.9+637+427.2</f>
        <v>5384.099999999999</v>
      </c>
      <c r="D43" s="135">
        <v>4252.5</v>
      </c>
      <c r="E43" s="133">
        <f t="shared" si="3"/>
        <v>78.98255975929126</v>
      </c>
      <c r="F43" s="135"/>
      <c r="G43" s="135"/>
      <c r="H43" s="135"/>
      <c r="I43" s="137">
        <f>C43+F43</f>
        <v>5384.099999999999</v>
      </c>
      <c r="J43" s="138">
        <f>D43+G43</f>
        <v>4252.5</v>
      </c>
      <c r="K43" s="139">
        <f t="shared" si="0"/>
        <v>78.98255975929126</v>
      </c>
      <c r="L43" s="182"/>
    </row>
    <row r="44" spans="1:12" s="171" customFormat="1" ht="72" customHeight="1">
      <c r="A44" s="141" t="s">
        <v>147</v>
      </c>
      <c r="B44" s="151" t="s">
        <v>152</v>
      </c>
      <c r="C44" s="133">
        <v>1651.2</v>
      </c>
      <c r="D44" s="135">
        <v>1219.1</v>
      </c>
      <c r="E44" s="133">
        <f t="shared" si="3"/>
        <v>73.83115310077518</v>
      </c>
      <c r="F44" s="135">
        <v>0</v>
      </c>
      <c r="G44" s="135"/>
      <c r="H44" s="135">
        <v>0</v>
      </c>
      <c r="I44" s="137">
        <f>C44+F44</f>
        <v>1651.2</v>
      </c>
      <c r="J44" s="138">
        <f>D44+G44</f>
        <v>1219.1</v>
      </c>
      <c r="K44" s="139">
        <f t="shared" si="0"/>
        <v>73.83115310077518</v>
      </c>
      <c r="L44" s="182"/>
    </row>
    <row r="45" spans="1:12" s="171" customFormat="1" ht="66.75" customHeight="1">
      <c r="A45" s="141" t="s">
        <v>147</v>
      </c>
      <c r="B45" s="151" t="s">
        <v>153</v>
      </c>
      <c r="C45" s="133">
        <v>218.5</v>
      </c>
      <c r="D45" s="135"/>
      <c r="E45" s="133">
        <f>D45/C45*100</f>
        <v>0</v>
      </c>
      <c r="F45" s="135"/>
      <c r="G45" s="135"/>
      <c r="H45" s="135">
        <v>0</v>
      </c>
      <c r="I45" s="137">
        <f>C45+F45</f>
        <v>218.5</v>
      </c>
      <c r="J45" s="138">
        <f>D45+G45</f>
        <v>0</v>
      </c>
      <c r="K45" s="139">
        <f t="shared" si="0"/>
        <v>0</v>
      </c>
      <c r="L45" s="182"/>
    </row>
    <row r="46" spans="1:12" s="171" customFormat="1" ht="63" customHeight="1">
      <c r="A46" s="141" t="s">
        <v>147</v>
      </c>
      <c r="B46" s="151" t="s">
        <v>154</v>
      </c>
      <c r="C46" s="133">
        <v>0</v>
      </c>
      <c r="D46" s="135">
        <v>0</v>
      </c>
      <c r="E46" s="133" t="e">
        <f t="shared" si="3"/>
        <v>#DIV/0!</v>
      </c>
      <c r="F46" s="135">
        <v>96</v>
      </c>
      <c r="G46" s="135"/>
      <c r="H46" s="135">
        <v>0</v>
      </c>
      <c r="I46" s="137">
        <f>C46+F46</f>
        <v>96</v>
      </c>
      <c r="J46" s="138">
        <f>D46+G46</f>
        <v>0</v>
      </c>
      <c r="K46" s="139">
        <f t="shared" si="0"/>
        <v>0</v>
      </c>
      <c r="L46" s="182"/>
    </row>
    <row r="47" spans="1:12" s="171" customFormat="1" ht="32.25" customHeight="1">
      <c r="A47" s="126" t="s">
        <v>155</v>
      </c>
      <c r="B47" s="127" t="s">
        <v>156</v>
      </c>
      <c r="C47" s="128">
        <f>SUM(C48:C76)</f>
        <v>518840.5</v>
      </c>
      <c r="D47" s="128">
        <f>SUM(D48:D76)</f>
        <v>153021.90000000002</v>
      </c>
      <c r="E47" s="128">
        <f t="shared" si="3"/>
        <v>29.493052296418654</v>
      </c>
      <c r="F47" s="153">
        <f>SUM(F48:F76)</f>
        <v>264533.3</v>
      </c>
      <c r="G47" s="153">
        <f>SUM(G48:G76)</f>
        <v>78287.59999999999</v>
      </c>
      <c r="H47" s="153">
        <f>G47/F47*100</f>
        <v>29.59461058399831</v>
      </c>
      <c r="I47" s="128">
        <f>SUM(I48:I76)</f>
        <v>618387.7000000001</v>
      </c>
      <c r="J47" s="128">
        <f>SUM(J48:J76)</f>
        <v>217501.90000000002</v>
      </c>
      <c r="K47" s="130">
        <f t="shared" si="0"/>
        <v>35.17241691579571</v>
      </c>
      <c r="L47" s="182"/>
    </row>
    <row r="48" spans="1:12" s="171" customFormat="1" ht="90.75" customHeight="1">
      <c r="A48" s="131" t="s">
        <v>157</v>
      </c>
      <c r="B48" s="132" t="s">
        <v>158</v>
      </c>
      <c r="C48" s="133">
        <f>60687.6+163523.1+8697.9</f>
        <v>232908.6</v>
      </c>
      <c r="D48" s="133">
        <v>74676.6</v>
      </c>
      <c r="E48" s="134">
        <f t="shared" si="3"/>
        <v>32.062620272501746</v>
      </c>
      <c r="F48" s="135">
        <v>0</v>
      </c>
      <c r="G48" s="135">
        <v>0</v>
      </c>
      <c r="H48" s="136">
        <v>0</v>
      </c>
      <c r="I48" s="137">
        <f>C48+F48</f>
        <v>232908.6</v>
      </c>
      <c r="J48" s="138">
        <f>D48+G48</f>
        <v>74676.6</v>
      </c>
      <c r="K48" s="139">
        <f t="shared" si="0"/>
        <v>32.062620272501746</v>
      </c>
      <c r="L48" s="182"/>
    </row>
    <row r="49" spans="1:12" s="171" customFormat="1" ht="88.5" customHeight="1">
      <c r="A49" s="131" t="s">
        <v>157</v>
      </c>
      <c r="B49" s="132" t="s">
        <v>159</v>
      </c>
      <c r="C49" s="133">
        <v>1740</v>
      </c>
      <c r="D49" s="133">
        <v>1325.8</v>
      </c>
      <c r="E49" s="134">
        <f t="shared" si="3"/>
        <v>76.19540229885057</v>
      </c>
      <c r="F49" s="135"/>
      <c r="G49" s="135"/>
      <c r="H49" s="136"/>
      <c r="I49" s="137">
        <f>C49+F49</f>
        <v>1740</v>
      </c>
      <c r="J49" s="138">
        <f>D49+G49</f>
        <v>1325.8</v>
      </c>
      <c r="K49" s="139">
        <f t="shared" si="0"/>
        <v>76.19540229885057</v>
      </c>
      <c r="L49" s="182"/>
    </row>
    <row r="50" spans="1:12" s="171" customFormat="1" ht="65.25" customHeight="1">
      <c r="A50" s="131" t="s">
        <v>157</v>
      </c>
      <c r="B50" s="132" t="s">
        <v>160</v>
      </c>
      <c r="C50" s="133">
        <v>0</v>
      </c>
      <c r="D50" s="133">
        <v>0</v>
      </c>
      <c r="E50" s="134" t="e">
        <f t="shared" si="3"/>
        <v>#DIV/0!</v>
      </c>
      <c r="F50" s="135"/>
      <c r="G50" s="135"/>
      <c r="H50" s="136"/>
      <c r="I50" s="137">
        <f>C50+F50</f>
        <v>0</v>
      </c>
      <c r="J50" s="138">
        <f>D50+G50</f>
        <v>0</v>
      </c>
      <c r="K50" s="139" t="e">
        <f t="shared" si="0"/>
        <v>#DIV/0!</v>
      </c>
      <c r="L50" s="182"/>
    </row>
    <row r="51" spans="1:12" s="171" customFormat="1" ht="57" customHeight="1">
      <c r="A51" s="131" t="s">
        <v>157</v>
      </c>
      <c r="B51" s="132" t="s">
        <v>161</v>
      </c>
      <c r="C51" s="133">
        <v>410</v>
      </c>
      <c r="D51" s="133">
        <v>410</v>
      </c>
      <c r="E51" s="134">
        <f t="shared" si="3"/>
        <v>100</v>
      </c>
      <c r="F51" s="135"/>
      <c r="G51" s="135"/>
      <c r="H51" s="136"/>
      <c r="I51" s="137">
        <f>C51+F51</f>
        <v>410</v>
      </c>
      <c r="J51" s="138">
        <f>D51+G51</f>
        <v>410</v>
      </c>
      <c r="K51" s="139">
        <f t="shared" si="0"/>
        <v>100</v>
      </c>
      <c r="L51" s="182"/>
    </row>
    <row r="52" spans="1:12" s="171" customFormat="1" ht="80.25" customHeight="1">
      <c r="A52" s="131" t="s">
        <v>157</v>
      </c>
      <c r="B52" s="132" t="s">
        <v>162</v>
      </c>
      <c r="C52" s="133">
        <v>94.1</v>
      </c>
      <c r="D52" s="133">
        <v>94.1</v>
      </c>
      <c r="E52" s="134">
        <f t="shared" si="3"/>
        <v>100</v>
      </c>
      <c r="F52" s="135"/>
      <c r="G52" s="135"/>
      <c r="H52" s="136"/>
      <c r="I52" s="137">
        <f>C52+F52</f>
        <v>94.1</v>
      </c>
      <c r="J52" s="138">
        <f>D52+G52</f>
        <v>94.1</v>
      </c>
      <c r="K52" s="139">
        <f t="shared" si="0"/>
        <v>100</v>
      </c>
      <c r="L52" s="182"/>
    </row>
    <row r="53" spans="1:12" s="171" customFormat="1" ht="69.75" customHeight="1">
      <c r="A53" s="141" t="s">
        <v>157</v>
      </c>
      <c r="B53" s="132" t="s">
        <v>163</v>
      </c>
      <c r="C53" s="133">
        <f>705.8</f>
        <v>705.8</v>
      </c>
      <c r="D53" s="133">
        <v>698.4</v>
      </c>
      <c r="E53" s="134">
        <f t="shared" si="3"/>
        <v>98.95154434684046</v>
      </c>
      <c r="F53" s="135">
        <v>27796.6</v>
      </c>
      <c r="G53" s="135">
        <v>13217.4</v>
      </c>
      <c r="H53" s="136">
        <f>G53/F53*100</f>
        <v>47.550419835519456</v>
      </c>
      <c r="I53" s="137">
        <f>C53+F53</f>
        <v>28502.399999999998</v>
      </c>
      <c r="J53" s="138">
        <f>D53+G53</f>
        <v>13915.8</v>
      </c>
      <c r="K53" s="139">
        <f t="shared" si="0"/>
        <v>48.82325698888515</v>
      </c>
      <c r="L53" s="182"/>
    </row>
    <row r="54" spans="1:12" s="171" customFormat="1" ht="258.75" customHeight="1">
      <c r="A54" s="131" t="s">
        <v>164</v>
      </c>
      <c r="B54" s="132" t="s">
        <v>165</v>
      </c>
      <c r="C54" s="133">
        <v>25855.2</v>
      </c>
      <c r="D54" s="133">
        <v>10306.3</v>
      </c>
      <c r="E54" s="134">
        <f t="shared" si="3"/>
        <v>39.861613911321506</v>
      </c>
      <c r="F54" s="135"/>
      <c r="G54" s="135"/>
      <c r="H54" s="136"/>
      <c r="I54" s="137">
        <f>C54+F54</f>
        <v>25855.2</v>
      </c>
      <c r="J54" s="138">
        <f>D54+G54</f>
        <v>10306.3</v>
      </c>
      <c r="K54" s="139">
        <f t="shared" si="0"/>
        <v>39.861613911321506</v>
      </c>
      <c r="L54" s="182"/>
    </row>
    <row r="55" spans="1:12" s="171" customFormat="1" ht="261" customHeight="1">
      <c r="A55" s="131" t="s">
        <v>164</v>
      </c>
      <c r="B55" s="132" t="s">
        <v>166</v>
      </c>
      <c r="C55" s="133">
        <v>19992.8</v>
      </c>
      <c r="D55" s="133">
        <v>19992.8</v>
      </c>
      <c r="E55" s="134">
        <f t="shared" si="3"/>
        <v>100</v>
      </c>
      <c r="F55" s="135"/>
      <c r="G55" s="135"/>
      <c r="H55" s="136"/>
      <c r="I55" s="137">
        <f>C55+F55</f>
        <v>19992.8</v>
      </c>
      <c r="J55" s="138">
        <f>D55+G55</f>
        <v>19992.8</v>
      </c>
      <c r="K55" s="139">
        <f t="shared" si="0"/>
        <v>100</v>
      </c>
      <c r="L55" s="182"/>
    </row>
    <row r="56" spans="1:12" s="171" customFormat="1" ht="201.75" customHeight="1">
      <c r="A56" s="141" t="s">
        <v>164</v>
      </c>
      <c r="B56" s="132" t="s">
        <v>167</v>
      </c>
      <c r="C56" s="133">
        <v>5190.3</v>
      </c>
      <c r="D56" s="133">
        <v>3660</v>
      </c>
      <c r="E56" s="134">
        <f t="shared" si="3"/>
        <v>70.5161551355413</v>
      </c>
      <c r="F56" s="135"/>
      <c r="G56" s="135"/>
      <c r="H56" s="136"/>
      <c r="I56" s="137">
        <f>C56+F56</f>
        <v>5190.3</v>
      </c>
      <c r="J56" s="138">
        <f>D56+G56</f>
        <v>3660</v>
      </c>
      <c r="K56" s="139">
        <f t="shared" si="0"/>
        <v>70.5161551355413</v>
      </c>
      <c r="L56" s="182"/>
    </row>
    <row r="57" spans="1:12" s="171" customFormat="1" ht="207.75" customHeight="1">
      <c r="A57" s="141" t="s">
        <v>164</v>
      </c>
      <c r="B57" s="132" t="s">
        <v>168</v>
      </c>
      <c r="C57" s="133">
        <v>7785.4</v>
      </c>
      <c r="D57" s="133">
        <v>5489.8</v>
      </c>
      <c r="E57" s="134">
        <f t="shared" si="3"/>
        <v>70.514039098826</v>
      </c>
      <c r="F57" s="135"/>
      <c r="G57" s="135"/>
      <c r="H57" s="136"/>
      <c r="I57" s="137">
        <f>C57+F57</f>
        <v>7785.4</v>
      </c>
      <c r="J57" s="138">
        <f>D57+G57</f>
        <v>5489.8</v>
      </c>
      <c r="K57" s="139">
        <f t="shared" si="0"/>
        <v>70.514039098826</v>
      </c>
      <c r="L57" s="182"/>
    </row>
    <row r="58" spans="1:12" s="171" customFormat="1" ht="330" customHeight="1">
      <c r="A58" s="131" t="s">
        <v>164</v>
      </c>
      <c r="B58" s="132" t="s">
        <v>169</v>
      </c>
      <c r="C58" s="133">
        <v>38503.8</v>
      </c>
      <c r="D58" s="133">
        <v>25981.7</v>
      </c>
      <c r="E58" s="134">
        <f>D58/C58*100</f>
        <v>67.4782748715711</v>
      </c>
      <c r="F58" s="135"/>
      <c r="G58" s="135"/>
      <c r="H58" s="136"/>
      <c r="I58" s="137">
        <f>C58+F58</f>
        <v>38503.8</v>
      </c>
      <c r="J58" s="138">
        <f>D58+G58</f>
        <v>25981.7</v>
      </c>
      <c r="K58" s="139">
        <f>J58/I58*100</f>
        <v>67.4782748715711</v>
      </c>
      <c r="L58" s="182"/>
    </row>
    <row r="59" spans="1:12" s="171" customFormat="1" ht="257.25" customHeight="1">
      <c r="A59" s="141" t="s">
        <v>164</v>
      </c>
      <c r="B59" s="151" t="s">
        <v>170</v>
      </c>
      <c r="C59" s="133">
        <f>38363.5+3917.9+14147.4</f>
        <v>56428.8</v>
      </c>
      <c r="D59" s="133">
        <v>4290.8</v>
      </c>
      <c r="E59" s="134">
        <f t="shared" si="3"/>
        <v>7.603918566405807</v>
      </c>
      <c r="F59" s="135">
        <f>30070.8+3341.2</f>
        <v>33412</v>
      </c>
      <c r="G59" s="135">
        <v>4628</v>
      </c>
      <c r="H59" s="136">
        <f>G59/F59*100</f>
        <v>13.851310906261224</v>
      </c>
      <c r="I59" s="152">
        <f>C59+F59-33411.5</f>
        <v>56429.3</v>
      </c>
      <c r="J59" s="152">
        <f>D59+G59-3642.9</f>
        <v>5275.9</v>
      </c>
      <c r="K59" s="139">
        <f t="shared" si="0"/>
        <v>9.349575486493718</v>
      </c>
      <c r="L59" s="182"/>
    </row>
    <row r="60" spans="1:12" s="171" customFormat="1" ht="86.25" customHeight="1">
      <c r="A60" s="141" t="s">
        <v>164</v>
      </c>
      <c r="B60" s="151" t="s">
        <v>171</v>
      </c>
      <c r="C60" s="133"/>
      <c r="D60" s="133"/>
      <c r="E60" s="134"/>
      <c r="F60" s="135"/>
      <c r="G60" s="135"/>
      <c r="H60" s="136"/>
      <c r="I60" s="137">
        <f>C60+F60</f>
        <v>0</v>
      </c>
      <c r="J60" s="152">
        <f>D60+G60</f>
        <v>0</v>
      </c>
      <c r="K60" s="139" t="e">
        <f t="shared" si="0"/>
        <v>#DIV/0!</v>
      </c>
      <c r="L60" s="182"/>
    </row>
    <row r="61" spans="1:12" s="171" customFormat="1" ht="54.75" customHeight="1">
      <c r="A61" s="141" t="s">
        <v>164</v>
      </c>
      <c r="B61" s="151" t="s">
        <v>172</v>
      </c>
      <c r="C61" s="133"/>
      <c r="D61" s="133"/>
      <c r="E61" s="134" t="e">
        <f t="shared" si="3"/>
        <v>#DIV/0!</v>
      </c>
      <c r="F61" s="135"/>
      <c r="G61" s="135"/>
      <c r="H61" s="136"/>
      <c r="I61" s="137">
        <f>C61+F61</f>
        <v>0</v>
      </c>
      <c r="J61" s="138">
        <f>D61+G61</f>
        <v>0</v>
      </c>
      <c r="K61" s="139" t="e">
        <f>J61/I61*100</f>
        <v>#DIV/0!</v>
      </c>
      <c r="L61" s="182"/>
    </row>
    <row r="62" spans="1:12" s="171" customFormat="1" ht="123" customHeight="1">
      <c r="A62" s="141" t="s">
        <v>164</v>
      </c>
      <c r="B62" s="151" t="s">
        <v>173</v>
      </c>
      <c r="C62" s="133"/>
      <c r="D62" s="133"/>
      <c r="E62" s="134"/>
      <c r="F62" s="135">
        <v>8470</v>
      </c>
      <c r="G62" s="135">
        <v>7553.5</v>
      </c>
      <c r="H62" s="136">
        <f aca="true" t="shared" si="5" ref="H62:H75">G62/F62*100</f>
        <v>89.17945690672964</v>
      </c>
      <c r="I62" s="137">
        <f>C62+F62</f>
        <v>8470</v>
      </c>
      <c r="J62" s="138">
        <f>D62+G62</f>
        <v>7553.5</v>
      </c>
      <c r="K62" s="154">
        <f t="shared" si="0"/>
        <v>89.17945690672964</v>
      </c>
      <c r="L62" s="182"/>
    </row>
    <row r="63" spans="1:12" s="171" customFormat="1" ht="25.5" customHeight="1">
      <c r="A63" s="141" t="s">
        <v>164</v>
      </c>
      <c r="B63" s="151" t="s">
        <v>174</v>
      </c>
      <c r="C63" s="133"/>
      <c r="D63" s="133"/>
      <c r="E63" s="134"/>
      <c r="F63" s="135">
        <v>18798</v>
      </c>
      <c r="G63" s="135">
        <v>6632.1</v>
      </c>
      <c r="H63" s="136">
        <f t="shared" si="5"/>
        <v>35.28088094478136</v>
      </c>
      <c r="I63" s="137">
        <f>C63+F63</f>
        <v>18798</v>
      </c>
      <c r="J63" s="138">
        <f>D63+G63</f>
        <v>6632.1</v>
      </c>
      <c r="K63" s="139">
        <f t="shared" si="0"/>
        <v>35.28088094478136</v>
      </c>
      <c r="L63" s="182"/>
    </row>
    <row r="64" spans="1:12" s="171" customFormat="1" ht="131.25" customHeight="1">
      <c r="A64" s="141" t="s">
        <v>164</v>
      </c>
      <c r="B64" s="151" t="s">
        <v>175</v>
      </c>
      <c r="C64" s="133"/>
      <c r="D64" s="133"/>
      <c r="E64" s="134"/>
      <c r="F64" s="135">
        <v>12217</v>
      </c>
      <c r="G64" s="135">
        <v>5745.5</v>
      </c>
      <c r="H64" s="136">
        <f t="shared" si="5"/>
        <v>47.028730457559135</v>
      </c>
      <c r="I64" s="143">
        <f>C64+F64-8587-3630</f>
        <v>0</v>
      </c>
      <c r="J64" s="143">
        <f>D64+G64-5745.5</f>
        <v>0</v>
      </c>
      <c r="K64" s="139" t="e">
        <f>J64/I64*100</f>
        <v>#DIV/0!</v>
      </c>
      <c r="L64" s="182"/>
    </row>
    <row r="65" spans="1:12" s="171" customFormat="1" ht="139.5" customHeight="1">
      <c r="A65" s="141" t="s">
        <v>176</v>
      </c>
      <c r="B65" s="132" t="s">
        <v>177</v>
      </c>
      <c r="C65" s="133">
        <v>500</v>
      </c>
      <c r="D65" s="133">
        <v>25</v>
      </c>
      <c r="E65" s="134">
        <f t="shared" si="3"/>
        <v>5</v>
      </c>
      <c r="F65" s="133">
        <v>500</v>
      </c>
      <c r="G65" s="135">
        <v>25</v>
      </c>
      <c r="H65" s="136">
        <f t="shared" si="5"/>
        <v>5</v>
      </c>
      <c r="I65" s="143">
        <f>C65+F65-500</f>
        <v>500</v>
      </c>
      <c r="J65" s="143">
        <f>D65+G65-25</f>
        <v>25</v>
      </c>
      <c r="K65" s="139">
        <f t="shared" si="0"/>
        <v>5</v>
      </c>
      <c r="L65" s="182"/>
    </row>
    <row r="66" spans="1:12" s="171" customFormat="1" ht="77.25" customHeight="1">
      <c r="A66" s="141" t="s">
        <v>176</v>
      </c>
      <c r="B66" s="132" t="s">
        <v>178</v>
      </c>
      <c r="C66" s="133">
        <v>100</v>
      </c>
      <c r="D66" s="133">
        <v>100</v>
      </c>
      <c r="E66" s="134">
        <f t="shared" si="3"/>
        <v>100</v>
      </c>
      <c r="F66" s="133">
        <v>100</v>
      </c>
      <c r="G66" s="135"/>
      <c r="H66" s="136">
        <f t="shared" si="5"/>
        <v>0</v>
      </c>
      <c r="I66" s="143">
        <f>C66+F66-100</f>
        <v>100</v>
      </c>
      <c r="J66" s="143">
        <f>D66+G66-100</f>
        <v>0</v>
      </c>
      <c r="K66" s="139">
        <f t="shared" si="0"/>
        <v>0</v>
      </c>
      <c r="L66" s="182"/>
    </row>
    <row r="67" spans="1:12" s="171" customFormat="1" ht="103.5" customHeight="1">
      <c r="A67" s="141" t="s">
        <v>176</v>
      </c>
      <c r="B67" s="132" t="s">
        <v>179</v>
      </c>
      <c r="C67" s="133">
        <v>1379.4</v>
      </c>
      <c r="D67" s="133">
        <v>1379.4</v>
      </c>
      <c r="E67" s="134">
        <f t="shared" si="3"/>
        <v>100</v>
      </c>
      <c r="F67" s="133"/>
      <c r="G67" s="135"/>
      <c r="H67" s="136" t="e">
        <f t="shared" si="5"/>
        <v>#DIV/0!</v>
      </c>
      <c r="I67" s="138">
        <f>C67+F67</f>
        <v>1379.4</v>
      </c>
      <c r="J67" s="138">
        <f>D67+G67</f>
        <v>1379.4</v>
      </c>
      <c r="K67" s="139">
        <f t="shared" si="0"/>
        <v>100</v>
      </c>
      <c r="L67" s="182"/>
    </row>
    <row r="68" spans="1:12" s="171" customFormat="1" ht="117" customHeight="1">
      <c r="A68" s="141" t="s">
        <v>176</v>
      </c>
      <c r="B68" s="132" t="s">
        <v>180</v>
      </c>
      <c r="C68" s="133">
        <v>79593</v>
      </c>
      <c r="D68" s="133"/>
      <c r="E68" s="134">
        <f t="shared" si="3"/>
        <v>0</v>
      </c>
      <c r="F68" s="133">
        <v>67410.4</v>
      </c>
      <c r="G68" s="135"/>
      <c r="H68" s="136">
        <f t="shared" si="5"/>
        <v>0</v>
      </c>
      <c r="I68" s="152">
        <f>C68+F68-79593</f>
        <v>67410.4</v>
      </c>
      <c r="J68" s="138">
        <f>D68+G68</f>
        <v>0</v>
      </c>
      <c r="K68" s="139">
        <f t="shared" si="0"/>
        <v>0</v>
      </c>
      <c r="L68" s="182"/>
    </row>
    <row r="69" spans="1:12" s="171" customFormat="1" ht="123" customHeight="1">
      <c r="A69" s="141" t="s">
        <v>176</v>
      </c>
      <c r="B69" s="132" t="s">
        <v>181</v>
      </c>
      <c r="C69" s="133">
        <v>28807</v>
      </c>
      <c r="D69" s="133">
        <v>1401.7</v>
      </c>
      <c r="E69" s="134">
        <f t="shared" si="3"/>
        <v>4.865831221578089</v>
      </c>
      <c r="F69" s="133">
        <v>20865</v>
      </c>
      <c r="G69" s="135">
        <v>1401.7</v>
      </c>
      <c r="H69" s="136">
        <f t="shared" si="5"/>
        <v>6.717948717948719</v>
      </c>
      <c r="I69" s="143">
        <f>C69+F69-20865</f>
        <v>28807</v>
      </c>
      <c r="J69" s="138">
        <f>D69+G69-1401.7</f>
        <v>1401.7</v>
      </c>
      <c r="K69" s="139">
        <f t="shared" si="0"/>
        <v>4.865831221578089</v>
      </c>
      <c r="L69" s="182"/>
    </row>
    <row r="70" spans="1:12" s="171" customFormat="1" ht="126" customHeight="1">
      <c r="A70" s="141" t="s">
        <v>176</v>
      </c>
      <c r="B70" s="132" t="s">
        <v>182</v>
      </c>
      <c r="C70" s="133"/>
      <c r="D70" s="133"/>
      <c r="E70" s="134" t="e">
        <f t="shared" si="3"/>
        <v>#DIV/0!</v>
      </c>
      <c r="F70" s="133">
        <f>300+3.1</f>
        <v>303.1</v>
      </c>
      <c r="G70" s="135"/>
      <c r="H70" s="136">
        <f t="shared" si="5"/>
        <v>0</v>
      </c>
      <c r="I70" s="137">
        <f>C70+F70</f>
        <v>303.1</v>
      </c>
      <c r="J70" s="138">
        <f>D70+G70</f>
        <v>0</v>
      </c>
      <c r="K70" s="139">
        <f t="shared" si="0"/>
        <v>0</v>
      </c>
      <c r="L70" s="182"/>
    </row>
    <row r="71" spans="1:12" s="171" customFormat="1" ht="45" customHeight="1">
      <c r="A71" s="141" t="s">
        <v>176</v>
      </c>
      <c r="B71" s="132" t="s">
        <v>183</v>
      </c>
      <c r="C71" s="133">
        <v>14636.7</v>
      </c>
      <c r="D71" s="133">
        <v>1084.3</v>
      </c>
      <c r="E71" s="134">
        <f t="shared" si="3"/>
        <v>7.408090621519878</v>
      </c>
      <c r="F71" s="133">
        <v>14636.7</v>
      </c>
      <c r="G71" s="135">
        <v>1084.3</v>
      </c>
      <c r="H71" s="136">
        <f t="shared" si="5"/>
        <v>7.408090621519878</v>
      </c>
      <c r="I71" s="143">
        <f>C71+F71-1463.6-8035.5-5137.5</f>
        <v>14636.800000000003</v>
      </c>
      <c r="J71" s="138">
        <f>D71+G71-1084.3</f>
        <v>1084.3</v>
      </c>
      <c r="K71" s="139">
        <f t="shared" si="0"/>
        <v>7.408040008745079</v>
      </c>
      <c r="L71" s="182"/>
    </row>
    <row r="72" spans="1:12" s="171" customFormat="1" ht="51.75" customHeight="1">
      <c r="A72" s="141" t="s">
        <v>176</v>
      </c>
      <c r="B72" s="132" t="s">
        <v>184</v>
      </c>
      <c r="C72" s="133">
        <f>2798.5</f>
        <v>2798.5</v>
      </c>
      <c r="D72" s="133">
        <v>1399.2</v>
      </c>
      <c r="E72" s="134">
        <f t="shared" si="3"/>
        <v>49.99821332856888</v>
      </c>
      <c r="F72" s="133">
        <f>2798.4</f>
        <v>2798.4</v>
      </c>
      <c r="G72" s="135">
        <v>1399.2</v>
      </c>
      <c r="H72" s="136">
        <f t="shared" si="5"/>
        <v>50</v>
      </c>
      <c r="I72" s="143">
        <f>C72+F72-2798.5</f>
        <v>2798.3999999999996</v>
      </c>
      <c r="J72" s="138">
        <f>D72+G72-1399.2</f>
        <v>1399.2</v>
      </c>
      <c r="K72" s="139">
        <f t="shared" si="0"/>
        <v>50.000000000000014</v>
      </c>
      <c r="L72" s="182"/>
    </row>
    <row r="73" spans="1:12" s="171" customFormat="1" ht="65.25" customHeight="1">
      <c r="A73" s="141" t="s">
        <v>176</v>
      </c>
      <c r="B73" s="155" t="s">
        <v>185</v>
      </c>
      <c r="C73" s="133">
        <v>310.9</v>
      </c>
      <c r="D73" s="133">
        <v>155.5</v>
      </c>
      <c r="E73" s="134">
        <f t="shared" si="3"/>
        <v>50.01608234158894</v>
      </c>
      <c r="F73" s="133">
        <v>310.9</v>
      </c>
      <c r="G73" s="135">
        <v>283</v>
      </c>
      <c r="H73" s="136">
        <f t="shared" si="5"/>
        <v>91.02605339337408</v>
      </c>
      <c r="I73" s="143">
        <f>C73+F73-310.9</f>
        <v>310.9</v>
      </c>
      <c r="J73" s="138">
        <f>D73+G73-155.4</f>
        <v>283.1</v>
      </c>
      <c r="K73" s="139">
        <f t="shared" si="0"/>
        <v>91.05821807655195</v>
      </c>
      <c r="L73" s="182"/>
    </row>
    <row r="74" spans="1:12" s="171" customFormat="1" ht="65.25" customHeight="1">
      <c r="A74" s="141" t="s">
        <v>176</v>
      </c>
      <c r="B74" s="206" t="s">
        <v>186</v>
      </c>
      <c r="C74" s="133">
        <v>1053.6</v>
      </c>
      <c r="D74" s="133">
        <v>528.5</v>
      </c>
      <c r="E74" s="134">
        <f t="shared" si="3"/>
        <v>50.16135155656796</v>
      </c>
      <c r="F74" s="133">
        <v>553.5</v>
      </c>
      <c r="G74" s="135">
        <v>153.7</v>
      </c>
      <c r="H74" s="136">
        <f t="shared" si="5"/>
        <v>27.768744354110204</v>
      </c>
      <c r="I74" s="143">
        <f>C74+F74-53.6-500</f>
        <v>1053.5</v>
      </c>
      <c r="J74" s="138">
        <f>D74+G74-53.6-200</f>
        <v>428.6</v>
      </c>
      <c r="K74" s="139">
        <f t="shared" si="0"/>
        <v>40.68343616516374</v>
      </c>
      <c r="L74" s="182"/>
    </row>
    <row r="75" spans="1:12" s="171" customFormat="1" ht="42.75" customHeight="1">
      <c r="A75" s="131" t="s">
        <v>176</v>
      </c>
      <c r="B75" s="132" t="s">
        <v>187</v>
      </c>
      <c r="C75" s="133"/>
      <c r="D75" s="133"/>
      <c r="E75" s="134"/>
      <c r="F75" s="133">
        <v>56361.7</v>
      </c>
      <c r="G75" s="135">
        <v>36164.2</v>
      </c>
      <c r="H75" s="136">
        <f t="shared" si="5"/>
        <v>64.16449468344638</v>
      </c>
      <c r="I75" s="137">
        <f>C75+F75</f>
        <v>56361.7</v>
      </c>
      <c r="J75" s="138">
        <f>D75+G75</f>
        <v>36164.2</v>
      </c>
      <c r="K75" s="139">
        <f t="shared" si="0"/>
        <v>64.16449468344638</v>
      </c>
      <c r="L75" s="182"/>
    </row>
    <row r="76" spans="1:12" s="171" customFormat="1" ht="40.5" customHeight="1">
      <c r="A76" s="141" t="s">
        <v>188</v>
      </c>
      <c r="B76" s="132" t="s">
        <v>189</v>
      </c>
      <c r="C76" s="133">
        <v>46.6</v>
      </c>
      <c r="D76" s="133">
        <v>22</v>
      </c>
      <c r="E76" s="134">
        <f>D76/C76*100</f>
        <v>47.21030042918455</v>
      </c>
      <c r="F76" s="133">
        <v>0</v>
      </c>
      <c r="G76" s="135"/>
      <c r="H76" s="136">
        <v>0</v>
      </c>
      <c r="I76" s="137">
        <f>C76+F76</f>
        <v>46.6</v>
      </c>
      <c r="J76" s="138">
        <f>D76+G76</f>
        <v>22</v>
      </c>
      <c r="K76" s="156">
        <f t="shared" si="0"/>
        <v>47.21030042918455</v>
      </c>
      <c r="L76" s="182"/>
    </row>
    <row r="77" spans="1:12" s="171" customFormat="1" ht="30" customHeight="1">
      <c r="A77" s="157" t="s">
        <v>190</v>
      </c>
      <c r="B77" s="158" t="s">
        <v>191</v>
      </c>
      <c r="C77" s="153">
        <f aca="true" t="shared" si="6" ref="C77:H77">C78</f>
        <v>10116.4</v>
      </c>
      <c r="D77" s="153">
        <f t="shared" si="6"/>
        <v>94.8</v>
      </c>
      <c r="E77" s="144">
        <f t="shared" si="3"/>
        <v>0.9370922462536081</v>
      </c>
      <c r="F77" s="153">
        <f t="shared" si="6"/>
        <v>12854</v>
      </c>
      <c r="G77" s="153">
        <f t="shared" si="6"/>
        <v>649.8</v>
      </c>
      <c r="H77" s="129">
        <f t="shared" si="6"/>
        <v>5.055235724288159</v>
      </c>
      <c r="I77" s="153">
        <f>I78</f>
        <v>22948.800000000003</v>
      </c>
      <c r="J77" s="153">
        <f>J78</f>
        <v>744.5999999999999</v>
      </c>
      <c r="K77" s="159">
        <f t="shared" si="0"/>
        <v>3.2446140974691478</v>
      </c>
      <c r="L77" s="182"/>
    </row>
    <row r="78" spans="1:12" s="171" customFormat="1" ht="42.75" customHeight="1">
      <c r="A78" s="141" t="s">
        <v>192</v>
      </c>
      <c r="B78" s="160" t="s">
        <v>193</v>
      </c>
      <c r="C78" s="135">
        <v>10116.4</v>
      </c>
      <c r="D78" s="135">
        <v>94.8</v>
      </c>
      <c r="E78" s="134">
        <f t="shared" si="3"/>
        <v>0.9370922462536081</v>
      </c>
      <c r="F78" s="135">
        <v>12854</v>
      </c>
      <c r="G78" s="135">
        <v>649.8</v>
      </c>
      <c r="H78" s="136">
        <f>G78/F78*100</f>
        <v>5.055235724288159</v>
      </c>
      <c r="I78" s="143">
        <f>C78+F78-21.6</f>
        <v>22948.800000000003</v>
      </c>
      <c r="J78" s="138">
        <f>D78+G78</f>
        <v>744.5999999999999</v>
      </c>
      <c r="K78" s="139">
        <f t="shared" si="0"/>
        <v>3.2446140974691478</v>
      </c>
      <c r="L78" s="182"/>
    </row>
    <row r="79" spans="1:12" s="171" customFormat="1" ht="28.5">
      <c r="A79" s="126" t="s">
        <v>194</v>
      </c>
      <c r="B79" s="127" t="s">
        <v>195</v>
      </c>
      <c r="C79" s="128">
        <f>SUM(C80:C87)</f>
        <v>1960513.9000000001</v>
      </c>
      <c r="D79" s="128">
        <f>SUM(D80:D87)</f>
        <v>1412319.5000000002</v>
      </c>
      <c r="E79" s="128">
        <f>D79/C79*100</f>
        <v>72.03822936424986</v>
      </c>
      <c r="F79" s="153">
        <f>F80+F82+F83+F86+F87</f>
        <v>0</v>
      </c>
      <c r="G79" s="153">
        <f>SUM(G80:G87)</f>
        <v>0</v>
      </c>
      <c r="H79" s="129">
        <v>0</v>
      </c>
      <c r="I79" s="128">
        <f>SUM(I80:I87)</f>
        <v>1960513.9000000001</v>
      </c>
      <c r="J79" s="128">
        <f>SUM(J80:J87)</f>
        <v>1412319.5000000002</v>
      </c>
      <c r="K79" s="130">
        <f t="shared" si="0"/>
        <v>72.03822936424986</v>
      </c>
      <c r="L79" s="182"/>
    </row>
    <row r="80" spans="1:12" s="171" customFormat="1" ht="27" customHeight="1">
      <c r="A80" s="131" t="s">
        <v>196</v>
      </c>
      <c r="B80" s="132" t="s">
        <v>197</v>
      </c>
      <c r="C80" s="133">
        <v>507575.9</v>
      </c>
      <c r="D80" s="133">
        <v>343680.4</v>
      </c>
      <c r="E80" s="134">
        <f t="shared" si="3"/>
        <v>67.71014935894316</v>
      </c>
      <c r="F80" s="135">
        <v>0</v>
      </c>
      <c r="G80" s="135">
        <v>0</v>
      </c>
      <c r="H80" s="136">
        <v>0</v>
      </c>
      <c r="I80" s="137">
        <f>C80+F80</f>
        <v>507575.9</v>
      </c>
      <c r="J80" s="138">
        <f>D80+G80</f>
        <v>343680.4</v>
      </c>
      <c r="K80" s="139">
        <f t="shared" si="0"/>
        <v>67.71014935894316</v>
      </c>
      <c r="L80" s="182"/>
    </row>
    <row r="81" spans="1:12" s="171" customFormat="1" ht="185.25" customHeight="1">
      <c r="A81" s="131" t="s">
        <v>196</v>
      </c>
      <c r="B81" s="132" t="s">
        <v>198</v>
      </c>
      <c r="C81" s="133">
        <v>1000</v>
      </c>
      <c r="D81" s="133">
        <v>0</v>
      </c>
      <c r="E81" s="134">
        <f t="shared" si="3"/>
        <v>0</v>
      </c>
      <c r="F81" s="135"/>
      <c r="G81" s="135"/>
      <c r="H81" s="136"/>
      <c r="I81" s="137">
        <f>C81+F81</f>
        <v>1000</v>
      </c>
      <c r="J81" s="138">
        <f>D81+G81</f>
        <v>0</v>
      </c>
      <c r="K81" s="139">
        <f t="shared" si="0"/>
        <v>0</v>
      </c>
      <c r="L81" s="182"/>
    </row>
    <row r="82" spans="1:12" s="171" customFormat="1" ht="28.5" customHeight="1">
      <c r="A82" s="131" t="s">
        <v>199</v>
      </c>
      <c r="B82" s="132" t="s">
        <v>200</v>
      </c>
      <c r="C82" s="133">
        <v>1163158.6</v>
      </c>
      <c r="D82" s="133">
        <v>837063.6</v>
      </c>
      <c r="E82" s="134">
        <f t="shared" si="3"/>
        <v>71.96470025669758</v>
      </c>
      <c r="F82" s="135">
        <v>0</v>
      </c>
      <c r="G82" s="135">
        <v>0</v>
      </c>
      <c r="H82" s="136">
        <v>0</v>
      </c>
      <c r="I82" s="137">
        <f>C82+F82</f>
        <v>1163158.6</v>
      </c>
      <c r="J82" s="138">
        <f>D82+G82</f>
        <v>837063.6</v>
      </c>
      <c r="K82" s="139">
        <f t="shared" si="0"/>
        <v>71.96470025669758</v>
      </c>
      <c r="L82" s="182"/>
    </row>
    <row r="83" spans="1:12" s="171" customFormat="1" ht="27.75" customHeight="1">
      <c r="A83" s="131" t="s">
        <v>199</v>
      </c>
      <c r="B83" s="132" t="s">
        <v>201</v>
      </c>
      <c r="C83" s="133">
        <v>29889.6</v>
      </c>
      <c r="D83" s="133">
        <v>14289.3</v>
      </c>
      <c r="E83" s="134">
        <f t="shared" si="3"/>
        <v>47.80692950056207</v>
      </c>
      <c r="F83" s="135">
        <v>0</v>
      </c>
      <c r="G83" s="135">
        <v>0</v>
      </c>
      <c r="H83" s="136">
        <v>0</v>
      </c>
      <c r="I83" s="137">
        <f>C83+F83</f>
        <v>29889.6</v>
      </c>
      <c r="J83" s="138">
        <f>D83+G83</f>
        <v>14289.3</v>
      </c>
      <c r="K83" s="139">
        <f t="shared" si="0"/>
        <v>47.80692950056207</v>
      </c>
      <c r="L83" s="182"/>
    </row>
    <row r="84" spans="1:12" s="171" customFormat="1" ht="191.25" customHeight="1">
      <c r="A84" s="131" t="s">
        <v>199</v>
      </c>
      <c r="B84" s="132" t="s">
        <v>202</v>
      </c>
      <c r="C84" s="133">
        <f>5139.6+8094.4</f>
        <v>13234</v>
      </c>
      <c r="D84" s="133">
        <v>12803.8</v>
      </c>
      <c r="E84" s="134">
        <f t="shared" si="3"/>
        <v>96.74928215203263</v>
      </c>
      <c r="F84" s="135">
        <v>0</v>
      </c>
      <c r="G84" s="135">
        <v>0</v>
      </c>
      <c r="H84" s="136">
        <v>0</v>
      </c>
      <c r="I84" s="137">
        <f>C84+F84</f>
        <v>13234</v>
      </c>
      <c r="J84" s="138">
        <f>D84+G84</f>
        <v>12803.8</v>
      </c>
      <c r="K84" s="139">
        <f t="shared" si="0"/>
        <v>96.74928215203263</v>
      </c>
      <c r="L84" s="182"/>
    </row>
    <row r="85" spans="1:12" s="171" customFormat="1" ht="35.25" customHeight="1">
      <c r="A85" s="131" t="s">
        <v>203</v>
      </c>
      <c r="B85" s="132" t="s">
        <v>204</v>
      </c>
      <c r="C85" s="133">
        <v>161441.7</v>
      </c>
      <c r="D85" s="133">
        <v>135735.6</v>
      </c>
      <c r="E85" s="134">
        <f t="shared" si="3"/>
        <v>84.07716222016988</v>
      </c>
      <c r="F85" s="135"/>
      <c r="G85" s="135"/>
      <c r="H85" s="136"/>
      <c r="I85" s="137">
        <f>C85+F85</f>
        <v>161441.7</v>
      </c>
      <c r="J85" s="138">
        <f>D85+G85</f>
        <v>135735.6</v>
      </c>
      <c r="K85" s="139">
        <f t="shared" si="0"/>
        <v>84.07716222016988</v>
      </c>
      <c r="L85" s="182"/>
    </row>
    <row r="86" spans="1:12" s="171" customFormat="1" ht="45" customHeight="1">
      <c r="A86" s="131" t="s">
        <v>205</v>
      </c>
      <c r="B86" s="132" t="s">
        <v>206</v>
      </c>
      <c r="C86" s="133">
        <v>33321.1</v>
      </c>
      <c r="D86" s="133">
        <v>29380.3</v>
      </c>
      <c r="E86" s="134">
        <f t="shared" si="3"/>
        <v>88.17325958626816</v>
      </c>
      <c r="F86" s="135"/>
      <c r="G86" s="135"/>
      <c r="H86" s="136"/>
      <c r="I86" s="137">
        <f>C86+F86</f>
        <v>33321.1</v>
      </c>
      <c r="J86" s="138">
        <f>D86+G86</f>
        <v>29380.3</v>
      </c>
      <c r="K86" s="139">
        <f t="shared" si="0"/>
        <v>88.17325958626816</v>
      </c>
      <c r="L86" s="182"/>
    </row>
    <row r="87" spans="1:12" s="171" customFormat="1" ht="36" customHeight="1">
      <c r="A87" s="131" t="s">
        <v>207</v>
      </c>
      <c r="B87" s="132" t="s">
        <v>208</v>
      </c>
      <c r="C87" s="133">
        <v>50893</v>
      </c>
      <c r="D87" s="133">
        <v>39366.5</v>
      </c>
      <c r="E87" s="134">
        <f t="shared" si="3"/>
        <v>77.35150217122198</v>
      </c>
      <c r="F87" s="135">
        <v>0</v>
      </c>
      <c r="G87" s="135"/>
      <c r="H87" s="136">
        <v>0</v>
      </c>
      <c r="I87" s="137">
        <f>C87+F87</f>
        <v>50893</v>
      </c>
      <c r="J87" s="138">
        <f>D87+G87</f>
        <v>39366.5</v>
      </c>
      <c r="K87" s="139">
        <f t="shared" si="0"/>
        <v>77.35150217122198</v>
      </c>
      <c r="L87" s="182"/>
    </row>
    <row r="88" spans="1:12" s="171" customFormat="1" ht="30" customHeight="1">
      <c r="A88" s="126" t="s">
        <v>209</v>
      </c>
      <c r="B88" s="127" t="s">
        <v>210</v>
      </c>
      <c r="C88" s="128">
        <f>SUM(C89:C92)</f>
        <v>69980.79999999999</v>
      </c>
      <c r="D88" s="128">
        <f>SUM(D89:D92)</f>
        <v>51519.1</v>
      </c>
      <c r="E88" s="128">
        <f>D88/C88*100</f>
        <v>73.61890690017835</v>
      </c>
      <c r="F88" s="153">
        <f>SUM(F89:F92)</f>
        <v>118785.20000000001</v>
      </c>
      <c r="G88" s="153">
        <f>SUM(G89:G92)</f>
        <v>83514.6</v>
      </c>
      <c r="H88" s="129">
        <f>G88/F88*100</f>
        <v>70.307243663352</v>
      </c>
      <c r="I88" s="153">
        <f>SUM(I89:I92)</f>
        <v>186278</v>
      </c>
      <c r="J88" s="153">
        <f>SUM(J89:J92)</f>
        <v>132899.5</v>
      </c>
      <c r="K88" s="149">
        <f t="shared" si="0"/>
        <v>71.3447105938436</v>
      </c>
      <c r="L88" s="182"/>
    </row>
    <row r="89" spans="1:12" s="171" customFormat="1" ht="24.75" customHeight="1">
      <c r="A89" s="131" t="s">
        <v>211</v>
      </c>
      <c r="B89" s="132" t="s">
        <v>212</v>
      </c>
      <c r="C89" s="133">
        <v>64826.5</v>
      </c>
      <c r="D89" s="133">
        <v>47720.5</v>
      </c>
      <c r="E89" s="134">
        <f t="shared" si="3"/>
        <v>73.61264297779458</v>
      </c>
      <c r="F89" s="135">
        <v>118336.1</v>
      </c>
      <c r="G89" s="135">
        <v>83320</v>
      </c>
      <c r="H89" s="136">
        <f>G89/F89*100</f>
        <v>70.40962140885156</v>
      </c>
      <c r="I89" s="143">
        <f>C89+F89-1783.9-520.1</f>
        <v>180858.6</v>
      </c>
      <c r="J89" s="143">
        <f>D89+G89-1783.6-208.1</f>
        <v>129048.79999999999</v>
      </c>
      <c r="K89" s="139">
        <f t="shared" si="0"/>
        <v>71.35342195505217</v>
      </c>
      <c r="L89" s="182"/>
    </row>
    <row r="90" spans="1:12" s="171" customFormat="1" ht="36.75" customHeight="1">
      <c r="A90" s="161" t="s">
        <v>211</v>
      </c>
      <c r="B90" s="162" t="s">
        <v>213</v>
      </c>
      <c r="C90" s="133">
        <f>940+165.9</f>
        <v>1105.9</v>
      </c>
      <c r="D90" s="133">
        <v>903.1</v>
      </c>
      <c r="E90" s="134">
        <f t="shared" si="3"/>
        <v>81.66199475540283</v>
      </c>
      <c r="F90" s="135">
        <f>184+25.1</f>
        <v>209.1</v>
      </c>
      <c r="G90" s="135">
        <v>122.3</v>
      </c>
      <c r="H90" s="136">
        <f>G90/F90*100</f>
        <v>58.48876135820181</v>
      </c>
      <c r="I90" s="143">
        <f>C90+F90-184</f>
        <v>1131</v>
      </c>
      <c r="J90" s="143">
        <f>D90+G90-142.5</f>
        <v>882.9000000000001</v>
      </c>
      <c r="K90" s="139">
        <f>J90/I90*100</f>
        <v>78.0636604774536</v>
      </c>
      <c r="L90" s="182"/>
    </row>
    <row r="91" spans="1:12" s="171" customFormat="1" ht="18" customHeight="1">
      <c r="A91" s="131" t="s">
        <v>214</v>
      </c>
      <c r="B91" s="132" t="s">
        <v>215</v>
      </c>
      <c r="C91" s="133">
        <v>150</v>
      </c>
      <c r="D91" s="133">
        <v>70</v>
      </c>
      <c r="E91" s="134">
        <f t="shared" si="3"/>
        <v>46.666666666666664</v>
      </c>
      <c r="F91" s="135">
        <v>240</v>
      </c>
      <c r="G91" s="135">
        <v>72.3</v>
      </c>
      <c r="H91" s="136">
        <f>G91/F91*100</f>
        <v>30.124999999999996</v>
      </c>
      <c r="I91" s="137">
        <f aca="true" t="shared" si="7" ref="I91:J104">C91+F91</f>
        <v>390</v>
      </c>
      <c r="J91" s="138">
        <f>D91+G91</f>
        <v>142.3</v>
      </c>
      <c r="K91" s="139">
        <f aca="true" t="shared" si="8" ref="K91:K116">J91/I91*100</f>
        <v>36.48717948717949</v>
      </c>
      <c r="L91" s="182"/>
    </row>
    <row r="92" spans="1:12" s="171" customFormat="1" ht="43.5" customHeight="1">
      <c r="A92" s="131" t="s">
        <v>216</v>
      </c>
      <c r="B92" s="132" t="s">
        <v>217</v>
      </c>
      <c r="C92" s="133">
        <v>3898.4</v>
      </c>
      <c r="D92" s="133">
        <v>2825.5</v>
      </c>
      <c r="E92" s="134">
        <f t="shared" si="3"/>
        <v>72.478452698543</v>
      </c>
      <c r="F92" s="135"/>
      <c r="G92" s="135"/>
      <c r="H92" s="136"/>
      <c r="I92" s="137">
        <f>C92+F92</f>
        <v>3898.4</v>
      </c>
      <c r="J92" s="138">
        <f>D92+G92</f>
        <v>2825.5</v>
      </c>
      <c r="K92" s="139">
        <f t="shared" si="8"/>
        <v>72.478452698543</v>
      </c>
      <c r="L92" s="182"/>
    </row>
    <row r="93" spans="1:12" s="171" customFormat="1" ht="18.75" customHeight="1">
      <c r="A93" s="126" t="s">
        <v>218</v>
      </c>
      <c r="B93" s="127" t="s">
        <v>219</v>
      </c>
      <c r="C93" s="128">
        <f>SUM(C94:C95)</f>
        <v>53405.399999999994</v>
      </c>
      <c r="D93" s="128">
        <f>SUM(D94:D95)</f>
        <v>33176.200000000004</v>
      </c>
      <c r="E93" s="128">
        <f>SUM(E95:E95)</f>
        <v>59.79113402955324</v>
      </c>
      <c r="F93" s="153">
        <v>0</v>
      </c>
      <c r="G93" s="153">
        <v>0</v>
      </c>
      <c r="H93" s="129"/>
      <c r="I93" s="153">
        <f>C93+F93</f>
        <v>53405.399999999994</v>
      </c>
      <c r="J93" s="153">
        <f t="shared" si="7"/>
        <v>33176.200000000004</v>
      </c>
      <c r="K93" s="130">
        <f t="shared" si="8"/>
        <v>62.121433413100554</v>
      </c>
      <c r="L93" s="182"/>
    </row>
    <row r="94" spans="1:12" s="171" customFormat="1" ht="86.25" customHeight="1">
      <c r="A94" s="141" t="s">
        <v>220</v>
      </c>
      <c r="B94" s="162" t="s">
        <v>221</v>
      </c>
      <c r="C94" s="133">
        <v>51097.7</v>
      </c>
      <c r="D94" s="133">
        <v>31796.4</v>
      </c>
      <c r="E94" s="134">
        <f t="shared" si="3"/>
        <v>62.2266755646536</v>
      </c>
      <c r="F94" s="138"/>
      <c r="G94" s="138"/>
      <c r="H94" s="135"/>
      <c r="I94" s="137">
        <f t="shared" si="7"/>
        <v>51097.7</v>
      </c>
      <c r="J94" s="138">
        <f t="shared" si="7"/>
        <v>31796.4</v>
      </c>
      <c r="K94" s="139">
        <f t="shared" si="8"/>
        <v>62.2266755646536</v>
      </c>
      <c r="L94" s="182"/>
    </row>
    <row r="95" spans="1:12" s="171" customFormat="1" ht="76.5" customHeight="1">
      <c r="A95" s="141" t="s">
        <v>220</v>
      </c>
      <c r="B95" s="162" t="s">
        <v>222</v>
      </c>
      <c r="C95" s="133">
        <v>2307.7</v>
      </c>
      <c r="D95" s="135">
        <v>1379.8</v>
      </c>
      <c r="E95" s="134">
        <f t="shared" si="3"/>
        <v>59.79113402955324</v>
      </c>
      <c r="F95" s="135"/>
      <c r="G95" s="135"/>
      <c r="H95" s="136"/>
      <c r="I95" s="137">
        <f t="shared" si="7"/>
        <v>2307.7</v>
      </c>
      <c r="J95" s="138">
        <f t="shared" si="7"/>
        <v>1379.8</v>
      </c>
      <c r="K95" s="139">
        <f t="shared" si="8"/>
        <v>59.79113402955324</v>
      </c>
      <c r="L95" s="182"/>
    </row>
    <row r="96" spans="1:12" s="171" customFormat="1" ht="23.25" customHeight="1">
      <c r="A96" s="126">
        <v>10</v>
      </c>
      <c r="B96" s="127" t="s">
        <v>223</v>
      </c>
      <c r="C96" s="128">
        <f>SUM(C97:C104)</f>
        <v>136478.7</v>
      </c>
      <c r="D96" s="128">
        <f>SUM(D97:D104)</f>
        <v>87358.4</v>
      </c>
      <c r="E96" s="128">
        <f>D96/C96*100</f>
        <v>64.00881602770248</v>
      </c>
      <c r="F96" s="128">
        <f>SUM(F97:F104)</f>
        <v>970.2</v>
      </c>
      <c r="G96" s="128">
        <f>SUM(G97:G104)</f>
        <v>582.4</v>
      </c>
      <c r="H96" s="129">
        <f>G96/F96*100</f>
        <v>60.028860028860024</v>
      </c>
      <c r="I96" s="128">
        <f>SUM(I97:I104)</f>
        <v>137448.90000000002</v>
      </c>
      <c r="J96" s="128">
        <f>SUM(J97:J104)</f>
        <v>87940.8</v>
      </c>
      <c r="K96" s="130">
        <f t="shared" si="8"/>
        <v>63.98072301779061</v>
      </c>
      <c r="L96" s="182"/>
    </row>
    <row r="97" spans="1:12" s="171" customFormat="1" ht="26.25" customHeight="1">
      <c r="A97" s="141">
        <v>1001</v>
      </c>
      <c r="B97" s="132" t="s">
        <v>224</v>
      </c>
      <c r="C97" s="133">
        <v>4604.1</v>
      </c>
      <c r="D97" s="133">
        <v>3522.1</v>
      </c>
      <c r="E97" s="134">
        <f t="shared" si="3"/>
        <v>76.49920722833996</v>
      </c>
      <c r="F97" s="135">
        <v>890.2</v>
      </c>
      <c r="G97" s="135">
        <v>502.4</v>
      </c>
      <c r="H97" s="136">
        <f>G97/F97*100</f>
        <v>56.436755785216796</v>
      </c>
      <c r="I97" s="137">
        <f t="shared" si="7"/>
        <v>5494.3</v>
      </c>
      <c r="J97" s="138">
        <f t="shared" si="7"/>
        <v>4024.5</v>
      </c>
      <c r="K97" s="139">
        <f t="shared" si="8"/>
        <v>73.24863949911726</v>
      </c>
      <c r="L97" s="182"/>
    </row>
    <row r="98" spans="1:12" s="171" customFormat="1" ht="128.25" customHeight="1">
      <c r="A98" s="141">
        <v>1003</v>
      </c>
      <c r="B98" s="132" t="s">
        <v>225</v>
      </c>
      <c r="C98" s="133">
        <f>2664.5+2319.2</f>
        <v>4983.7</v>
      </c>
      <c r="D98" s="133">
        <v>1776.3</v>
      </c>
      <c r="E98" s="134">
        <f t="shared" si="3"/>
        <v>35.64219355097618</v>
      </c>
      <c r="F98" s="135">
        <v>0</v>
      </c>
      <c r="G98" s="135">
        <v>0</v>
      </c>
      <c r="H98" s="136">
        <v>0</v>
      </c>
      <c r="I98" s="137">
        <f t="shared" si="7"/>
        <v>4983.7</v>
      </c>
      <c r="J98" s="138">
        <f t="shared" si="7"/>
        <v>1776.3</v>
      </c>
      <c r="K98" s="139">
        <f t="shared" si="8"/>
        <v>35.64219355097618</v>
      </c>
      <c r="L98" s="182"/>
    </row>
    <row r="99" spans="1:12" s="171" customFormat="1" ht="94.5" customHeight="1">
      <c r="A99" s="141" t="s">
        <v>226</v>
      </c>
      <c r="B99" s="132" t="s">
        <v>227</v>
      </c>
      <c r="C99" s="133">
        <v>1776.3</v>
      </c>
      <c r="D99" s="133">
        <v>888.2</v>
      </c>
      <c r="E99" s="134">
        <f t="shared" si="3"/>
        <v>50.00281483983562</v>
      </c>
      <c r="F99" s="135"/>
      <c r="G99" s="135"/>
      <c r="H99" s="136"/>
      <c r="I99" s="137">
        <f t="shared" si="7"/>
        <v>1776.3</v>
      </c>
      <c r="J99" s="138">
        <f t="shared" si="7"/>
        <v>888.2</v>
      </c>
      <c r="K99" s="139">
        <f t="shared" si="8"/>
        <v>50.00281483983562</v>
      </c>
      <c r="L99" s="182"/>
    </row>
    <row r="100" spans="1:12" s="171" customFormat="1" ht="149.25" customHeight="1">
      <c r="A100" s="141">
        <v>1004</v>
      </c>
      <c r="B100" s="132" t="s">
        <v>228</v>
      </c>
      <c r="C100" s="133">
        <v>15640</v>
      </c>
      <c r="D100" s="133">
        <v>10723.5</v>
      </c>
      <c r="E100" s="134">
        <f t="shared" si="3"/>
        <v>68.56457800511508</v>
      </c>
      <c r="F100" s="135">
        <v>0</v>
      </c>
      <c r="G100" s="135">
        <v>0</v>
      </c>
      <c r="H100" s="136">
        <v>0</v>
      </c>
      <c r="I100" s="137">
        <f t="shared" si="7"/>
        <v>15640</v>
      </c>
      <c r="J100" s="138">
        <f t="shared" si="7"/>
        <v>10723.5</v>
      </c>
      <c r="K100" s="139">
        <f t="shared" si="8"/>
        <v>68.56457800511508</v>
      </c>
      <c r="L100" s="182"/>
    </row>
    <row r="101" spans="1:12" s="171" customFormat="1" ht="271.5" customHeight="1">
      <c r="A101" s="141">
        <v>1004</v>
      </c>
      <c r="B101" s="132" t="s">
        <v>229</v>
      </c>
      <c r="C101" s="133">
        <v>73281.3</v>
      </c>
      <c r="D101" s="133">
        <v>44143.3</v>
      </c>
      <c r="E101" s="134">
        <f aca="true" t="shared" si="9" ref="E101:E115">D101/C101*100</f>
        <v>60.238150796997324</v>
      </c>
      <c r="F101" s="135">
        <v>0</v>
      </c>
      <c r="G101" s="135">
        <v>0</v>
      </c>
      <c r="H101" s="136">
        <v>0</v>
      </c>
      <c r="I101" s="137">
        <f t="shared" si="7"/>
        <v>73281.3</v>
      </c>
      <c r="J101" s="138">
        <f t="shared" si="7"/>
        <v>44143.3</v>
      </c>
      <c r="K101" s="139">
        <f t="shared" si="8"/>
        <v>60.238150796997324</v>
      </c>
      <c r="L101" s="182"/>
    </row>
    <row r="102" spans="1:12" s="171" customFormat="1" ht="243.75" customHeight="1">
      <c r="A102" s="141" t="s">
        <v>230</v>
      </c>
      <c r="B102" s="132" t="s">
        <v>231</v>
      </c>
      <c r="C102" s="133">
        <v>15152.3</v>
      </c>
      <c r="D102" s="133">
        <v>15152.1</v>
      </c>
      <c r="E102" s="134">
        <f>D102/C102*100</f>
        <v>99.99868006837247</v>
      </c>
      <c r="F102" s="135">
        <v>0</v>
      </c>
      <c r="G102" s="135">
        <v>0</v>
      </c>
      <c r="H102" s="136">
        <v>0</v>
      </c>
      <c r="I102" s="137">
        <f t="shared" si="7"/>
        <v>15152.3</v>
      </c>
      <c r="J102" s="138">
        <f t="shared" si="7"/>
        <v>15152.1</v>
      </c>
      <c r="K102" s="139">
        <f>J102/I102*100</f>
        <v>99.99868006837247</v>
      </c>
      <c r="L102" s="182"/>
    </row>
    <row r="103" spans="1:12" s="171" customFormat="1" ht="48" customHeight="1">
      <c r="A103" s="141" t="s">
        <v>230</v>
      </c>
      <c r="B103" s="132" t="s">
        <v>232</v>
      </c>
      <c r="C103" s="133">
        <v>1578.5</v>
      </c>
      <c r="D103" s="133"/>
      <c r="E103" s="134"/>
      <c r="F103" s="135"/>
      <c r="G103" s="135"/>
      <c r="H103" s="136"/>
      <c r="I103" s="137">
        <f t="shared" si="7"/>
        <v>1578.5</v>
      </c>
      <c r="J103" s="138">
        <f t="shared" si="7"/>
        <v>0</v>
      </c>
      <c r="K103" s="139">
        <f>J103/I103*100</f>
        <v>0</v>
      </c>
      <c r="L103" s="182"/>
    </row>
    <row r="104" spans="1:12" s="171" customFormat="1" ht="53.25" customHeight="1">
      <c r="A104" s="141">
        <v>1006</v>
      </c>
      <c r="B104" s="132" t="s">
        <v>233</v>
      </c>
      <c r="C104" s="133">
        <v>19462.5</v>
      </c>
      <c r="D104" s="133">
        <v>11152.9</v>
      </c>
      <c r="E104" s="134">
        <f t="shared" si="9"/>
        <v>57.30456005138086</v>
      </c>
      <c r="F104" s="135">
        <v>80</v>
      </c>
      <c r="G104" s="135">
        <v>80</v>
      </c>
      <c r="H104" s="136">
        <f>G104/F104*100</f>
        <v>100</v>
      </c>
      <c r="I104" s="137">
        <f t="shared" si="7"/>
        <v>19542.5</v>
      </c>
      <c r="J104" s="138">
        <f t="shared" si="7"/>
        <v>11232.9</v>
      </c>
      <c r="K104" s="139">
        <f t="shared" si="8"/>
        <v>57.479339900217475</v>
      </c>
      <c r="L104" s="182"/>
    </row>
    <row r="105" spans="1:12" s="171" customFormat="1" ht="30.75" customHeight="1">
      <c r="A105" s="157">
        <v>1100</v>
      </c>
      <c r="B105" s="127" t="s">
        <v>234</v>
      </c>
      <c r="C105" s="128">
        <f>SUM(C106:C107)</f>
        <v>119264.6</v>
      </c>
      <c r="D105" s="128">
        <f>SUM(D106:D107)</f>
        <v>89102</v>
      </c>
      <c r="E105" s="128">
        <f>D105/C105*100</f>
        <v>74.70951145603976</v>
      </c>
      <c r="F105" s="153">
        <f>F106+F107</f>
        <v>40871.3</v>
      </c>
      <c r="G105" s="153">
        <f>G106+G107</f>
        <v>26804.1</v>
      </c>
      <c r="H105" s="129">
        <f>G105/F105*100</f>
        <v>65.58171626544788</v>
      </c>
      <c r="I105" s="153">
        <f>SUM(I106:I107)</f>
        <v>160072.90000000002</v>
      </c>
      <c r="J105" s="153">
        <f>SUM(J106:J107)</f>
        <v>115880.9</v>
      </c>
      <c r="K105" s="130">
        <f t="shared" si="8"/>
        <v>72.39257863136108</v>
      </c>
      <c r="L105" s="182"/>
    </row>
    <row r="106" spans="1:12" s="171" customFormat="1" ht="28.5" customHeight="1">
      <c r="A106" s="141">
        <v>1101</v>
      </c>
      <c r="B106" s="132" t="s">
        <v>235</v>
      </c>
      <c r="C106" s="133">
        <v>119109.6</v>
      </c>
      <c r="D106" s="133">
        <v>89068.2</v>
      </c>
      <c r="E106" s="134">
        <f t="shared" si="9"/>
        <v>74.77835539704608</v>
      </c>
      <c r="F106" s="135">
        <v>40871.3</v>
      </c>
      <c r="G106" s="135">
        <v>26804.1</v>
      </c>
      <c r="H106" s="136">
        <f>G106/F106*100</f>
        <v>65.58171626544788</v>
      </c>
      <c r="I106" s="143">
        <f>C106+F106-63</f>
        <v>159917.90000000002</v>
      </c>
      <c r="J106" s="143">
        <f>D106+G106-25.2</f>
        <v>115847.09999999999</v>
      </c>
      <c r="K106" s="139">
        <f t="shared" si="8"/>
        <v>72.44160910066977</v>
      </c>
      <c r="L106" s="182"/>
    </row>
    <row r="107" spans="1:12" s="171" customFormat="1" ht="15.75" customHeight="1">
      <c r="A107" s="141">
        <v>1102</v>
      </c>
      <c r="B107" s="132" t="s">
        <v>236</v>
      </c>
      <c r="C107" s="133">
        <v>155</v>
      </c>
      <c r="D107" s="133">
        <v>33.8</v>
      </c>
      <c r="E107" s="134">
        <f t="shared" si="9"/>
        <v>21.806451612903224</v>
      </c>
      <c r="F107" s="135"/>
      <c r="G107" s="135">
        <v>0</v>
      </c>
      <c r="H107" s="136"/>
      <c r="I107" s="137">
        <f>C107+F107</f>
        <v>155</v>
      </c>
      <c r="J107" s="138">
        <f>D107+G107</f>
        <v>33.8</v>
      </c>
      <c r="K107" s="139">
        <f t="shared" si="8"/>
        <v>21.806451612903224</v>
      </c>
      <c r="L107" s="182"/>
    </row>
    <row r="108" spans="1:12" s="171" customFormat="1" ht="36" customHeight="1">
      <c r="A108" s="157">
        <v>1200</v>
      </c>
      <c r="B108" s="127" t="s">
        <v>237</v>
      </c>
      <c r="C108" s="128">
        <f>SUM(C109:C109)</f>
        <v>6625</v>
      </c>
      <c r="D108" s="128">
        <f>SUM(D109:D109)</f>
        <v>4919.5</v>
      </c>
      <c r="E108" s="144">
        <f>D108/C108*100</f>
        <v>74.2566037735849</v>
      </c>
      <c r="F108" s="128"/>
      <c r="G108" s="128"/>
      <c r="H108" s="129"/>
      <c r="I108" s="128">
        <f aca="true" t="shared" si="10" ref="I108:J111">C108+F108</f>
        <v>6625</v>
      </c>
      <c r="J108" s="128">
        <f t="shared" si="10"/>
        <v>4919.5</v>
      </c>
      <c r="K108" s="163">
        <f t="shared" si="8"/>
        <v>74.2566037735849</v>
      </c>
      <c r="L108" s="182"/>
    </row>
    <row r="109" spans="1:12" s="171" customFormat="1" ht="41.25" customHeight="1">
      <c r="A109" s="141" t="s">
        <v>238</v>
      </c>
      <c r="B109" s="132" t="s">
        <v>239</v>
      </c>
      <c r="C109" s="133">
        <v>6625</v>
      </c>
      <c r="D109" s="133">
        <v>4919.5</v>
      </c>
      <c r="E109" s="134">
        <f>D109/C109*100</f>
        <v>74.2566037735849</v>
      </c>
      <c r="F109" s="135"/>
      <c r="G109" s="135"/>
      <c r="H109" s="136"/>
      <c r="I109" s="137">
        <f t="shared" si="10"/>
        <v>6625</v>
      </c>
      <c r="J109" s="138">
        <f t="shared" si="10"/>
        <v>4919.5</v>
      </c>
      <c r="K109" s="139">
        <f>J109/I109*100</f>
        <v>74.2566037735849</v>
      </c>
      <c r="L109" s="182"/>
    </row>
    <row r="110" spans="1:12" s="171" customFormat="1" ht="14.25" customHeight="1">
      <c r="A110" s="157">
        <v>1300</v>
      </c>
      <c r="B110" s="127" t="s">
        <v>240</v>
      </c>
      <c r="C110" s="128">
        <f aca="true" t="shared" si="11" ref="C110:H110">C111</f>
        <v>24</v>
      </c>
      <c r="D110" s="128">
        <f t="shared" si="11"/>
        <v>4.8</v>
      </c>
      <c r="E110" s="128">
        <f t="shared" si="11"/>
        <v>20</v>
      </c>
      <c r="F110" s="128">
        <f t="shared" si="11"/>
        <v>0</v>
      </c>
      <c r="G110" s="128">
        <f t="shared" si="11"/>
        <v>0</v>
      </c>
      <c r="H110" s="144">
        <f t="shared" si="11"/>
        <v>0</v>
      </c>
      <c r="I110" s="128">
        <f t="shared" si="10"/>
        <v>24</v>
      </c>
      <c r="J110" s="128">
        <f t="shared" si="10"/>
        <v>4.8</v>
      </c>
      <c r="K110" s="163">
        <f t="shared" si="8"/>
        <v>20</v>
      </c>
      <c r="L110" s="182"/>
    </row>
    <row r="111" spans="1:12" s="171" customFormat="1" ht="54.75" customHeight="1">
      <c r="A111" s="141">
        <v>1301</v>
      </c>
      <c r="B111" s="132" t="s">
        <v>241</v>
      </c>
      <c r="C111" s="133">
        <v>24</v>
      </c>
      <c r="D111" s="133">
        <v>4.8</v>
      </c>
      <c r="E111" s="134">
        <f t="shared" si="9"/>
        <v>20</v>
      </c>
      <c r="F111" s="135"/>
      <c r="G111" s="135">
        <v>0</v>
      </c>
      <c r="H111" s="136">
        <v>0</v>
      </c>
      <c r="I111" s="137">
        <f t="shared" si="10"/>
        <v>24</v>
      </c>
      <c r="J111" s="138">
        <f t="shared" si="10"/>
        <v>4.8</v>
      </c>
      <c r="K111" s="139">
        <f t="shared" si="8"/>
        <v>20</v>
      </c>
      <c r="L111" s="182"/>
    </row>
    <row r="112" spans="1:12" s="171" customFormat="1" ht="26.25" customHeight="1">
      <c r="A112" s="157">
        <v>1400</v>
      </c>
      <c r="B112" s="127" t="s">
        <v>242</v>
      </c>
      <c r="C112" s="128">
        <f>SUM(C113:C115)</f>
        <v>311773.9</v>
      </c>
      <c r="D112" s="128">
        <f>SUM(D113:D115)</f>
        <v>245160.5</v>
      </c>
      <c r="E112" s="128">
        <f>D112/C112*100</f>
        <v>78.6340678292827</v>
      </c>
      <c r="F112" s="153">
        <f>F113+F114+F115</f>
        <v>0</v>
      </c>
      <c r="G112" s="153">
        <f>SUM(G113:G115)</f>
        <v>0</v>
      </c>
      <c r="H112" s="153"/>
      <c r="I112" s="153">
        <v>0</v>
      </c>
      <c r="J112" s="153">
        <v>0</v>
      </c>
      <c r="K112" s="130">
        <v>0</v>
      </c>
      <c r="L112" s="182"/>
    </row>
    <row r="113" spans="1:12" s="171" customFormat="1" ht="68.25" customHeight="1">
      <c r="A113" s="141">
        <v>1401</v>
      </c>
      <c r="B113" s="132" t="s">
        <v>243</v>
      </c>
      <c r="C113" s="133">
        <v>128204.8</v>
      </c>
      <c r="D113" s="133">
        <v>102563.5</v>
      </c>
      <c r="E113" s="134">
        <f t="shared" si="9"/>
        <v>79.99973479932109</v>
      </c>
      <c r="F113" s="135">
        <v>0</v>
      </c>
      <c r="G113" s="135">
        <v>0</v>
      </c>
      <c r="H113" s="136">
        <v>0</v>
      </c>
      <c r="I113" s="143">
        <f>C113+F113-128204.8</f>
        <v>0</v>
      </c>
      <c r="J113" s="143">
        <f>D113+G113-102563.4</f>
        <v>0.10000000000582077</v>
      </c>
      <c r="K113" s="139">
        <v>0</v>
      </c>
      <c r="L113" s="182"/>
    </row>
    <row r="114" spans="1:12" s="171" customFormat="1" ht="21.75" customHeight="1">
      <c r="A114" s="141">
        <v>1402</v>
      </c>
      <c r="B114" s="132" t="s">
        <v>244</v>
      </c>
      <c r="C114" s="133">
        <v>175769.1</v>
      </c>
      <c r="D114" s="133">
        <v>140097</v>
      </c>
      <c r="E114" s="134">
        <f t="shared" si="9"/>
        <v>79.70513588565909</v>
      </c>
      <c r="F114" s="135">
        <v>0</v>
      </c>
      <c r="G114" s="135">
        <v>0</v>
      </c>
      <c r="H114" s="136">
        <v>0</v>
      </c>
      <c r="I114" s="143">
        <f>C114+F114-175769.1</f>
        <v>0</v>
      </c>
      <c r="J114" s="143">
        <f>D114+G114-140097</f>
        <v>0</v>
      </c>
      <c r="K114" s="139">
        <v>0</v>
      </c>
      <c r="L114" s="182"/>
    </row>
    <row r="115" spans="1:12" s="171" customFormat="1" ht="29.25" customHeight="1">
      <c r="A115" s="141">
        <v>1403</v>
      </c>
      <c r="B115" s="132" t="s">
        <v>245</v>
      </c>
      <c r="C115" s="133">
        <v>7800</v>
      </c>
      <c r="D115" s="133">
        <v>2500</v>
      </c>
      <c r="E115" s="134">
        <f t="shared" si="9"/>
        <v>32.05128205128205</v>
      </c>
      <c r="F115" s="135">
        <v>0</v>
      </c>
      <c r="G115" s="135">
        <v>0</v>
      </c>
      <c r="H115" s="136">
        <v>0</v>
      </c>
      <c r="I115" s="143">
        <f>C115+F115-7800</f>
        <v>0</v>
      </c>
      <c r="J115" s="143">
        <f>D115+G115-2500</f>
        <v>0</v>
      </c>
      <c r="K115" s="139">
        <v>0</v>
      </c>
      <c r="L115" s="182"/>
    </row>
    <row r="116" spans="1:12" s="171" customFormat="1" ht="20.25" customHeight="1" thickBot="1">
      <c r="A116" s="164" t="s">
        <v>246</v>
      </c>
      <c r="B116" s="165"/>
      <c r="C116" s="166">
        <f>C9+C18+C20+C25+C47+C77+C79+C88+C93+C96+C105+C108+C110+C112</f>
        <v>3817812.8000000003</v>
      </c>
      <c r="D116" s="166">
        <f>D112+D110+D108+D105+D96+D93+D88+D79+D77+D47+D25+D20+D18+D9</f>
        <v>2562114.1000000006</v>
      </c>
      <c r="E116" s="166">
        <f>D116/C116*100</f>
        <v>67.1094743042404</v>
      </c>
      <c r="F116" s="166">
        <f>F9+F18+F20+F25+F47+F77+F79+F88+F93+F96+F105+F108+F110+F112</f>
        <v>753892.8999999999</v>
      </c>
      <c r="G116" s="166">
        <f>G112+G110+G108+G96+G93+G88+G79+G47+G25+G21+G18+G9+G20+G105+G77</f>
        <v>417312.19999999995</v>
      </c>
      <c r="H116" s="167">
        <f>G116/F116*100</f>
        <v>55.35430828437302</v>
      </c>
      <c r="I116" s="166">
        <f>I112+I110+I108+I105+I96+I93+I88+I79+I77+I47+I25+I20+I18+I9</f>
        <v>4054305.5999999996</v>
      </c>
      <c r="J116" s="166">
        <f>J112+J110+J108+J105+J96+J93+J88+J79+J77+J47+J25+J20+J18+J9</f>
        <v>2697974.9000000004</v>
      </c>
      <c r="K116" s="168">
        <f t="shared" si="8"/>
        <v>66.54591849218275</v>
      </c>
      <c r="L116" s="182"/>
    </row>
    <row r="117" spans="1:11" s="171" customFormat="1" ht="15" customHeight="1">
      <c r="A117" s="183"/>
      <c r="B117" s="155"/>
      <c r="C117" s="184"/>
      <c r="D117" s="175"/>
      <c r="E117" s="185"/>
      <c r="F117" s="177"/>
      <c r="G117" s="177"/>
      <c r="H117" s="178"/>
      <c r="I117" s="180"/>
      <c r="J117" s="180"/>
      <c r="K117" s="181"/>
    </row>
    <row r="118" spans="1:11" s="171" customFormat="1" ht="15">
      <c r="A118" s="186"/>
      <c r="B118" s="187"/>
      <c r="C118" s="188"/>
      <c r="D118" s="188"/>
      <c r="E118" s="189"/>
      <c r="F118" s="188"/>
      <c r="G118" s="188"/>
      <c r="H118" s="189"/>
      <c r="I118" s="189"/>
      <c r="J118" s="189"/>
      <c r="K118" s="189"/>
    </row>
    <row r="119" spans="1:11" s="171" customFormat="1" ht="12.75" customHeight="1">
      <c r="A119" s="186"/>
      <c r="B119" s="187"/>
      <c r="C119" s="188"/>
      <c r="D119" s="190"/>
      <c r="E119" s="185"/>
      <c r="F119" s="177"/>
      <c r="G119" s="177"/>
      <c r="H119" s="178"/>
      <c r="I119" s="179"/>
      <c r="J119" s="180"/>
      <c r="K119" s="181"/>
    </row>
    <row r="120" spans="1:11" s="171" customFormat="1" ht="15">
      <c r="A120" s="191" t="s">
        <v>247</v>
      </c>
      <c r="B120" s="191"/>
      <c r="C120" s="191"/>
      <c r="D120" s="177"/>
      <c r="E120" s="178"/>
      <c r="F120" s="177"/>
      <c r="G120" s="177"/>
      <c r="H120" s="178"/>
      <c r="I120" s="181"/>
      <c r="J120" s="180"/>
      <c r="K120" s="181"/>
    </row>
    <row r="121" spans="1:11" s="171" customFormat="1" ht="15">
      <c r="A121" s="191" t="s">
        <v>248</v>
      </c>
      <c r="B121" s="191"/>
      <c r="C121" s="191"/>
      <c r="D121" s="192"/>
      <c r="E121" s="193" t="s">
        <v>249</v>
      </c>
      <c r="F121" s="193"/>
      <c r="G121" s="177"/>
      <c r="H121" s="178"/>
      <c r="I121" s="179"/>
      <c r="J121" s="180"/>
      <c r="K121" s="181"/>
    </row>
    <row r="122" spans="1:11" s="171" customFormat="1" ht="15">
      <c r="A122" s="194"/>
      <c r="B122" s="155"/>
      <c r="C122" s="195"/>
      <c r="D122" s="175"/>
      <c r="E122" s="196"/>
      <c r="F122" s="197"/>
      <c r="G122" s="177"/>
      <c r="H122" s="178"/>
      <c r="I122" s="179"/>
      <c r="J122" s="180"/>
      <c r="K122" s="181"/>
    </row>
    <row r="123" spans="1:11" s="171" customFormat="1" ht="15">
      <c r="A123" s="191" t="s">
        <v>250</v>
      </c>
      <c r="B123" s="191"/>
      <c r="C123" s="191"/>
      <c r="D123" s="198"/>
      <c r="E123" s="193" t="s">
        <v>251</v>
      </c>
      <c r="F123" s="193"/>
      <c r="G123" s="177"/>
      <c r="H123" s="178"/>
      <c r="I123" s="179"/>
      <c r="J123" s="180"/>
      <c r="K123" s="181"/>
    </row>
    <row r="124" spans="1:11" s="171" customFormat="1" ht="15">
      <c r="A124" s="194"/>
      <c r="B124" s="187"/>
      <c r="C124" s="188"/>
      <c r="D124" s="190"/>
      <c r="E124" s="196"/>
      <c r="F124" s="197"/>
      <c r="G124" s="177"/>
      <c r="H124" s="178"/>
      <c r="I124" s="179"/>
      <c r="J124" s="180"/>
      <c r="K124" s="181"/>
    </row>
    <row r="125" spans="1:11" s="171" customFormat="1" ht="12.75" customHeight="1">
      <c r="A125" s="191" t="s">
        <v>252</v>
      </c>
      <c r="B125" s="191"/>
      <c r="C125" s="191"/>
      <c r="D125" s="198"/>
      <c r="E125" s="193" t="s">
        <v>253</v>
      </c>
      <c r="F125" s="193"/>
      <c r="G125" s="177"/>
      <c r="H125" s="178"/>
      <c r="I125" s="179"/>
      <c r="J125" s="180"/>
      <c r="K125" s="181"/>
    </row>
    <row r="126" spans="1:11" s="171" customFormat="1" ht="15">
      <c r="A126" s="199"/>
      <c r="B126" s="200"/>
      <c r="C126" s="201"/>
      <c r="D126" s="177"/>
      <c r="E126" s="202"/>
      <c r="F126" s="177"/>
      <c r="G126" s="177"/>
      <c r="H126" s="178"/>
      <c r="I126" s="181"/>
      <c r="J126" s="180"/>
      <c r="K126" s="181"/>
    </row>
    <row r="127" spans="3:10" s="171" customFormat="1" ht="15">
      <c r="C127" s="203" t="s">
        <v>254</v>
      </c>
      <c r="D127" s="204"/>
      <c r="E127" s="171" t="s">
        <v>255</v>
      </c>
      <c r="F127" s="205"/>
      <c r="G127" s="205"/>
      <c r="I127" s="171" t="s">
        <v>256</v>
      </c>
      <c r="J127" s="205"/>
    </row>
    <row r="128" spans="3:6" s="171" customFormat="1" ht="15">
      <c r="C128" s="205"/>
      <c r="F128" s="205"/>
    </row>
  </sheetData>
  <sheetProtection/>
  <mergeCells count="35">
    <mergeCell ref="A120:C120"/>
    <mergeCell ref="A121:C121"/>
    <mergeCell ref="E121:F121"/>
    <mergeCell ref="A123:C123"/>
    <mergeCell ref="E123:F123"/>
    <mergeCell ref="A125:C125"/>
    <mergeCell ref="E125:F125"/>
    <mergeCell ref="G20:G21"/>
    <mergeCell ref="H20:H21"/>
    <mergeCell ref="I20:I21"/>
    <mergeCell ref="J20:J21"/>
    <mergeCell ref="K20:K21"/>
    <mergeCell ref="A116:B116"/>
    <mergeCell ref="A20:A21"/>
    <mergeCell ref="B20:B21"/>
    <mergeCell ref="C20:C21"/>
    <mergeCell ref="D20:D21"/>
    <mergeCell ref="E20:E21"/>
    <mergeCell ref="F20:F21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Бучельникова</cp:lastModifiedBy>
  <cp:lastPrinted>2019-10-03T09:53:14Z</cp:lastPrinted>
  <dcterms:created xsi:type="dcterms:W3CDTF">2006-05-12T06:58:42Z</dcterms:created>
  <dcterms:modified xsi:type="dcterms:W3CDTF">2020-02-22T10:43:02Z</dcterms:modified>
  <cp:category/>
  <cp:version/>
  <cp:contentType/>
  <cp:contentStatus/>
</cp:coreProperties>
</file>