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80" windowHeight="8865" activeTab="0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<sst xmlns="http://schemas.openxmlformats.org/spreadsheetml/2006/main" count="612" uniqueCount="249">
  <si>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</si>
  <si>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</si>
  <si>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</si>
  <si>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</si>
  <si>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</si>
  <si>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</si>
  <si>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</si>
  <si>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</si>
  <si>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</si>
  <si>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</si>
  <si>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</si>
  <si>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</si>
  <si>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</si>
  <si>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</si>
  <si>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</si>
  <si>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</si>
  <si>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</si>
  <si>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</si>
  <si>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</si>
  <si>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</si>
  <si>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</si>
  <si>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</si>
  <si>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</si>
  <si>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</si>
  <si>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</si>
  <si>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</si>
  <si>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</si>
  <si>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</si>
  <si>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</si>
  <si>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</si>
  <si>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</si>
  <si>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</si>
  <si>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</si>
  <si>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</si>
  <si>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</si>
  <si>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</si>
  <si>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</si>
  <si>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</si>
  <si>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</si>
  <si>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</si>
  <si>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</si>
  <si>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</si>
  <si>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</si>
  <si>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</si>
  <si>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</si>
  <si>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</si>
  <si>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</si>
  <si>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</si>
  <si>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</si>
  <si>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</si>
  <si>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</si>
  <si>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</si>
  <si>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</si>
  <si>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</si>
  <si>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</si>
  <si>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</si>
  <si>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</si>
  <si>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</si>
  <si>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</si>
  <si>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</si>
  <si>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</si>
  <si>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</si>
  <si>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</si>
  <si>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</si>
  <si>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</si>
  <si>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</si>
  <si>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</si>
  <si>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</si>
  <si>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</si>
  <si>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</si>
  <si>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</si>
  <si>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</si>
  <si>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</si>
  <si>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</si>
  <si>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</si>
  <si>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</si>
  <si>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</si>
  <si>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</si>
  <si>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</si>
  <si>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</si>
  <si>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</si>
  <si>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 xml:space="preserve">% исп-ия к плану на 2016 год </t>
  </si>
  <si>
    <t>План на 2016 год</t>
  </si>
  <si>
    <t>Отчет об исполнении консолидированного бюджета Октябрьского района по состоянию на 01.05.2016</t>
  </si>
  <si>
    <t>Исполнение на 01.05.2016</t>
  </si>
  <si>
    <t>План                 на 1 полугодие 2016 года</t>
  </si>
  <si>
    <t xml:space="preserve">% исп-ия к плану на 1 полугодие 2016 года </t>
  </si>
  <si>
    <t>Отчет  об  исполнении  консолидированного  бюджета  района  по  расходам на 1 мая 2016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</si>
  <si>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</si>
  <si>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</si>
  <si>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</si>
  <si>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</si>
  <si>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</si>
  <si>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</si>
  <si>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01.05.2016</t>
  </si>
  <si>
    <t>% исполнения</t>
  </si>
  <si>
    <t>исполнения на 01.05.2016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</si>
  <si>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</si>
  <si>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</si>
  <si>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</si>
  <si>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</si>
  <si>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</si>
  <si>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</si>
  <si>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</si>
  <si>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</si>
  <si>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</si>
  <si>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</si>
  <si>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</si>
  <si>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</si>
  <si>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</si>
  <si>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</si>
  <si>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</si>
  <si>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</si>
  <si>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</si>
  <si>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</si>
  <si>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</si>
  <si>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</si>
  <si>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</si>
  <si>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</si>
  <si>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</si>
  <si>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</si>
  <si>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</si>
  <si>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</si>
  <si>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</si>
  <si>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</si>
  <si>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</si>
  <si>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</si>
  <si>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</si>
  <si>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</si>
  <si>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</si>
  <si>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</si>
  <si>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</si>
  <si>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</si>
  <si>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</si>
  <si>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</si>
  <si>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</si>
  <si>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</si>
  <si>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</si>
  <si>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</si>
  <si>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 на 2014-2016  годы" (11101S2390)</t>
  </si>
  <si>
    <t>Муниципальная  программа" Развитие транспортной  системы муниципального  образования Октябрьский  район на 2014-2016  годы"  (1110182390) окружные,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</si>
  <si>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(1500299990)</t>
  </si>
  <si>
    <t>Содержание автомобильных дорог общего пользования (1110199990) т.с.01.03.01 (дорожный фонд)</t>
  </si>
  <si>
    <t>Содержание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</si>
  <si>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</si>
  <si>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</si>
  <si>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</si>
  <si>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 на 2014 – 2020 годы" земля (1800299990)</t>
  </si>
  <si>
    <t>Реализация мероприятий муниципальной программы "Поддержка малого и среднего предпринимательства в Октябрьском районе на 2014-2020 годы" (0800299990, 0800199990) местный бюджет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</si>
  <si>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(1700182370)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</si>
  <si>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(0800282380, 0800182380)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</si>
  <si>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годы"(0910299990) местный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</si>
  <si>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</si>
  <si>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</si>
  <si>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 земельные отношения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</si>
  <si>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 (1500199990)</t>
  </si>
  <si>
    <t>05</t>
  </si>
  <si>
    <t>Жилищно-коммунальное хозяйство</t>
  </si>
  <si>
    <t>0501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</si>
  <si>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(0910182172, 0910382173, 09101S2172) 01.40.36 и доля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</si>
  <si>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(09103S2173)</t>
  </si>
  <si>
    <t xml:space="preserve">Расходы на развитие общественной инфраструктуры и реализацию приоритетных направлений развития муниципальных образований (1010182430, 10101S2430) </t>
  </si>
  <si>
    <t>Иные межбюджетные трансферты на финансирование наказов избирателей депутатам Думы ХМАО-Югры  (4120085160)</t>
  </si>
  <si>
    <t>Расходы на развитие общественной инфраструктуры и реализацию приоритетных направлений развития муниципальных образований (капитальный ремонт жилого фонда 4060082430) окружной бюджет</t>
  </si>
  <si>
    <t>Капитальный ремонт жилого фонда (40600S2420, 4060099990) средства поселений</t>
  </si>
  <si>
    <t>Доля софинансирования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- Югры (40600S2430)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</si>
  <si>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</si>
  <si>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</si>
  <si>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</si>
  <si>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</si>
  <si>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</si>
  <si>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</si>
  <si>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(1010182190) ОЗП доля поселения 10101S2190</t>
  </si>
  <si>
    <t>Строительство и реконструкция  объектов  муниципальной  собственности (1010142110)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</si>
  <si>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(4060021410)</t>
  </si>
  <si>
    <t>Подготовка к зиме (4060082430, 4060099990)</t>
  </si>
  <si>
    <t>Проектирование и строительство систем инженерной инфракструктуры в целях обеспечения инженерной подготовки земельных участков для жилищного строительства (0910442110)</t>
  </si>
  <si>
    <t>0503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</si>
  <si>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(0600099990)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</si>
  <si>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(150019990)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</si>
  <si>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</si>
  <si>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Внешнее благоустройство (4060099990)</t>
  </si>
  <si>
    <t>0505</t>
  </si>
  <si>
    <t>Другие вопросы в области жилищно-коммунального хозяйства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</si>
  <si>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</si>
  <si>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</si>
  <si>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</si>
  <si>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</si>
  <si>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</si>
  <si>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</si>
  <si>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</si>
  <si>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</si>
  <si>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(0140482030, 01404S2030) 01.40.18 и местн.</t>
  </si>
  <si>
    <t>0702</t>
  </si>
  <si>
    <t>Общее образование</t>
  </si>
  <si>
    <t>Бесплатное питание (0140284030, 0140282460)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</si>
  <si>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(0140482030) 01.40.18 и местн.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</si>
  <si>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</si>
  <si>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</si>
  <si>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</si>
  <si>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</si>
  <si>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</si>
  <si>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</si>
  <si>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</si>
  <si>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Культура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</si>
  <si>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(0360182100) строительство объектов</t>
  </si>
  <si>
    <t>Подпрограмма "Библиотечное дело" (0310182070)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</si>
  <si>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</si>
  <si>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</si>
  <si>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</si>
  <si>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</si>
  <si>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</si>
  <si>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</si>
  <si>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</si>
  <si>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(1800582010)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</si>
  <si>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</si>
  <si>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</si>
  <si>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</si>
  <si>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</si>
  <si>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(09201R0200 о/б)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</si>
  <si>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</si>
  <si>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</si>
  <si>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Расходы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(1310184090)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</si>
  <si>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</si>
  <si>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(13101R0820)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</si>
  <si>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</si>
  <si>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</si>
  <si>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</si>
  <si>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</si>
  <si>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</si>
  <si>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</si>
  <si>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</si>
  <si>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</si>
  <si>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</si>
  <si>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</si>
  <si>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</si>
  <si>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</si>
  <si>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</si>
  <si>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</si>
  <si>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</si>
  <si>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</si>
  <si>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</si>
  <si>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 xml:space="preserve"> Заведующий отделом учета исполнения бюджета</t>
  </si>
  <si>
    <t>Заворотынская Н.А.</t>
  </si>
  <si>
    <t>И.о. заведующего бюджетным отделом</t>
  </si>
  <si>
    <t>Колыгина Я.М.</t>
  </si>
  <si>
    <t>Заведующий отделом доходов</t>
  </si>
  <si>
    <t>___________</t>
  </si>
  <si>
    <t>Мартюшова О.Г.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</si>
</sst>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_-* #,##0.0_р_._-;\-* #,##0.0_р_._-;_-* &quot;-&quot;?_р_._-;_-@_-"/>
  </numFmts>
  <fonts count="61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18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3" tint="-0.24997000396251678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7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68" fontId="7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68" fontId="5" fillId="0" borderId="16" xfId="0" applyNumberFormat="1" applyFont="1" applyFill="1" applyBorder="1" applyAlignment="1">
      <alignment horizontal="right" vertical="top"/>
    </xf>
    <xf numFmtId="168" fontId="5" fillId="0" borderId="16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 shrinkToFit="1"/>
    </xf>
    <xf numFmtId="168" fontId="5" fillId="0" borderId="1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/>
    </xf>
    <xf numFmtId="168" fontId="4" fillId="0" borderId="14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168" fontId="1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168" fontId="5" fillId="0" borderId="14" xfId="0" applyNumberFormat="1" applyFont="1" applyFill="1" applyBorder="1" applyAlignment="1">
      <alignment vertical="top"/>
    </xf>
    <xf numFmtId="168" fontId="2" fillId="0" borderId="16" xfId="0" applyNumberFormat="1" applyFont="1" applyFill="1" applyBorder="1" applyAlignment="1">
      <alignment horizontal="right" vertical="top" wrapText="1"/>
    </xf>
    <xf numFmtId="168" fontId="4" fillId="0" borderId="12" xfId="0" applyNumberFormat="1" applyFont="1" applyFill="1" applyBorder="1" applyAlignment="1">
      <alignment vertical="top"/>
    </xf>
    <xf numFmtId="168" fontId="4" fillId="0" borderId="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169" fontId="5" fillId="0" borderId="16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68" fontId="2" fillId="0" borderId="16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168" fontId="5" fillId="0" borderId="11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168" fontId="5" fillId="0" borderId="0" xfId="0" applyNumberFormat="1" applyFont="1" applyFill="1" applyAlignment="1">
      <alignment vertical="top"/>
    </xf>
    <xf numFmtId="0" fontId="5" fillId="0" borderId="16" xfId="0" applyFont="1" applyFill="1" applyBorder="1" applyAlignment="1">
      <alignment vertical="top"/>
    </xf>
    <xf numFmtId="0" fontId="0" fillId="33" borderId="0" xfId="0" applyFill="1" applyAlignment="1">
      <alignment horizontal="right"/>
    </xf>
    <xf numFmtId="168" fontId="2" fillId="0" borderId="16" xfId="0" applyNumberFormat="1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vertical="top"/>
    </xf>
    <xf numFmtId="168" fontId="2" fillId="0" borderId="16" xfId="0" applyNumberFormat="1" applyFont="1" applyFill="1" applyBorder="1" applyAlignment="1">
      <alignment vertical="top" wrapText="1" shrinkToFit="1"/>
    </xf>
    <xf numFmtId="168" fontId="2" fillId="0" borderId="14" xfId="0" applyNumberFormat="1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horizontal="right" vertical="top" wrapText="1" shrinkToFit="1"/>
    </xf>
    <xf numFmtId="168" fontId="2" fillId="0" borderId="14" xfId="0" applyNumberFormat="1" applyFont="1" applyFill="1" applyBorder="1" applyAlignment="1">
      <alignment horizontal="right" vertical="top" wrapText="1"/>
    </xf>
    <xf numFmtId="168" fontId="1" fillId="0" borderId="17" xfId="0" applyNumberFormat="1" applyFont="1" applyFill="1" applyBorder="1" applyAlignment="1">
      <alignment horizontal="right" vertical="top" wrapText="1"/>
    </xf>
    <xf numFmtId="168" fontId="2" fillId="0" borderId="16" xfId="0" applyNumberFormat="1" applyFont="1" applyFill="1" applyBorder="1" applyAlignment="1">
      <alignment horizontal="right" vertical="top"/>
    </xf>
    <xf numFmtId="168" fontId="2" fillId="0" borderId="15" xfId="0" applyNumberFormat="1" applyFont="1" applyFill="1" applyBorder="1" applyAlignment="1">
      <alignment horizontal="right" vertical="top" wrapText="1"/>
    </xf>
    <xf numFmtId="168" fontId="1" fillId="0" borderId="16" xfId="0" applyNumberFormat="1" applyFont="1" applyFill="1" applyBorder="1" applyAlignment="1">
      <alignment vertical="top" wrapText="1"/>
    </xf>
    <xf numFmtId="168" fontId="0" fillId="0" borderId="0" xfId="0" applyNumberFormat="1" applyFill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168" fontId="4" fillId="0" borderId="18" xfId="0" applyNumberFormat="1" applyFont="1" applyFill="1" applyBorder="1" applyAlignment="1">
      <alignment horizontal="center" vertical="top"/>
    </xf>
    <xf numFmtId="168" fontId="4" fillId="0" borderId="19" xfId="0" applyNumberFormat="1" applyFont="1" applyFill="1" applyBorder="1" applyAlignment="1">
      <alignment horizontal="center" vertical="top"/>
    </xf>
    <xf numFmtId="44" fontId="2" fillId="0" borderId="10" xfId="42" applyFont="1" applyFill="1" applyBorder="1" applyAlignment="1">
      <alignment horizontal="center" vertical="top" wrapText="1"/>
    </xf>
    <xf numFmtId="44" fontId="2" fillId="0" borderId="18" xfId="42" applyFont="1" applyFill="1" applyBorder="1" applyAlignment="1">
      <alignment horizontal="center" vertical="top" wrapText="1"/>
    </xf>
    <xf numFmtId="44" fontId="2" fillId="0" borderId="19" xfId="42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25" fillId="0" borderId="0" xfId="53" applyNumberFormat="1" applyFont="1" applyAlignment="1">
      <alignment horizontal="center" vertical="center" wrapText="1"/>
      <protection/>
    </xf>
    <xf numFmtId="49" fontId="26" fillId="0" borderId="0" xfId="53" applyNumberFormat="1" applyFont="1" applyAlignment="1">
      <alignment horizontal="center" vertical="center" wrapText="1"/>
      <protection/>
    </xf>
    <xf numFmtId="0" fontId="26" fillId="0" borderId="0" xfId="53" applyNumberFormat="1" applyFont="1" applyAlignment="1">
      <alignment horizontal="left" vertical="center" wrapText="1"/>
      <protection/>
    </xf>
    <xf numFmtId="171" fontId="58" fillId="0" borderId="0" xfId="53" applyNumberFormat="1" applyFont="1" applyFill="1" applyAlignment="1">
      <alignment horizontal="center" vertical="center" wrapText="1"/>
      <protection/>
    </xf>
    <xf numFmtId="171" fontId="28" fillId="0" borderId="0" xfId="53" applyNumberFormat="1" applyFont="1" applyFill="1" applyBorder="1" applyAlignment="1">
      <alignment horizontal="center" vertical="center" wrapText="1"/>
      <protection/>
    </xf>
    <xf numFmtId="171" fontId="28" fillId="0" borderId="0" xfId="53" applyNumberFormat="1" applyFont="1" applyFill="1" applyAlignment="1">
      <alignment horizontal="center" vertical="center" wrapText="1"/>
      <protection/>
    </xf>
    <xf numFmtId="171" fontId="28" fillId="0" borderId="0" xfId="0" applyNumberFormat="1" applyFont="1" applyFill="1" applyAlignment="1">
      <alignment horizontal="center" vertical="center" wrapText="1"/>
    </xf>
    <xf numFmtId="171" fontId="28" fillId="0" borderId="0" xfId="0" applyNumberFormat="1" applyFont="1" applyAlignment="1">
      <alignment horizontal="center" vertical="center" wrapText="1"/>
    </xf>
    <xf numFmtId="171" fontId="29" fillId="0" borderId="0" xfId="0" applyNumberFormat="1" applyFont="1" applyFill="1" applyAlignment="1">
      <alignment horizontal="center" vertical="center" wrapText="1"/>
    </xf>
    <xf numFmtId="171" fontId="29" fillId="0" borderId="0" xfId="0" applyNumberFormat="1" applyFont="1" applyAlignment="1">
      <alignment horizontal="center" vertical="center" wrapText="1"/>
    </xf>
    <xf numFmtId="49" fontId="30" fillId="0" borderId="22" xfId="53" applyNumberFormat="1" applyFont="1" applyBorder="1" applyAlignment="1">
      <alignment horizontal="center" vertical="center" wrapText="1"/>
      <protection/>
    </xf>
    <xf numFmtId="0" fontId="30" fillId="0" borderId="23" xfId="53" applyNumberFormat="1" applyFont="1" applyBorder="1" applyAlignment="1">
      <alignment horizontal="center" vertical="center" wrapText="1"/>
      <protection/>
    </xf>
    <xf numFmtId="171" fontId="31" fillId="0" borderId="23" xfId="53" applyNumberFormat="1" applyFont="1" applyFill="1" applyBorder="1" applyAlignment="1">
      <alignment horizontal="center" vertical="center" wrapText="1"/>
      <protection/>
    </xf>
    <xf numFmtId="171" fontId="31" fillId="0" borderId="23" xfId="0" applyNumberFormat="1" applyFont="1" applyBorder="1" applyAlignment="1">
      <alignment horizontal="center" vertical="center" wrapText="1"/>
    </xf>
    <xf numFmtId="171" fontId="32" fillId="0" borderId="23" xfId="0" applyNumberFormat="1" applyFont="1" applyFill="1" applyBorder="1" applyAlignment="1">
      <alignment horizontal="center" vertical="center" wrapText="1"/>
    </xf>
    <xf numFmtId="171" fontId="32" fillId="0" borderId="24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Border="1" applyAlignment="1">
      <alignment horizontal="center" vertical="center" wrapText="1"/>
      <protection/>
    </xf>
    <xf numFmtId="0" fontId="30" fillId="0" borderId="16" xfId="53" applyNumberFormat="1" applyFont="1" applyBorder="1" applyAlignment="1">
      <alignment horizontal="center" vertical="center" wrapText="1"/>
      <protection/>
    </xf>
    <xf numFmtId="171" fontId="31" fillId="0" borderId="16" xfId="53" applyNumberFormat="1" applyFont="1" applyFill="1" applyBorder="1" applyAlignment="1">
      <alignment horizontal="center" vertical="center" wrapText="1"/>
      <protection/>
    </xf>
    <xf numFmtId="171" fontId="31" fillId="0" borderId="16" xfId="53" applyNumberFormat="1" applyFont="1" applyBorder="1" applyAlignment="1">
      <alignment horizontal="center" vertical="center" wrapText="1"/>
      <protection/>
    </xf>
    <xf numFmtId="171" fontId="32" fillId="0" borderId="16" xfId="53" applyNumberFormat="1" applyFont="1" applyFill="1" applyBorder="1" applyAlignment="1">
      <alignment horizontal="center" vertical="center" wrapText="1"/>
      <protection/>
    </xf>
    <xf numFmtId="171" fontId="32" fillId="0" borderId="16" xfId="53" applyNumberFormat="1" applyFont="1" applyBorder="1" applyAlignment="1">
      <alignment horizontal="center" vertical="center" wrapText="1"/>
      <protection/>
    </xf>
    <xf numFmtId="171" fontId="32" fillId="0" borderId="26" xfId="53" applyNumberFormat="1" applyFont="1" applyBorder="1" applyAlignment="1">
      <alignment horizontal="center" vertical="center" wrapText="1"/>
      <protection/>
    </xf>
    <xf numFmtId="171" fontId="31" fillId="0" borderId="16" xfId="0" applyNumberFormat="1" applyFont="1" applyBorder="1" applyAlignment="1">
      <alignment horizontal="center" vertical="center" wrapText="1"/>
    </xf>
    <xf numFmtId="171" fontId="33" fillId="0" borderId="16" xfId="0" applyNumberFormat="1" applyFont="1" applyBorder="1" applyAlignment="1">
      <alignment horizontal="center" vertical="center"/>
    </xf>
    <xf numFmtId="171" fontId="32" fillId="0" borderId="16" xfId="0" applyNumberFormat="1" applyFont="1" applyBorder="1" applyAlignment="1">
      <alignment horizontal="center" vertical="center" wrapText="1"/>
    </xf>
    <xf numFmtId="171" fontId="32" fillId="0" borderId="26" xfId="0" applyNumberFormat="1" applyFont="1" applyBorder="1" applyAlignment="1">
      <alignment horizontal="center" vertical="center" wrapText="1"/>
    </xf>
    <xf numFmtId="0" fontId="34" fillId="0" borderId="16" xfId="53" applyNumberFormat="1" applyFont="1" applyFill="1" applyBorder="1" applyAlignment="1">
      <alignment horizontal="center" vertical="center" wrapText="1"/>
      <protection/>
    </xf>
    <xf numFmtId="0" fontId="34" fillId="0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6" xfId="53" applyNumberFormat="1" applyFont="1" applyFill="1" applyBorder="1" applyAlignment="1">
      <alignment horizontal="left" vertical="center" wrapText="1"/>
      <protection/>
    </xf>
    <xf numFmtId="171" fontId="32" fillId="34" borderId="16" xfId="53" applyNumberFormat="1" applyFont="1" applyFill="1" applyBorder="1" applyAlignment="1">
      <alignment horizontal="center" vertical="center" wrapText="1"/>
      <protection/>
    </xf>
    <xf numFmtId="171" fontId="31" fillId="34" borderId="16" xfId="0" applyNumberFormat="1" applyFont="1" applyFill="1" applyBorder="1" applyAlignment="1">
      <alignment horizontal="center" vertical="center" wrapText="1"/>
    </xf>
    <xf numFmtId="171" fontId="32" fillId="34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 quotePrefix="1">
      <alignment horizontal="center" vertical="center" wrapText="1"/>
      <protection/>
    </xf>
    <xf numFmtId="0" fontId="30" fillId="0" borderId="16" xfId="53" applyNumberFormat="1" applyFont="1" applyFill="1" applyBorder="1" applyAlignment="1">
      <alignment horizontal="left" vertical="center" wrapText="1"/>
      <protection/>
    </xf>
    <xf numFmtId="171" fontId="31" fillId="0" borderId="16" xfId="53" applyNumberFormat="1" applyFont="1" applyFill="1" applyBorder="1" applyAlignment="1">
      <alignment horizontal="center" vertical="center" wrapText="1"/>
      <protection/>
    </xf>
    <xf numFmtId="171" fontId="31" fillId="0" borderId="16" xfId="0" applyNumberFormat="1" applyFont="1" applyFill="1" applyBorder="1" applyAlignment="1">
      <alignment horizontal="center" vertical="center" wrapText="1"/>
    </xf>
    <xf numFmtId="171" fontId="32" fillId="0" borderId="16" xfId="0" applyNumberFormat="1" applyFont="1" applyFill="1" applyBorder="1" applyAlignment="1">
      <alignment horizontal="center" vertical="center" wrapText="1"/>
    </xf>
    <xf numFmtId="171" fontId="32" fillId="0" borderId="16" xfId="0" applyNumberFormat="1" applyFont="1" applyBorder="1" applyAlignment="1">
      <alignment horizontal="center" vertical="center" wrapText="1"/>
    </xf>
    <xf numFmtId="171" fontId="32" fillId="0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>
      <alignment horizontal="center" vertical="center" wrapText="1"/>
      <protection/>
    </xf>
    <xf numFmtId="171" fontId="31" fillId="34" borderId="16" xfId="53" applyNumberFormat="1" applyFont="1" applyFill="1" applyBorder="1" applyAlignment="1">
      <alignment horizontal="center" vertical="center" wrapText="1"/>
      <protection/>
    </xf>
    <xf numFmtId="171" fontId="32" fillId="34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6" xfId="53" applyNumberFormat="1" applyFont="1" applyFill="1" applyBorder="1" applyAlignment="1">
      <alignment horizontal="left" vertical="center" wrapText="1"/>
      <protection/>
    </xf>
    <xf numFmtId="171" fontId="32" fillId="35" borderId="16" xfId="53" applyNumberFormat="1" applyFont="1" applyFill="1" applyBorder="1" applyAlignment="1">
      <alignment horizontal="center" vertical="center" wrapText="1"/>
      <protection/>
    </xf>
    <xf numFmtId="0" fontId="30" fillId="36" borderId="16" xfId="53" applyNumberFormat="1" applyFont="1" applyFill="1" applyBorder="1" applyAlignment="1">
      <alignment horizontal="left" vertical="center" wrapText="1"/>
      <protection/>
    </xf>
    <xf numFmtId="0" fontId="31" fillId="0" borderId="16" xfId="52" applyNumberFormat="1" applyFont="1" applyFill="1" applyBorder="1" applyAlignment="1" applyProtection="1">
      <alignment horizontal="left" vertical="center" wrapText="1"/>
      <protection hidden="1"/>
    </xf>
    <xf numFmtId="171" fontId="31" fillId="33" borderId="16" xfId="53" applyNumberFormat="1" applyFont="1" applyFill="1" applyBorder="1" applyAlignment="1">
      <alignment horizontal="center" vertical="center" wrapText="1"/>
      <protection/>
    </xf>
    <xf numFmtId="171" fontId="32" fillId="35" borderId="16" xfId="53" applyNumberFormat="1" applyFont="1" applyFill="1" applyBorder="1" applyAlignment="1">
      <alignment horizontal="center" vertical="center" wrapText="1"/>
      <protection/>
    </xf>
    <xf numFmtId="171" fontId="32" fillId="34" borderId="16" xfId="0" applyNumberFormat="1" applyFont="1" applyFill="1" applyBorder="1" applyAlignment="1">
      <alignment horizontal="center" vertical="center" wrapText="1"/>
    </xf>
    <xf numFmtId="171" fontId="31" fillId="33" borderId="16" xfId="0" applyNumberFormat="1" applyFont="1" applyFill="1" applyBorder="1" applyAlignment="1">
      <alignment horizontal="center" vertical="center" wrapText="1"/>
    </xf>
    <xf numFmtId="171" fontId="59" fillId="0" borderId="16" xfId="53" applyNumberFormat="1" applyFont="1" applyFill="1" applyBorder="1" applyAlignment="1">
      <alignment horizontal="center" vertical="center" wrapText="1"/>
      <protection/>
    </xf>
    <xf numFmtId="0" fontId="37" fillId="0" borderId="16" xfId="53" applyNumberFormat="1" applyFont="1" applyFill="1" applyBorder="1" applyAlignment="1">
      <alignment horizontal="left" vertical="center" wrapText="1"/>
      <protection/>
    </xf>
    <xf numFmtId="49" fontId="34" fillId="34" borderId="25" xfId="53" applyNumberFormat="1" applyFont="1" applyFill="1" applyBorder="1" applyAlignment="1">
      <alignment horizontal="center" vertical="center" wrapText="1"/>
      <protection/>
    </xf>
    <xf numFmtId="0" fontId="34" fillId="34" borderId="16" xfId="0" applyNumberFormat="1" applyFont="1" applyFill="1" applyBorder="1" applyAlignment="1">
      <alignment horizontal="left" vertical="center" wrapText="1"/>
    </xf>
    <xf numFmtId="0" fontId="30" fillId="0" borderId="16" xfId="0" applyNumberFormat="1" applyFont="1" applyFill="1" applyBorder="1" applyAlignment="1">
      <alignment horizontal="left" vertical="center" wrapText="1"/>
    </xf>
    <xf numFmtId="49" fontId="31" fillId="0" borderId="25" xfId="53" applyNumberFormat="1" applyFont="1" applyFill="1" applyBorder="1" applyAlignment="1">
      <alignment horizontal="center" vertical="center" wrapText="1"/>
      <protection/>
    </xf>
    <xf numFmtId="0" fontId="31" fillId="0" borderId="16" xfId="53" applyNumberFormat="1" applyFont="1" applyFill="1" applyBorder="1" applyAlignment="1">
      <alignment horizontal="left" vertical="center" wrapText="1"/>
      <protection/>
    </xf>
    <xf numFmtId="171" fontId="31" fillId="35" borderId="16" xfId="53" applyNumberFormat="1" applyFont="1" applyFill="1" applyBorder="1" applyAlignment="1">
      <alignment horizontal="center" vertical="center" wrapText="1"/>
      <protection/>
    </xf>
    <xf numFmtId="171" fontId="31" fillId="35" borderId="16" xfId="0" applyNumberFormat="1" applyFont="1" applyFill="1" applyBorder="1" applyAlignment="1">
      <alignment horizontal="center" vertical="center" wrapText="1"/>
    </xf>
    <xf numFmtId="0" fontId="38" fillId="37" borderId="27" xfId="53" applyNumberFormat="1" applyFont="1" applyFill="1" applyBorder="1" applyAlignment="1">
      <alignment horizontal="center" vertical="center" wrapText="1"/>
      <protection/>
    </xf>
    <xf numFmtId="0" fontId="38" fillId="37" borderId="28" xfId="53" applyNumberFormat="1" applyFont="1" applyFill="1" applyBorder="1" applyAlignment="1">
      <alignment horizontal="center" vertical="center" wrapText="1"/>
      <protection/>
    </xf>
    <xf numFmtId="171" fontId="32" fillId="37" borderId="28" xfId="53" applyNumberFormat="1" applyFont="1" applyFill="1" applyBorder="1" applyAlignment="1">
      <alignment horizontal="center" vertical="center" wrapText="1"/>
      <protection/>
    </xf>
    <xf numFmtId="171" fontId="32" fillId="37" borderId="28" xfId="0" applyNumberFormat="1" applyFont="1" applyFill="1" applyBorder="1" applyAlignment="1">
      <alignment horizontal="center" vertical="center" wrapText="1"/>
    </xf>
    <xf numFmtId="171" fontId="32" fillId="37" borderId="29" xfId="0" applyNumberFormat="1" applyFont="1" applyFill="1" applyBorder="1" applyAlignment="1">
      <alignment horizontal="center" vertical="center" wrapText="1"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171" fontId="58" fillId="0" borderId="0" xfId="53" applyNumberFormat="1" applyFont="1" applyFill="1" applyBorder="1" applyAlignment="1">
      <alignment horizontal="center" vertical="center" wrapText="1"/>
      <protection/>
    </xf>
    <xf numFmtId="171" fontId="29" fillId="0" borderId="0" xfId="53" applyNumberFormat="1" applyFont="1" applyFill="1" applyBorder="1" applyAlignment="1">
      <alignment horizontal="center" vertical="center" wrapText="1"/>
      <protection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71" fontId="58" fillId="0" borderId="0" xfId="0" applyNumberFormat="1" applyFont="1" applyFill="1" applyBorder="1" applyAlignment="1">
      <alignment horizontal="center" vertical="center" wrapText="1"/>
    </xf>
    <xf numFmtId="171" fontId="28" fillId="0" borderId="0" xfId="0" applyNumberFormat="1" applyFont="1" applyFill="1" applyBorder="1" applyAlignment="1">
      <alignment horizontal="center" vertical="center" wrapText="1"/>
    </xf>
    <xf numFmtId="0" fontId="37" fillId="0" borderId="0" xfId="53" applyNumberFormat="1" applyFont="1" applyFill="1" applyBorder="1" applyAlignment="1">
      <alignment horizontal="right" vertical="center" wrapText="1"/>
      <protection/>
    </xf>
    <xf numFmtId="171" fontId="39" fillId="0" borderId="0" xfId="0" applyNumberFormat="1" applyFont="1" applyFill="1" applyAlignment="1">
      <alignment horizontal="center" vertical="center" wrapText="1"/>
    </xf>
    <xf numFmtId="171" fontId="39" fillId="0" borderId="0" xfId="0" applyNumberFormat="1" applyFont="1" applyAlignment="1">
      <alignment horizontal="center" vertical="center" wrapText="1"/>
    </xf>
    <xf numFmtId="171" fontId="39" fillId="0" borderId="15" xfId="53" applyNumberFormat="1" applyFont="1" applyFill="1" applyBorder="1" applyAlignment="1">
      <alignment horizontal="center" vertical="center" wrapText="1"/>
      <protection/>
    </xf>
    <xf numFmtId="171" fontId="39" fillId="0" borderId="0" xfId="53" applyNumberFormat="1" applyFont="1" applyFill="1" applyBorder="1" applyAlignment="1">
      <alignment horizontal="left" vertical="center" wrapText="1"/>
      <protection/>
    </xf>
    <xf numFmtId="49" fontId="37" fillId="0" borderId="0" xfId="0" applyNumberFormat="1" applyFont="1" applyFill="1" applyBorder="1" applyAlignment="1">
      <alignment horizontal="right" vertical="center" wrapText="1"/>
    </xf>
    <xf numFmtId="0" fontId="37" fillId="0" borderId="0" xfId="53" applyNumberFormat="1" applyFont="1" applyFill="1" applyBorder="1" applyAlignment="1">
      <alignment horizontal="left" vertical="center" wrapText="1"/>
      <protection/>
    </xf>
    <xf numFmtId="171" fontId="60" fillId="0" borderId="0" xfId="53" applyNumberFormat="1" applyFont="1" applyFill="1" applyBorder="1" applyAlignment="1">
      <alignment horizontal="center" vertical="center" wrapText="1"/>
      <protection/>
    </xf>
    <xf numFmtId="171" fontId="39" fillId="0" borderId="0" xfId="53" applyNumberFormat="1" applyFont="1" applyFill="1" applyBorder="1" applyAlignment="1">
      <alignment horizontal="center" vertical="center" wrapText="1"/>
      <protection/>
    </xf>
    <xf numFmtId="171" fontId="39" fillId="0" borderId="0" xfId="0" applyNumberFormat="1" applyFont="1" applyFill="1" applyBorder="1" applyAlignment="1">
      <alignment horizontal="left" vertical="center" wrapText="1"/>
    </xf>
    <xf numFmtId="171" fontId="39" fillId="0" borderId="0" xfId="0" applyNumberFormat="1" applyFont="1" applyFill="1" applyAlignment="1">
      <alignment horizontal="left" vertical="center" wrapText="1"/>
    </xf>
    <xf numFmtId="171" fontId="39" fillId="0" borderId="15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left" vertical="center" wrapText="1"/>
    </xf>
    <xf numFmtId="171" fontId="60" fillId="0" borderId="0" xfId="0" applyNumberFormat="1" applyFont="1" applyFill="1" applyBorder="1" applyAlignment="1">
      <alignment horizontal="center" vertical="center" wrapText="1"/>
    </xf>
    <xf numFmtId="171" fontId="39" fillId="0" borderId="0" xfId="0" applyNumberFormat="1" applyFont="1" applyFill="1" applyBorder="1" applyAlignment="1">
      <alignment horizontal="center" vertical="center" wrapText="1"/>
    </xf>
    <xf numFmtId="171" fontId="39" fillId="0" borderId="0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171" fontId="6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1"/>
  <sheetViews>
    <sheetView tabSelected="1" zoomScalePageLayoutView="0" workbookViewId="0" topLeftCell="A1">
      <pane xSplit="3" ySplit="7" topLeftCell="D19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33" sqref="A233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64.00390625" style="1" customWidth="1"/>
    <col min="4" max="4" width="11.125" style="1" customWidth="1"/>
    <col min="5" max="5" width="10.625" style="1" customWidth="1"/>
    <col min="6" max="6" width="9.00390625" style="1" hidden="1" customWidth="1"/>
    <col min="7" max="7" width="9.125" style="1" hidden="1" customWidth="1"/>
    <col min="8" max="8" width="7.125" style="1" hidden="1" customWidth="1"/>
    <col min="9" max="9" width="9.75390625" style="1" hidden="1" customWidth="1" outlineLevel="1"/>
    <col min="10" max="10" width="11.00390625" style="1" customWidth="1" collapsed="1"/>
    <col min="11" max="11" width="10.25390625" style="1" hidden="1" customWidth="1"/>
    <col min="12" max="12" width="7.00390625" style="1" hidden="1" customWidth="1"/>
    <col min="13" max="13" width="9.125" style="1" hidden="1" customWidth="1"/>
    <col min="14" max="14" width="14.25390625" style="1" hidden="1" customWidth="1"/>
    <col min="15" max="15" width="7.25390625" style="1" hidden="1" customWidth="1"/>
    <col min="16" max="16" width="8.25390625" style="1" customWidth="1"/>
    <col min="17" max="17" width="8.00390625" style="1" customWidth="1"/>
    <col min="18" max="16384" width="9.125" style="1" customWidth="1"/>
  </cols>
  <sheetData>
    <row r="1" spans="1:17" ht="12.75">
      <c r="A1" s="102" t="s">
        <v>83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2" ht="9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4.25" customHeight="1">
      <c r="A3" s="11"/>
      <c r="B3" s="11"/>
      <c r="C3" s="12"/>
      <c r="D3" s="12"/>
      <c r="E3" s="12"/>
      <c r="F3" s="12"/>
      <c r="G3" s="12"/>
      <c r="H3" s="13"/>
      <c r="I3" s="13"/>
      <c r="J3" s="72" t="s">
        <v>69</v>
      </c>
      <c r="K3" s="13"/>
      <c r="L3" s="13"/>
    </row>
    <row r="4" spans="1:17" ht="12.75" customHeight="1">
      <c r="A4" s="14" t="s">
        <v>41</v>
      </c>
      <c r="B4" s="14"/>
      <c r="C4" s="15"/>
      <c r="D4" s="96" t="s">
        <v>82</v>
      </c>
      <c r="E4" s="96" t="s">
        <v>85</v>
      </c>
      <c r="F4" s="99" t="s">
        <v>72</v>
      </c>
      <c r="G4" s="99" t="s">
        <v>73</v>
      </c>
      <c r="H4" s="99" t="s">
        <v>74</v>
      </c>
      <c r="I4" s="99" t="s">
        <v>75</v>
      </c>
      <c r="J4" s="96" t="s">
        <v>84</v>
      </c>
      <c r="K4" s="96" t="s">
        <v>76</v>
      </c>
      <c r="L4" s="96" t="s">
        <v>77</v>
      </c>
      <c r="M4" s="96" t="s">
        <v>78</v>
      </c>
      <c r="N4" s="96" t="s">
        <v>79</v>
      </c>
      <c r="O4" s="96" t="s">
        <v>80</v>
      </c>
      <c r="P4" s="96" t="s">
        <v>86</v>
      </c>
      <c r="Q4" s="96" t="s">
        <v>81</v>
      </c>
    </row>
    <row r="5" spans="1:17" ht="27.75" customHeight="1">
      <c r="A5" s="16" t="s">
        <v>46</v>
      </c>
      <c r="B5" s="16"/>
      <c r="C5" s="17" t="s">
        <v>16</v>
      </c>
      <c r="D5" s="97"/>
      <c r="E5" s="97"/>
      <c r="F5" s="100"/>
      <c r="G5" s="100"/>
      <c r="H5" s="100"/>
      <c r="I5" s="100"/>
      <c r="J5" s="97"/>
      <c r="K5" s="97"/>
      <c r="L5" s="97"/>
      <c r="M5" s="97"/>
      <c r="N5" s="97"/>
      <c r="O5" s="97"/>
      <c r="P5" s="97"/>
      <c r="Q5" s="97"/>
    </row>
    <row r="6" spans="1:17" ht="39.75" customHeight="1">
      <c r="A6" s="16"/>
      <c r="B6" s="16"/>
      <c r="C6" s="17"/>
      <c r="D6" s="98"/>
      <c r="E6" s="98"/>
      <c r="F6" s="101"/>
      <c r="G6" s="101"/>
      <c r="H6" s="101"/>
      <c r="I6" s="101"/>
      <c r="J6" s="98"/>
      <c r="K6" s="98"/>
      <c r="L6" s="98"/>
      <c r="M6" s="98"/>
      <c r="N6" s="98"/>
      <c r="O6" s="98"/>
      <c r="P6" s="98"/>
      <c r="Q6" s="98"/>
    </row>
    <row r="7" spans="1:15" ht="12.75">
      <c r="A7" s="95" t="s">
        <v>24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7" ht="12.75">
      <c r="A8" s="45" t="s">
        <v>3</v>
      </c>
      <c r="B8" s="45"/>
      <c r="C8" s="68" t="s">
        <v>68</v>
      </c>
      <c r="D8" s="46">
        <f aca="true" t="shared" si="0" ref="D8:J8">D9+D11+D12+D13+D15+D16+D18+D20+D14+D21+D17+D19+D10</f>
        <v>680802.4</v>
      </c>
      <c r="E8" s="46">
        <f t="shared" si="0"/>
        <v>329303</v>
      </c>
      <c r="F8" s="46">
        <f t="shared" si="0"/>
        <v>155610.2</v>
      </c>
      <c r="G8" s="46">
        <f t="shared" si="0"/>
        <v>173692.79999999996</v>
      </c>
      <c r="H8" s="46">
        <f t="shared" si="0"/>
        <v>157634.69999999998</v>
      </c>
      <c r="I8" s="46">
        <f t="shared" si="0"/>
        <v>193864.7</v>
      </c>
      <c r="J8" s="46">
        <f t="shared" si="0"/>
        <v>261112.6</v>
      </c>
      <c r="K8" s="46" t="e">
        <f>K9+K11+K12+K13+K15+K16+K18+K20+K14+K21+K17+K19</f>
        <v>#REF!</v>
      </c>
      <c r="L8" s="46">
        <f aca="true" t="shared" si="1" ref="L8:L20">J8/H8*100</f>
        <v>165.6441126224112</v>
      </c>
      <c r="M8" s="71"/>
      <c r="N8" s="71"/>
      <c r="O8" s="46">
        <f>J8*100/I8</f>
        <v>134.68805821792208</v>
      </c>
      <c r="P8" s="46">
        <f>J8*100/E8</f>
        <v>79.29250568625248</v>
      </c>
      <c r="Q8" s="32">
        <f>J8*100/D8</f>
        <v>38.35365445245199</v>
      </c>
    </row>
    <row r="9" spans="1:17" ht="12.75">
      <c r="A9" s="19" t="s">
        <v>23</v>
      </c>
      <c r="B9" s="19"/>
      <c r="C9" s="47" t="s">
        <v>22</v>
      </c>
      <c r="D9" s="76">
        <f>F9+G9+H9+I9</f>
        <v>483100</v>
      </c>
      <c r="E9" s="76">
        <f>F9+G9</f>
        <v>239231.5</v>
      </c>
      <c r="F9" s="76">
        <v>112281.7</v>
      </c>
      <c r="G9" s="76">
        <v>126949.8</v>
      </c>
      <c r="H9" s="28">
        <v>111969.5</v>
      </c>
      <c r="I9" s="48">
        <v>131899</v>
      </c>
      <c r="J9" s="48">
        <v>164249.1</v>
      </c>
      <c r="K9" s="28" t="e">
        <f>J9/#REF!*100</f>
        <v>#REF!</v>
      </c>
      <c r="L9" s="28">
        <f t="shared" si="1"/>
        <v>146.6909292262625</v>
      </c>
      <c r="M9" s="69"/>
      <c r="N9" s="69"/>
      <c r="O9" s="28">
        <f aca="true" t="shared" si="2" ref="O9:O76">J9*100/I9</f>
        <v>124.5264179410003</v>
      </c>
      <c r="P9" s="28">
        <f aca="true" t="shared" si="3" ref="P9:P73">J9*100/E9</f>
        <v>68.6569703404443</v>
      </c>
      <c r="Q9" s="48">
        <f aca="true" t="shared" si="4" ref="Q9:Q73">J9*100/D9</f>
        <v>33.99898571724281</v>
      </c>
    </row>
    <row r="10" spans="1:17" ht="12.75">
      <c r="A10" s="19" t="s">
        <v>70</v>
      </c>
      <c r="B10" s="19"/>
      <c r="C10" s="36" t="s">
        <v>71</v>
      </c>
      <c r="D10" s="73">
        <f aca="true" t="shared" si="5" ref="D10:D26">F10+G10+H10+I10</f>
        <v>35821</v>
      </c>
      <c r="E10" s="76">
        <f aca="true" t="shared" si="6" ref="E10:E26">F10+G10</f>
        <v>18239</v>
      </c>
      <c r="F10" s="73">
        <f>8649+941</f>
        <v>9590</v>
      </c>
      <c r="G10" s="73">
        <v>8649</v>
      </c>
      <c r="H10" s="24">
        <v>8649</v>
      </c>
      <c r="I10" s="25">
        <v>8933</v>
      </c>
      <c r="J10" s="25">
        <v>14097.6</v>
      </c>
      <c r="K10" s="28"/>
      <c r="L10" s="28"/>
      <c r="M10" s="69"/>
      <c r="N10" s="69"/>
      <c r="O10" s="24"/>
      <c r="P10" s="28">
        <f t="shared" si="3"/>
        <v>77.2937112780306</v>
      </c>
      <c r="Q10" s="25">
        <f t="shared" si="4"/>
        <v>39.355685212584795</v>
      </c>
    </row>
    <row r="11" spans="1:17" ht="12.75">
      <c r="A11" s="19" t="s">
        <v>8</v>
      </c>
      <c r="B11" s="19"/>
      <c r="C11" s="36" t="s">
        <v>5</v>
      </c>
      <c r="D11" s="73">
        <f t="shared" si="5"/>
        <v>36142</v>
      </c>
      <c r="E11" s="76">
        <f t="shared" si="6"/>
        <v>17960</v>
      </c>
      <c r="F11" s="73">
        <v>9095</v>
      </c>
      <c r="G11" s="73">
        <v>8865</v>
      </c>
      <c r="H11" s="24">
        <v>8907</v>
      </c>
      <c r="I11" s="25">
        <v>9275</v>
      </c>
      <c r="J11" s="25">
        <v>21557.8</v>
      </c>
      <c r="K11" s="28" t="e">
        <f>J11/#REF!*100</f>
        <v>#REF!</v>
      </c>
      <c r="L11" s="28">
        <f t="shared" si="1"/>
        <v>242.0321095767374</v>
      </c>
      <c r="M11" s="69"/>
      <c r="N11" s="69"/>
      <c r="O11" s="24">
        <f t="shared" si="2"/>
        <v>232.42911051212937</v>
      </c>
      <c r="P11" s="28">
        <f t="shared" si="3"/>
        <v>120.03229398663697</v>
      </c>
      <c r="Q11" s="25">
        <f t="shared" si="4"/>
        <v>59.64750152177522</v>
      </c>
    </row>
    <row r="12" spans="1:17" ht="12.75">
      <c r="A12" s="19" t="s">
        <v>9</v>
      </c>
      <c r="B12" s="19"/>
      <c r="C12" s="36" t="s">
        <v>6</v>
      </c>
      <c r="D12" s="73">
        <f t="shared" si="5"/>
        <v>3200</v>
      </c>
      <c r="E12" s="76">
        <f t="shared" si="6"/>
        <v>1530</v>
      </c>
      <c r="F12" s="73">
        <v>765</v>
      </c>
      <c r="G12" s="73">
        <v>765</v>
      </c>
      <c r="H12" s="24">
        <v>765</v>
      </c>
      <c r="I12" s="25">
        <v>905</v>
      </c>
      <c r="J12" s="25">
        <v>1962.9</v>
      </c>
      <c r="K12" s="28" t="e">
        <f>J12/#REF!*100</f>
        <v>#REF!</v>
      </c>
      <c r="L12" s="28">
        <f t="shared" si="1"/>
        <v>256.5882352941176</v>
      </c>
      <c r="M12" s="69"/>
      <c r="N12" s="69"/>
      <c r="O12" s="24">
        <f t="shared" si="2"/>
        <v>216.8950276243094</v>
      </c>
      <c r="P12" s="28">
        <f t="shared" si="3"/>
        <v>128.2941176470588</v>
      </c>
      <c r="Q12" s="25">
        <f t="shared" si="4"/>
        <v>61.340625</v>
      </c>
    </row>
    <row r="13" spans="1:17" ht="12.75">
      <c r="A13" s="19" t="s">
        <v>10</v>
      </c>
      <c r="B13" s="19"/>
      <c r="C13" s="36" t="s">
        <v>21</v>
      </c>
      <c r="D13" s="73">
        <f t="shared" si="5"/>
        <v>3311</v>
      </c>
      <c r="E13" s="76">
        <f t="shared" si="6"/>
        <v>1654</v>
      </c>
      <c r="F13" s="73">
        <v>829</v>
      </c>
      <c r="G13" s="73">
        <v>825</v>
      </c>
      <c r="H13" s="24">
        <v>828</v>
      </c>
      <c r="I13" s="25">
        <v>829</v>
      </c>
      <c r="J13" s="25">
        <v>1360.9</v>
      </c>
      <c r="K13" s="28" t="e">
        <f>J13/#REF!*100</f>
        <v>#REF!</v>
      </c>
      <c r="L13" s="28">
        <f t="shared" si="1"/>
        <v>164.35990338164254</v>
      </c>
      <c r="M13" s="69"/>
      <c r="N13" s="69"/>
      <c r="O13" s="24">
        <f t="shared" si="2"/>
        <v>164.16164053075994</v>
      </c>
      <c r="P13" s="28">
        <f t="shared" si="3"/>
        <v>82.27932285368803</v>
      </c>
      <c r="Q13" s="25">
        <f t="shared" si="4"/>
        <v>41.10238598610692</v>
      </c>
    </row>
    <row r="14" spans="1:17" ht="21.75" customHeight="1" hidden="1">
      <c r="A14" s="19" t="s">
        <v>37</v>
      </c>
      <c r="B14" s="19"/>
      <c r="C14" s="36" t="s">
        <v>38</v>
      </c>
      <c r="D14" s="73">
        <f t="shared" si="5"/>
        <v>0</v>
      </c>
      <c r="E14" s="76">
        <f t="shared" si="6"/>
        <v>0</v>
      </c>
      <c r="F14" s="73"/>
      <c r="G14" s="73"/>
      <c r="H14" s="24"/>
      <c r="I14" s="25"/>
      <c r="J14" s="25"/>
      <c r="K14" s="28" t="e">
        <f>J14/#REF!*100</f>
        <v>#REF!</v>
      </c>
      <c r="L14" s="28"/>
      <c r="M14" s="69"/>
      <c r="N14" s="69"/>
      <c r="O14" s="24" t="e">
        <f t="shared" si="2"/>
        <v>#DIV/0!</v>
      </c>
      <c r="P14" s="28"/>
      <c r="Q14" s="25"/>
    </row>
    <row r="15" spans="1:17" ht="24">
      <c r="A15" s="20" t="s">
        <v>11</v>
      </c>
      <c r="B15" s="20"/>
      <c r="C15" s="36" t="s">
        <v>17</v>
      </c>
      <c r="D15" s="73">
        <f t="shared" si="5"/>
        <v>85021.5</v>
      </c>
      <c r="E15" s="76">
        <f t="shared" si="6"/>
        <v>30742.800000000003</v>
      </c>
      <c r="F15" s="73">
        <f>8412.4+1555.5</f>
        <v>9967.9</v>
      </c>
      <c r="G15" s="73">
        <v>20774.9</v>
      </c>
      <c r="H15" s="24">
        <v>21141.1</v>
      </c>
      <c r="I15" s="25">
        <v>33137.6</v>
      </c>
      <c r="J15" s="25">
        <v>32005.5</v>
      </c>
      <c r="K15" s="28" t="e">
        <f>J15/#REF!*100</f>
        <v>#REF!</v>
      </c>
      <c r="L15" s="28">
        <f t="shared" si="1"/>
        <v>151.38994659691315</v>
      </c>
      <c r="M15" s="69"/>
      <c r="N15" s="69"/>
      <c r="O15" s="24">
        <f t="shared" si="2"/>
        <v>96.58363912896529</v>
      </c>
      <c r="P15" s="28">
        <f t="shared" si="3"/>
        <v>104.10730317342596</v>
      </c>
      <c r="Q15" s="25">
        <f t="shared" si="4"/>
        <v>37.64400769217198</v>
      </c>
    </row>
    <row r="16" spans="1:17" ht="12.75">
      <c r="A16" s="37" t="s">
        <v>14</v>
      </c>
      <c r="B16" s="37"/>
      <c r="C16" s="36" t="s">
        <v>13</v>
      </c>
      <c r="D16" s="73">
        <f t="shared" si="5"/>
        <v>6290.5</v>
      </c>
      <c r="E16" s="76">
        <f t="shared" si="6"/>
        <v>6290.5</v>
      </c>
      <c r="F16" s="73">
        <v>6290.5</v>
      </c>
      <c r="G16" s="73"/>
      <c r="H16" s="24"/>
      <c r="I16" s="25"/>
      <c r="J16" s="25">
        <v>9188.7</v>
      </c>
      <c r="K16" s="28" t="e">
        <f>J16/#REF!*100</f>
        <v>#REF!</v>
      </c>
      <c r="L16" s="28" t="e">
        <f t="shared" si="1"/>
        <v>#DIV/0!</v>
      </c>
      <c r="M16" s="69"/>
      <c r="N16" s="69"/>
      <c r="O16" s="24" t="e">
        <f t="shared" si="2"/>
        <v>#DIV/0!</v>
      </c>
      <c r="P16" s="28">
        <f t="shared" si="3"/>
        <v>146.07264923297038</v>
      </c>
      <c r="Q16" s="25">
        <f t="shared" si="4"/>
        <v>146.07264923297038</v>
      </c>
    </row>
    <row r="17" spans="1:17" ht="12.75">
      <c r="A17" s="38" t="s">
        <v>42</v>
      </c>
      <c r="B17" s="38"/>
      <c r="C17" s="36" t="s">
        <v>43</v>
      </c>
      <c r="D17" s="73">
        <f t="shared" si="5"/>
        <v>6761</v>
      </c>
      <c r="E17" s="76">
        <f t="shared" si="6"/>
        <v>3116</v>
      </c>
      <c r="F17" s="73">
        <f>1288.5+5</f>
        <v>1293.5</v>
      </c>
      <c r="G17" s="73">
        <v>1822.5</v>
      </c>
      <c r="H17" s="24">
        <v>1822.5</v>
      </c>
      <c r="I17" s="25">
        <v>1822.5</v>
      </c>
      <c r="J17" s="25">
        <v>3735.5</v>
      </c>
      <c r="K17" s="28" t="e">
        <f>J17/#REF!*100</f>
        <v>#REF!</v>
      </c>
      <c r="L17" s="28">
        <f t="shared" si="1"/>
        <v>204.96570644718793</v>
      </c>
      <c r="M17" s="69"/>
      <c r="N17" s="69"/>
      <c r="O17" s="24">
        <f t="shared" si="2"/>
        <v>204.96570644718793</v>
      </c>
      <c r="P17" s="28">
        <f t="shared" si="3"/>
        <v>119.88125802310655</v>
      </c>
      <c r="Q17" s="25">
        <f t="shared" si="4"/>
        <v>55.25070255879308</v>
      </c>
    </row>
    <row r="18" spans="1:17" ht="12.75">
      <c r="A18" s="38" t="s">
        <v>18</v>
      </c>
      <c r="B18" s="38"/>
      <c r="C18" s="36" t="s">
        <v>15</v>
      </c>
      <c r="D18" s="73">
        <f t="shared" si="5"/>
        <v>20024</v>
      </c>
      <c r="E18" s="76">
        <f t="shared" si="6"/>
        <v>9956.2</v>
      </c>
      <c r="F18" s="73">
        <v>5185.4</v>
      </c>
      <c r="G18" s="73">
        <v>4770.8</v>
      </c>
      <c r="H18" s="24">
        <v>3280.8</v>
      </c>
      <c r="I18" s="25">
        <v>6787</v>
      </c>
      <c r="J18" s="25">
        <v>7328.1</v>
      </c>
      <c r="K18" s="28" t="e">
        <f>J18/#REF!*100</f>
        <v>#REF!</v>
      </c>
      <c r="L18" s="28">
        <f t="shared" si="1"/>
        <v>223.36320409656182</v>
      </c>
      <c r="M18" s="69"/>
      <c r="N18" s="69"/>
      <c r="O18" s="24">
        <f t="shared" si="2"/>
        <v>107.97259466627376</v>
      </c>
      <c r="P18" s="28">
        <f t="shared" si="3"/>
        <v>73.60338281673731</v>
      </c>
      <c r="Q18" s="25">
        <f t="shared" si="4"/>
        <v>36.596584099081106</v>
      </c>
    </row>
    <row r="19" spans="1:17" ht="12.75">
      <c r="A19" s="38" t="s">
        <v>60</v>
      </c>
      <c r="B19" s="38"/>
      <c r="C19" s="36" t="s">
        <v>61</v>
      </c>
      <c r="D19" s="73">
        <f t="shared" si="5"/>
        <v>3</v>
      </c>
      <c r="E19" s="76">
        <f t="shared" si="6"/>
        <v>1</v>
      </c>
      <c r="F19" s="73">
        <v>1</v>
      </c>
      <c r="G19" s="73"/>
      <c r="H19" s="24">
        <v>1</v>
      </c>
      <c r="I19" s="25">
        <v>1</v>
      </c>
      <c r="J19" s="25">
        <v>5</v>
      </c>
      <c r="K19" s="28" t="e">
        <f>J19/#REF!*100</f>
        <v>#REF!</v>
      </c>
      <c r="L19" s="28">
        <f t="shared" si="1"/>
        <v>500</v>
      </c>
      <c r="M19" s="69"/>
      <c r="N19" s="69"/>
      <c r="O19" s="24">
        <f t="shared" si="2"/>
        <v>500</v>
      </c>
      <c r="P19" s="28">
        <f t="shared" si="3"/>
        <v>500</v>
      </c>
      <c r="Q19" s="25">
        <f t="shared" si="4"/>
        <v>166.66666666666666</v>
      </c>
    </row>
    <row r="20" spans="1:17" ht="12.75">
      <c r="A20" s="29" t="s">
        <v>12</v>
      </c>
      <c r="B20" s="29"/>
      <c r="C20" s="36" t="s">
        <v>7</v>
      </c>
      <c r="D20" s="73">
        <f t="shared" si="5"/>
        <v>1128.4</v>
      </c>
      <c r="E20" s="76">
        <f t="shared" si="6"/>
        <v>582</v>
      </c>
      <c r="F20" s="73">
        <f>265.3+45.9</f>
        <v>311.2</v>
      </c>
      <c r="G20" s="73">
        <v>270.8</v>
      </c>
      <c r="H20" s="24">
        <v>270.8</v>
      </c>
      <c r="I20" s="25">
        <v>275.6</v>
      </c>
      <c r="J20" s="25">
        <v>5257.8</v>
      </c>
      <c r="K20" s="28" t="e">
        <f>J20/#REF!*100</f>
        <v>#REF!</v>
      </c>
      <c r="L20" s="28">
        <f t="shared" si="1"/>
        <v>1941.5805022156571</v>
      </c>
      <c r="M20" s="69"/>
      <c r="N20" s="69"/>
      <c r="O20" s="24">
        <f t="shared" si="2"/>
        <v>1907.764876632801</v>
      </c>
      <c r="P20" s="28">
        <f t="shared" si="3"/>
        <v>903.4020618556701</v>
      </c>
      <c r="Q20" s="25">
        <f t="shared" si="4"/>
        <v>465.9517901453385</v>
      </c>
    </row>
    <row r="21" spans="1:17" ht="12.75">
      <c r="A21" s="39" t="s">
        <v>39</v>
      </c>
      <c r="B21" s="40"/>
      <c r="C21" s="23" t="s">
        <v>40</v>
      </c>
      <c r="D21" s="73">
        <f t="shared" si="5"/>
        <v>0</v>
      </c>
      <c r="E21" s="76">
        <f t="shared" si="6"/>
        <v>0</v>
      </c>
      <c r="F21" s="73"/>
      <c r="G21" s="73"/>
      <c r="H21" s="24"/>
      <c r="I21" s="25"/>
      <c r="J21" s="25">
        <v>363.7</v>
      </c>
      <c r="K21" s="28"/>
      <c r="L21" s="28"/>
      <c r="M21" s="69"/>
      <c r="N21" s="69"/>
      <c r="O21" s="24"/>
      <c r="P21" s="28"/>
      <c r="Q21" s="25"/>
    </row>
    <row r="22" spans="1:17" ht="12.75">
      <c r="A22" s="33" t="s">
        <v>1</v>
      </c>
      <c r="B22" s="33"/>
      <c r="C22" s="41" t="s">
        <v>0</v>
      </c>
      <c r="D22" s="42">
        <f aca="true" t="shared" si="7" ref="D22:J22">D23+D24+D26+D25</f>
        <v>3010915.8</v>
      </c>
      <c r="E22" s="42">
        <f>E23+E24+E26+E25</f>
        <v>1357228.1</v>
      </c>
      <c r="F22" s="42">
        <f t="shared" si="7"/>
        <v>641742.6000000001</v>
      </c>
      <c r="G22" s="42">
        <f t="shared" si="7"/>
        <v>715485.5</v>
      </c>
      <c r="H22" s="42">
        <f t="shared" si="7"/>
        <v>893277.9</v>
      </c>
      <c r="I22" s="42">
        <f t="shared" si="7"/>
        <v>760409.7999999999</v>
      </c>
      <c r="J22" s="42">
        <f t="shared" si="7"/>
        <v>904416.9</v>
      </c>
      <c r="K22" s="35" t="e">
        <f>J22/#REF!*100</f>
        <v>#REF!</v>
      </c>
      <c r="L22" s="35">
        <f aca="true" t="shared" si="8" ref="L22:L27">J22/H22*100</f>
        <v>101.2469803629979</v>
      </c>
      <c r="M22" s="69"/>
      <c r="N22" s="69"/>
      <c r="O22" s="46">
        <f t="shared" si="2"/>
        <v>118.93809101355612</v>
      </c>
      <c r="P22" s="35">
        <f t="shared" si="3"/>
        <v>66.63705975436258</v>
      </c>
      <c r="Q22" s="32">
        <f t="shared" si="4"/>
        <v>30.03793397344423</v>
      </c>
    </row>
    <row r="23" spans="1:17" ht="24">
      <c r="A23" s="21" t="s">
        <v>67</v>
      </c>
      <c r="B23" s="19"/>
      <c r="C23" s="43" t="s">
        <v>20</v>
      </c>
      <c r="D23" s="73">
        <f t="shared" si="5"/>
        <v>3053418.9</v>
      </c>
      <c r="E23" s="76">
        <f t="shared" si="6"/>
        <v>1409731.2000000002</v>
      </c>
      <c r="F23" s="73">
        <f>735247.8-54146.4+18144.3</f>
        <v>699245.7000000001</v>
      </c>
      <c r="G23" s="73">
        <f>707380.5+3105</f>
        <v>710485.5</v>
      </c>
      <c r="H23" s="25">
        <v>888277.9</v>
      </c>
      <c r="I23" s="25">
        <f>755337.2+22+50.6</f>
        <v>755409.7999999999</v>
      </c>
      <c r="J23" s="25">
        <v>903974.3</v>
      </c>
      <c r="K23" s="28" t="e">
        <f>J23/#REF!*100</f>
        <v>#REF!</v>
      </c>
      <c r="L23" s="28">
        <f t="shared" si="8"/>
        <v>101.76705961051154</v>
      </c>
      <c r="M23" s="69"/>
      <c r="N23" s="69"/>
      <c r="O23" s="24">
        <f t="shared" si="2"/>
        <v>119.66674247540872</v>
      </c>
      <c r="P23" s="28">
        <f t="shared" si="3"/>
        <v>64.12387694902404</v>
      </c>
      <c r="Q23" s="25">
        <f t="shared" si="4"/>
        <v>29.60531553662683</v>
      </c>
    </row>
    <row r="24" spans="1:17" ht="13.5" customHeight="1">
      <c r="A24" s="21" t="s">
        <v>2</v>
      </c>
      <c r="B24" s="21"/>
      <c r="C24" s="44" t="s">
        <v>19</v>
      </c>
      <c r="D24" s="73">
        <f t="shared" si="5"/>
        <v>20010</v>
      </c>
      <c r="E24" s="76">
        <f t="shared" si="6"/>
        <v>10010</v>
      </c>
      <c r="F24" s="74">
        <f>5000+10</f>
        <v>5010</v>
      </c>
      <c r="G24" s="74">
        <v>5000</v>
      </c>
      <c r="H24" s="25">
        <v>5000</v>
      </c>
      <c r="I24" s="25">
        <v>5000</v>
      </c>
      <c r="J24" s="25">
        <v>9428.2</v>
      </c>
      <c r="K24" s="28" t="e">
        <f>J24/#REF!*100</f>
        <v>#REF!</v>
      </c>
      <c r="L24" s="28">
        <f t="shared" si="8"/>
        <v>188.56400000000002</v>
      </c>
      <c r="M24" s="69"/>
      <c r="N24" s="69"/>
      <c r="O24" s="24">
        <f t="shared" si="2"/>
        <v>188.56400000000002</v>
      </c>
      <c r="P24" s="28">
        <f t="shared" si="3"/>
        <v>94.1878121878122</v>
      </c>
      <c r="Q24" s="25">
        <f t="shared" si="4"/>
        <v>47.11744127936033</v>
      </c>
    </row>
    <row r="25" spans="1:17" ht="34.5" customHeight="1" hidden="1">
      <c r="A25" s="21" t="s">
        <v>65</v>
      </c>
      <c r="B25" s="22" t="s">
        <v>64</v>
      </c>
      <c r="C25" s="23" t="s">
        <v>64</v>
      </c>
      <c r="D25" s="73">
        <f t="shared" si="5"/>
        <v>0</v>
      </c>
      <c r="E25" s="76">
        <f t="shared" si="6"/>
        <v>0</v>
      </c>
      <c r="F25" s="73"/>
      <c r="G25" s="73"/>
      <c r="H25" s="25"/>
      <c r="I25" s="25"/>
      <c r="J25" s="25"/>
      <c r="K25" s="28" t="e">
        <f>J25/#REF!*100</f>
        <v>#REF!</v>
      </c>
      <c r="L25" s="28"/>
      <c r="M25" s="69"/>
      <c r="N25" s="69"/>
      <c r="O25" s="24" t="e">
        <f t="shared" si="2"/>
        <v>#DIV/0!</v>
      </c>
      <c r="P25" s="28" t="e">
        <f>J25*100/E25</f>
        <v>#DIV/0!</v>
      </c>
      <c r="Q25" s="25" t="e">
        <f>J25*100/D25</f>
        <v>#DIV/0!</v>
      </c>
    </row>
    <row r="26" spans="1:17" ht="24">
      <c r="A26" s="21" t="s">
        <v>66</v>
      </c>
      <c r="B26" s="26"/>
      <c r="C26" s="27" t="s">
        <v>63</v>
      </c>
      <c r="D26" s="73">
        <f t="shared" si="5"/>
        <v>-62513.1</v>
      </c>
      <c r="E26" s="76">
        <f t="shared" si="6"/>
        <v>-62513.1</v>
      </c>
      <c r="F26" s="75">
        <v>-62513.1</v>
      </c>
      <c r="G26" s="75"/>
      <c r="H26" s="25"/>
      <c r="I26" s="25"/>
      <c r="J26" s="25">
        <v>-8985.6</v>
      </c>
      <c r="K26" s="28" t="e">
        <f>J26/#REF!*100</f>
        <v>#REF!</v>
      </c>
      <c r="L26" s="28"/>
      <c r="M26" s="69"/>
      <c r="N26" s="69"/>
      <c r="O26" s="24" t="e">
        <f t="shared" si="2"/>
        <v>#DIV/0!</v>
      </c>
      <c r="P26" s="28">
        <f>J26*100/E26</f>
        <v>14.373947220662549</v>
      </c>
      <c r="Q26" s="25">
        <f>J26*100/D26</f>
        <v>14.373947220662549</v>
      </c>
    </row>
    <row r="27" spans="1:17" ht="12.75">
      <c r="A27" s="29"/>
      <c r="B27" s="30"/>
      <c r="C27" s="31" t="s">
        <v>4</v>
      </c>
      <c r="D27" s="32">
        <f aca="true" t="shared" si="9" ref="D27:J27">D22+D8</f>
        <v>3691718.1999999997</v>
      </c>
      <c r="E27" s="32">
        <f t="shared" si="9"/>
        <v>1686531.1</v>
      </c>
      <c r="F27" s="32">
        <f t="shared" si="9"/>
        <v>797352.8</v>
      </c>
      <c r="G27" s="32">
        <f t="shared" si="9"/>
        <v>889178.2999999999</v>
      </c>
      <c r="H27" s="32">
        <f t="shared" si="9"/>
        <v>1050912.6</v>
      </c>
      <c r="I27" s="32">
        <f t="shared" si="9"/>
        <v>954274.5</v>
      </c>
      <c r="J27" s="32">
        <f t="shared" si="9"/>
        <v>1165529.5</v>
      </c>
      <c r="K27" s="35" t="e">
        <f>J27/#REF!*100</f>
        <v>#REF!</v>
      </c>
      <c r="L27" s="35">
        <f t="shared" si="8"/>
        <v>110.90641600452787</v>
      </c>
      <c r="M27" s="69"/>
      <c r="N27" s="70" t="e">
        <f>I27+#REF!+#REF!</f>
        <v>#REF!</v>
      </c>
      <c r="O27" s="46">
        <f t="shared" si="2"/>
        <v>122.13776015182215</v>
      </c>
      <c r="P27" s="35">
        <f t="shared" si="3"/>
        <v>69.10809412290114</v>
      </c>
      <c r="Q27" s="32">
        <f t="shared" si="4"/>
        <v>31.571464474184406</v>
      </c>
    </row>
    <row r="28" spans="1:17" ht="12.7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7"/>
      <c r="M28" s="69"/>
      <c r="N28" s="69"/>
      <c r="O28" s="67"/>
      <c r="P28" s="35"/>
      <c r="Q28" s="32"/>
    </row>
    <row r="29" spans="1:17" ht="12.75">
      <c r="A29" s="88" t="s">
        <v>25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35"/>
      <c r="Q29" s="32"/>
    </row>
    <row r="30" spans="1:17" ht="12.75">
      <c r="A30" s="33" t="s">
        <v>3</v>
      </c>
      <c r="B30" s="33"/>
      <c r="C30" s="34" t="s">
        <v>68</v>
      </c>
      <c r="D30" s="35">
        <f aca="true" t="shared" si="10" ref="D30:I30">D31+D32+D34+D36+D33+D35+D37</f>
        <v>13371</v>
      </c>
      <c r="E30" s="35">
        <f>E31+E32+E34+E36+E33+E35+E37</f>
        <v>6684.5</v>
      </c>
      <c r="F30" s="35">
        <f t="shared" si="10"/>
        <v>3342.3</v>
      </c>
      <c r="G30" s="35">
        <f t="shared" si="10"/>
        <v>3342.2</v>
      </c>
      <c r="H30" s="35">
        <f t="shared" si="10"/>
        <v>3342.3</v>
      </c>
      <c r="I30" s="35">
        <f t="shared" si="10"/>
        <v>3344.2</v>
      </c>
      <c r="J30" s="35">
        <f>J31+J32+J34+J36+J33+J35+J37</f>
        <v>5194.7</v>
      </c>
      <c r="K30" s="35" t="e">
        <f>J30/#REF!*100</f>
        <v>#REF!</v>
      </c>
      <c r="L30" s="35">
        <f aca="true" t="shared" si="11" ref="L30:L36">J30/H30*100</f>
        <v>155.42291236573615</v>
      </c>
      <c r="M30" s="69"/>
      <c r="N30" s="69"/>
      <c r="O30" s="35">
        <f t="shared" si="2"/>
        <v>155.33460917409246</v>
      </c>
      <c r="P30" s="35">
        <f t="shared" si="3"/>
        <v>77.71261874485751</v>
      </c>
      <c r="Q30" s="32">
        <f t="shared" si="4"/>
        <v>38.85049734500038</v>
      </c>
    </row>
    <row r="31" spans="1:17" ht="12.75">
      <c r="A31" s="19" t="s">
        <v>23</v>
      </c>
      <c r="B31" s="19"/>
      <c r="C31" s="47" t="s">
        <v>22</v>
      </c>
      <c r="D31" s="73">
        <f aca="true" t="shared" si="12" ref="D31:D36">F31+G31+H31+I31</f>
        <v>11220</v>
      </c>
      <c r="E31" s="76">
        <f aca="true" t="shared" si="13" ref="E31:E40">F31+G31</f>
        <v>5610</v>
      </c>
      <c r="F31" s="76">
        <v>2805</v>
      </c>
      <c r="G31" s="76">
        <v>2805</v>
      </c>
      <c r="H31" s="24">
        <v>2805</v>
      </c>
      <c r="I31" s="25">
        <v>2805</v>
      </c>
      <c r="J31" s="48">
        <v>4203.7</v>
      </c>
      <c r="K31" s="28" t="e">
        <f>J31/#REF!*100</f>
        <v>#REF!</v>
      </c>
      <c r="L31" s="28">
        <f t="shared" si="11"/>
        <v>149.8645276292335</v>
      </c>
      <c r="M31" s="69"/>
      <c r="N31" s="69"/>
      <c r="O31" s="24">
        <f t="shared" si="2"/>
        <v>149.86452762923352</v>
      </c>
      <c r="P31" s="28">
        <f>J31*100/E31</f>
        <v>74.93226381461676</v>
      </c>
      <c r="Q31" s="25">
        <f t="shared" si="4"/>
        <v>37.46613190730838</v>
      </c>
    </row>
    <row r="32" spans="1:17" ht="12.75">
      <c r="A32" s="19" t="s">
        <v>9</v>
      </c>
      <c r="B32" s="19"/>
      <c r="C32" s="36" t="s">
        <v>6</v>
      </c>
      <c r="D32" s="73">
        <f t="shared" si="12"/>
        <v>307</v>
      </c>
      <c r="E32" s="76">
        <f t="shared" si="13"/>
        <v>153.5</v>
      </c>
      <c r="F32" s="73">
        <f>55+7.5+14.3</f>
        <v>76.8</v>
      </c>
      <c r="G32" s="73">
        <v>76.7</v>
      </c>
      <c r="H32" s="24">
        <v>76.8</v>
      </c>
      <c r="I32" s="25">
        <v>76.7</v>
      </c>
      <c r="J32" s="25">
        <v>201.5</v>
      </c>
      <c r="K32" s="28" t="e">
        <f>J32/#REF!*100</f>
        <v>#REF!</v>
      </c>
      <c r="L32" s="28">
        <f t="shared" si="11"/>
        <v>262.3697916666667</v>
      </c>
      <c r="M32" s="69"/>
      <c r="N32" s="69"/>
      <c r="O32" s="24">
        <f t="shared" si="2"/>
        <v>262.7118644067796</v>
      </c>
      <c r="P32" s="28">
        <f t="shared" si="3"/>
        <v>131.27035830618894</v>
      </c>
      <c r="Q32" s="25">
        <f t="shared" si="4"/>
        <v>65.63517915309447</v>
      </c>
    </row>
    <row r="33" spans="1:17" ht="12.75">
      <c r="A33" s="19" t="s">
        <v>10</v>
      </c>
      <c r="B33" s="19"/>
      <c r="C33" s="36" t="s">
        <v>21</v>
      </c>
      <c r="D33" s="73">
        <f t="shared" si="12"/>
        <v>24</v>
      </c>
      <c r="E33" s="76">
        <f t="shared" si="13"/>
        <v>12</v>
      </c>
      <c r="F33" s="73">
        <v>6</v>
      </c>
      <c r="G33" s="73">
        <v>6</v>
      </c>
      <c r="H33" s="24">
        <v>6</v>
      </c>
      <c r="I33" s="25">
        <v>6</v>
      </c>
      <c r="J33" s="25">
        <v>5.8</v>
      </c>
      <c r="K33" s="28" t="e">
        <f>J33/#REF!*100</f>
        <v>#REF!</v>
      </c>
      <c r="L33" s="28">
        <f t="shared" si="11"/>
        <v>96.66666666666667</v>
      </c>
      <c r="M33" s="69"/>
      <c r="N33" s="69"/>
      <c r="O33" s="24">
        <f t="shared" si="2"/>
        <v>96.66666666666667</v>
      </c>
      <c r="P33" s="28">
        <f t="shared" si="3"/>
        <v>48.333333333333336</v>
      </c>
      <c r="Q33" s="25">
        <f t="shared" si="4"/>
        <v>24.166666666666668</v>
      </c>
    </row>
    <row r="34" spans="1:17" ht="24">
      <c r="A34" s="20" t="s">
        <v>11</v>
      </c>
      <c r="B34" s="20"/>
      <c r="C34" s="36" t="s">
        <v>17</v>
      </c>
      <c r="D34" s="73">
        <f t="shared" si="12"/>
        <v>1755</v>
      </c>
      <c r="E34" s="76">
        <f t="shared" si="13"/>
        <v>877.5</v>
      </c>
      <c r="F34" s="73">
        <f>431.3+7.5</f>
        <v>438.8</v>
      </c>
      <c r="G34" s="73">
        <v>438.7</v>
      </c>
      <c r="H34" s="24">
        <v>438.8</v>
      </c>
      <c r="I34" s="25">
        <v>438.7</v>
      </c>
      <c r="J34" s="25">
        <v>442.5</v>
      </c>
      <c r="K34" s="28" t="e">
        <f>J34/#REF!*100</f>
        <v>#REF!</v>
      </c>
      <c r="L34" s="28">
        <f t="shared" si="11"/>
        <v>100.84320875113949</v>
      </c>
      <c r="M34" s="69"/>
      <c r="N34" s="69"/>
      <c r="O34" s="24">
        <f t="shared" si="2"/>
        <v>100.86619557784363</v>
      </c>
      <c r="P34" s="28">
        <f t="shared" si="3"/>
        <v>50.427350427350426</v>
      </c>
      <c r="Q34" s="25">
        <f t="shared" si="4"/>
        <v>25.213675213675213</v>
      </c>
    </row>
    <row r="35" spans="1:17" ht="12.75" customHeight="1">
      <c r="A35" s="38" t="s">
        <v>42</v>
      </c>
      <c r="B35" s="38"/>
      <c r="C35" s="36" t="s">
        <v>43</v>
      </c>
      <c r="D35" s="73">
        <f t="shared" si="12"/>
        <v>0</v>
      </c>
      <c r="E35" s="76">
        <f t="shared" si="13"/>
        <v>0</v>
      </c>
      <c r="F35" s="73"/>
      <c r="G35" s="73"/>
      <c r="H35" s="24"/>
      <c r="I35" s="25"/>
      <c r="J35" s="25">
        <v>324</v>
      </c>
      <c r="K35" s="28"/>
      <c r="L35" s="28"/>
      <c r="M35" s="69"/>
      <c r="N35" s="69"/>
      <c r="O35" s="24"/>
      <c r="P35" s="28"/>
      <c r="Q35" s="25"/>
    </row>
    <row r="36" spans="1:17" ht="12.75">
      <c r="A36" s="37" t="s">
        <v>18</v>
      </c>
      <c r="B36" s="37"/>
      <c r="C36" s="36" t="s">
        <v>15</v>
      </c>
      <c r="D36" s="73">
        <f t="shared" si="12"/>
        <v>65</v>
      </c>
      <c r="E36" s="76">
        <f t="shared" si="13"/>
        <v>31.5</v>
      </c>
      <c r="F36" s="73">
        <v>15.7</v>
      </c>
      <c r="G36" s="73">
        <v>15.8</v>
      </c>
      <c r="H36" s="24">
        <v>15.7</v>
      </c>
      <c r="I36" s="25">
        <v>17.8</v>
      </c>
      <c r="J36" s="25">
        <v>17.2</v>
      </c>
      <c r="K36" s="28" t="e">
        <f>J36/#REF!*100</f>
        <v>#REF!</v>
      </c>
      <c r="L36" s="28">
        <f t="shared" si="11"/>
        <v>109.55414012738854</v>
      </c>
      <c r="M36" s="69"/>
      <c r="N36" s="69"/>
      <c r="O36" s="24">
        <f t="shared" si="2"/>
        <v>96.62921348314606</v>
      </c>
      <c r="P36" s="28">
        <f t="shared" si="3"/>
        <v>54.6031746031746</v>
      </c>
      <c r="Q36" s="25">
        <f t="shared" si="4"/>
        <v>26.46153846153846</v>
      </c>
    </row>
    <row r="37" spans="1:17" ht="15.75" customHeight="1">
      <c r="A37" s="39" t="s">
        <v>39</v>
      </c>
      <c r="B37" s="40"/>
      <c r="C37" s="23" t="s">
        <v>40</v>
      </c>
      <c r="D37" s="36"/>
      <c r="E37" s="76">
        <f t="shared" si="13"/>
        <v>0</v>
      </c>
      <c r="F37" s="73"/>
      <c r="G37" s="73"/>
      <c r="H37" s="24"/>
      <c r="I37" s="25"/>
      <c r="J37" s="25"/>
      <c r="K37" s="28"/>
      <c r="L37" s="28"/>
      <c r="M37" s="69"/>
      <c r="N37" s="69"/>
      <c r="O37" s="24" t="e">
        <f t="shared" si="2"/>
        <v>#DIV/0!</v>
      </c>
      <c r="P37" s="35"/>
      <c r="Q37" s="32"/>
    </row>
    <row r="38" spans="1:17" ht="12.75">
      <c r="A38" s="33" t="s">
        <v>1</v>
      </c>
      <c r="B38" s="33"/>
      <c r="C38" s="41" t="s">
        <v>0</v>
      </c>
      <c r="D38" s="42">
        <f>D39+D40</f>
        <v>23372.9</v>
      </c>
      <c r="E38" s="42">
        <f aca="true" t="shared" si="14" ref="E38:J38">E39+E40</f>
        <v>11709.599999999999</v>
      </c>
      <c r="F38" s="42">
        <f t="shared" si="14"/>
        <v>5877.9</v>
      </c>
      <c r="G38" s="42">
        <f t="shared" si="14"/>
        <v>5831.7</v>
      </c>
      <c r="H38" s="42">
        <f t="shared" si="14"/>
        <v>5831.7</v>
      </c>
      <c r="I38" s="42">
        <f t="shared" si="14"/>
        <v>5831.6</v>
      </c>
      <c r="J38" s="42">
        <f t="shared" si="14"/>
        <v>5917</v>
      </c>
      <c r="K38" s="42" t="e">
        <f>K39</f>
        <v>#REF!</v>
      </c>
      <c r="L38" s="35">
        <f>J38/H38*100</f>
        <v>101.46269526896103</v>
      </c>
      <c r="M38" s="69"/>
      <c r="N38" s="69"/>
      <c r="O38" s="46">
        <f t="shared" si="2"/>
        <v>101.4644351464435</v>
      </c>
      <c r="P38" s="35">
        <f t="shared" si="3"/>
        <v>50.5311880849901</v>
      </c>
      <c r="Q38" s="32">
        <f t="shared" si="4"/>
        <v>25.31564333052381</v>
      </c>
    </row>
    <row r="39" spans="1:17" ht="24">
      <c r="A39" s="21" t="s">
        <v>67</v>
      </c>
      <c r="B39" s="19"/>
      <c r="C39" s="43" t="s">
        <v>20</v>
      </c>
      <c r="D39" s="73">
        <f>F39+G39+H39+I39</f>
        <v>23372.9</v>
      </c>
      <c r="E39" s="76">
        <f t="shared" si="13"/>
        <v>11709.599999999999</v>
      </c>
      <c r="F39" s="49">
        <f>5831.7+46.2</f>
        <v>5877.9</v>
      </c>
      <c r="G39" s="49">
        <v>5831.7</v>
      </c>
      <c r="H39" s="24">
        <v>5831.7</v>
      </c>
      <c r="I39" s="49">
        <v>5831.6</v>
      </c>
      <c r="J39" s="25">
        <v>5917</v>
      </c>
      <c r="K39" s="28" t="e">
        <f>J39/#REF!*100</f>
        <v>#REF!</v>
      </c>
      <c r="L39" s="28">
        <f>J39/H39*100</f>
        <v>101.46269526896103</v>
      </c>
      <c r="M39" s="69"/>
      <c r="N39" s="69"/>
      <c r="O39" s="24">
        <f t="shared" si="2"/>
        <v>101.4644351464435</v>
      </c>
      <c r="P39" s="28">
        <f t="shared" si="3"/>
        <v>50.5311880849901</v>
      </c>
      <c r="Q39" s="25">
        <f t="shared" si="4"/>
        <v>25.31564333052381</v>
      </c>
    </row>
    <row r="40" spans="1:17" ht="12.75">
      <c r="A40" s="21" t="s">
        <v>2</v>
      </c>
      <c r="B40" s="21"/>
      <c r="C40" s="44" t="s">
        <v>19</v>
      </c>
      <c r="D40" s="73">
        <f>F40+G40+H40+I40</f>
        <v>0</v>
      </c>
      <c r="E40" s="76">
        <f t="shared" si="13"/>
        <v>0</v>
      </c>
      <c r="F40" s="49"/>
      <c r="G40" s="49"/>
      <c r="H40" s="24"/>
      <c r="I40" s="49"/>
      <c r="J40" s="25"/>
      <c r="K40" s="28"/>
      <c r="L40" s="28"/>
      <c r="M40" s="69"/>
      <c r="N40" s="69"/>
      <c r="O40" s="24"/>
      <c r="P40" s="28"/>
      <c r="Q40" s="25"/>
    </row>
    <row r="41" spans="1:17" ht="12.75">
      <c r="A41" s="29"/>
      <c r="B41" s="30"/>
      <c r="C41" s="31" t="s">
        <v>4</v>
      </c>
      <c r="D41" s="32">
        <f aca="true" t="shared" si="15" ref="D41:I41">D38+D30</f>
        <v>36743.9</v>
      </c>
      <c r="E41" s="32">
        <f t="shared" si="15"/>
        <v>18394.1</v>
      </c>
      <c r="F41" s="32">
        <f t="shared" si="15"/>
        <v>9220.2</v>
      </c>
      <c r="G41" s="32">
        <f t="shared" si="15"/>
        <v>9173.9</v>
      </c>
      <c r="H41" s="32">
        <f t="shared" si="15"/>
        <v>9174</v>
      </c>
      <c r="I41" s="32">
        <f t="shared" si="15"/>
        <v>9175.8</v>
      </c>
      <c r="J41" s="32">
        <f>J38+J30</f>
        <v>11111.7</v>
      </c>
      <c r="K41" s="35" t="e">
        <f>J41/#REF!*100</f>
        <v>#REF!</v>
      </c>
      <c r="L41" s="35">
        <f>J41/H41*100</f>
        <v>121.12164813603663</v>
      </c>
      <c r="M41" s="69"/>
      <c r="N41" s="70" t="e">
        <f>I41+#REF!+#REF!</f>
        <v>#REF!</v>
      </c>
      <c r="O41" s="46">
        <f t="shared" si="2"/>
        <v>121.09788792257896</v>
      </c>
      <c r="P41" s="35">
        <f t="shared" si="3"/>
        <v>60.40904420439163</v>
      </c>
      <c r="Q41" s="32">
        <f t="shared" si="4"/>
        <v>30.24093795160557</v>
      </c>
    </row>
    <row r="42" spans="1:17" ht="12.75">
      <c r="A42" s="50"/>
      <c r="B42" s="51"/>
      <c r="C42" s="90"/>
      <c r="D42" s="90"/>
      <c r="E42" s="90"/>
      <c r="F42" s="90"/>
      <c r="G42" s="90"/>
      <c r="H42" s="90"/>
      <c r="I42" s="90"/>
      <c r="J42" s="90"/>
      <c r="K42" s="90"/>
      <c r="L42" s="91"/>
      <c r="M42" s="69"/>
      <c r="N42" s="69"/>
      <c r="O42" s="67"/>
      <c r="P42" s="35"/>
      <c r="Q42" s="32"/>
    </row>
    <row r="43" spans="1:17" ht="12.75">
      <c r="A43" s="88" t="s">
        <v>26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35"/>
      <c r="Q43" s="32"/>
    </row>
    <row r="44" spans="1:17" ht="12.75">
      <c r="A44" s="33" t="s">
        <v>3</v>
      </c>
      <c r="B44" s="33"/>
      <c r="C44" s="34" t="s">
        <v>68</v>
      </c>
      <c r="D44" s="35">
        <f aca="true" t="shared" si="16" ref="D44:J44">D45+D47+D49+D50+D51+D52+D48+D46</f>
        <v>16103.9</v>
      </c>
      <c r="E44" s="35">
        <f t="shared" si="16"/>
        <v>8210.1</v>
      </c>
      <c r="F44" s="35">
        <f t="shared" si="16"/>
        <v>3938.2000000000003</v>
      </c>
      <c r="G44" s="35">
        <f t="shared" si="16"/>
        <v>4271.9</v>
      </c>
      <c r="H44" s="35">
        <f t="shared" si="16"/>
        <v>3944.2999999999997</v>
      </c>
      <c r="I44" s="35">
        <f t="shared" si="16"/>
        <v>3949.5</v>
      </c>
      <c r="J44" s="35">
        <f t="shared" si="16"/>
        <v>3817.7999999999997</v>
      </c>
      <c r="K44" s="35" t="e">
        <f>J44/#REF!*100</f>
        <v>#REF!</v>
      </c>
      <c r="L44" s="35">
        <f>J44/H44*100</f>
        <v>96.79284030119413</v>
      </c>
      <c r="M44" s="69"/>
      <c r="N44" s="69"/>
      <c r="O44" s="35">
        <f t="shared" si="2"/>
        <v>96.66540068363084</v>
      </c>
      <c r="P44" s="35">
        <f t="shared" si="3"/>
        <v>46.501260642379506</v>
      </c>
      <c r="Q44" s="32">
        <f t="shared" si="4"/>
        <v>23.707300715975634</v>
      </c>
    </row>
    <row r="45" spans="1:17" ht="12.75">
      <c r="A45" s="29" t="s">
        <v>23</v>
      </c>
      <c r="B45" s="19"/>
      <c r="C45" s="47" t="s">
        <v>22</v>
      </c>
      <c r="D45" s="73">
        <f aca="true" t="shared" si="17" ref="D45:D56">F45+G45+H45+I45</f>
        <v>13600</v>
      </c>
      <c r="E45" s="76">
        <f aca="true" t="shared" si="18" ref="E45:E54">F45+G45</f>
        <v>6799.700000000001</v>
      </c>
      <c r="F45" s="73">
        <f>3342.4+45+12.3</f>
        <v>3399.7000000000003</v>
      </c>
      <c r="G45" s="73">
        <f>3342.5+45+12.5</f>
        <v>3400</v>
      </c>
      <c r="H45" s="24">
        <f>3342.5+45+12.5</f>
        <v>3400</v>
      </c>
      <c r="I45" s="25">
        <f>3342.6+45+12.7</f>
        <v>3400.2999999999997</v>
      </c>
      <c r="J45" s="48">
        <v>3760.4</v>
      </c>
      <c r="K45" s="28" t="e">
        <f>J45/#REF!*100</f>
        <v>#REF!</v>
      </c>
      <c r="L45" s="28">
        <f>J45/H45*100</f>
        <v>110.60000000000001</v>
      </c>
      <c r="M45" s="69"/>
      <c r="N45" s="69"/>
      <c r="O45" s="24">
        <f t="shared" si="2"/>
        <v>110.59024203746729</v>
      </c>
      <c r="P45" s="28">
        <f t="shared" si="3"/>
        <v>55.302439813521175</v>
      </c>
      <c r="Q45" s="25">
        <f t="shared" si="4"/>
        <v>27.65</v>
      </c>
    </row>
    <row r="46" spans="1:17" ht="12.75">
      <c r="A46" s="19" t="s">
        <v>8</v>
      </c>
      <c r="B46" s="19"/>
      <c r="C46" s="36" t="s">
        <v>5</v>
      </c>
      <c r="D46" s="73">
        <f t="shared" si="17"/>
        <v>23</v>
      </c>
      <c r="E46" s="76">
        <f t="shared" si="18"/>
        <v>11.3</v>
      </c>
      <c r="F46" s="73">
        <v>5.6</v>
      </c>
      <c r="G46" s="73">
        <v>5.7</v>
      </c>
      <c r="H46" s="24">
        <v>5.7</v>
      </c>
      <c r="I46" s="25">
        <v>6</v>
      </c>
      <c r="J46" s="48">
        <v>12.1</v>
      </c>
      <c r="K46" s="28" t="e">
        <f>J46/#REF!*100</f>
        <v>#REF!</v>
      </c>
      <c r="L46" s="28">
        <f>J46/H46*100</f>
        <v>212.28070175438597</v>
      </c>
      <c r="M46" s="69"/>
      <c r="N46" s="69"/>
      <c r="O46" s="24">
        <f t="shared" si="2"/>
        <v>201.66666666666666</v>
      </c>
      <c r="P46" s="28">
        <f t="shared" si="3"/>
        <v>107.0796460176991</v>
      </c>
      <c r="Q46" s="25">
        <f t="shared" si="4"/>
        <v>52.608695652173914</v>
      </c>
    </row>
    <row r="47" spans="1:17" ht="14.25" customHeight="1">
      <c r="A47" s="19" t="s">
        <v>9</v>
      </c>
      <c r="B47" s="19"/>
      <c r="C47" s="36" t="s">
        <v>6</v>
      </c>
      <c r="D47" s="73">
        <f t="shared" si="17"/>
        <v>1385</v>
      </c>
      <c r="E47" s="76">
        <f t="shared" si="18"/>
        <v>689</v>
      </c>
      <c r="F47" s="73">
        <f>161+105+75</f>
        <v>341</v>
      </c>
      <c r="G47" s="73">
        <f>168+105+75</f>
        <v>348</v>
      </c>
      <c r="H47" s="24">
        <f>166+105+75</f>
        <v>346</v>
      </c>
      <c r="I47" s="25">
        <f>165+110+75</f>
        <v>350</v>
      </c>
      <c r="J47" s="25">
        <v>-577.4</v>
      </c>
      <c r="K47" s="28" t="e">
        <f>J47/#REF!*100</f>
        <v>#REF!</v>
      </c>
      <c r="L47" s="28">
        <f>J47/H47*100</f>
        <v>-166.878612716763</v>
      </c>
      <c r="M47" s="69"/>
      <c r="N47" s="69"/>
      <c r="O47" s="24">
        <f t="shared" si="2"/>
        <v>-164.97142857142856</v>
      </c>
      <c r="P47" s="28">
        <f t="shared" si="3"/>
        <v>-83.80261248185776</v>
      </c>
      <c r="Q47" s="25">
        <f t="shared" si="4"/>
        <v>-41.68953068592058</v>
      </c>
    </row>
    <row r="48" spans="1:17" ht="18" customHeight="1" hidden="1">
      <c r="A48" s="19" t="s">
        <v>10</v>
      </c>
      <c r="B48" s="19"/>
      <c r="C48" s="36" t="s">
        <v>21</v>
      </c>
      <c r="D48" s="73">
        <f t="shared" si="17"/>
        <v>0</v>
      </c>
      <c r="E48" s="76">
        <f t="shared" si="18"/>
        <v>0</v>
      </c>
      <c r="F48" s="73"/>
      <c r="G48" s="73"/>
      <c r="H48" s="24"/>
      <c r="I48" s="25"/>
      <c r="J48" s="25"/>
      <c r="K48" s="28"/>
      <c r="L48" s="28"/>
      <c r="M48" s="69"/>
      <c r="N48" s="69"/>
      <c r="O48" s="24" t="e">
        <f t="shared" si="2"/>
        <v>#DIV/0!</v>
      </c>
      <c r="P48" s="28" t="e">
        <f t="shared" si="3"/>
        <v>#DIV/0!</v>
      </c>
      <c r="Q48" s="25" t="e">
        <f t="shared" si="4"/>
        <v>#DIV/0!</v>
      </c>
    </row>
    <row r="49" spans="1:17" ht="24">
      <c r="A49" s="20" t="s">
        <v>11</v>
      </c>
      <c r="B49" s="20"/>
      <c r="C49" s="36" t="s">
        <v>17</v>
      </c>
      <c r="D49" s="73">
        <f t="shared" si="17"/>
        <v>932.8000000000001</v>
      </c>
      <c r="E49" s="76">
        <f t="shared" si="18"/>
        <v>625.7</v>
      </c>
      <c r="F49" s="73">
        <f>109.3+43.2</f>
        <v>152.5</v>
      </c>
      <c r="G49" s="73">
        <f>110+43.2+320</f>
        <v>473.2</v>
      </c>
      <c r="H49" s="24">
        <f>110+43.2</f>
        <v>153.2</v>
      </c>
      <c r="I49" s="25">
        <f>110.7+43.2</f>
        <v>153.9</v>
      </c>
      <c r="J49" s="25">
        <v>590.6</v>
      </c>
      <c r="K49" s="28" t="e">
        <f>J49/#REF!*100</f>
        <v>#REF!</v>
      </c>
      <c r="L49" s="28">
        <f>J49/H49*100</f>
        <v>385.50913838120107</v>
      </c>
      <c r="M49" s="69"/>
      <c r="N49" s="69"/>
      <c r="O49" s="24">
        <f t="shared" si="2"/>
        <v>383.7556855100715</v>
      </c>
      <c r="P49" s="28">
        <f t="shared" si="3"/>
        <v>94.39028288317084</v>
      </c>
      <c r="Q49" s="25">
        <f t="shared" si="4"/>
        <v>63.31475128644939</v>
      </c>
    </row>
    <row r="50" spans="1:17" ht="12.75">
      <c r="A50" s="38" t="s">
        <v>18</v>
      </c>
      <c r="B50" s="38"/>
      <c r="C50" s="36" t="s">
        <v>15</v>
      </c>
      <c r="D50" s="73">
        <f t="shared" si="17"/>
        <v>157.5</v>
      </c>
      <c r="E50" s="76">
        <f t="shared" si="18"/>
        <v>78.8</v>
      </c>
      <c r="F50" s="73">
        <v>39.4</v>
      </c>
      <c r="G50" s="73">
        <v>39.4</v>
      </c>
      <c r="H50" s="24">
        <v>39.4</v>
      </c>
      <c r="I50" s="25">
        <v>39.3</v>
      </c>
      <c r="J50" s="25">
        <v>26.5</v>
      </c>
      <c r="K50" s="28" t="e">
        <f>J50/#REF!*100</f>
        <v>#REF!</v>
      </c>
      <c r="L50" s="28">
        <f>J50/H50*100</f>
        <v>67.25888324873097</v>
      </c>
      <c r="M50" s="69"/>
      <c r="N50" s="69"/>
      <c r="O50" s="24">
        <f t="shared" si="2"/>
        <v>67.43002544529263</v>
      </c>
      <c r="P50" s="28">
        <f t="shared" si="3"/>
        <v>33.629441624365484</v>
      </c>
      <c r="Q50" s="25">
        <f t="shared" si="4"/>
        <v>16.825396825396826</v>
      </c>
    </row>
    <row r="51" spans="1:17" ht="15.75" customHeight="1">
      <c r="A51" s="29" t="s">
        <v>12</v>
      </c>
      <c r="B51" s="29"/>
      <c r="C51" s="36" t="s">
        <v>7</v>
      </c>
      <c r="D51" s="73">
        <f t="shared" si="17"/>
        <v>5.6</v>
      </c>
      <c r="E51" s="76">
        <f t="shared" si="18"/>
        <v>5.6</v>
      </c>
      <c r="F51" s="73"/>
      <c r="G51" s="73">
        <v>5.6</v>
      </c>
      <c r="H51" s="24"/>
      <c r="I51" s="25"/>
      <c r="J51" s="25">
        <v>5.6</v>
      </c>
      <c r="K51" s="28" t="e">
        <f>J51/#REF!*100</f>
        <v>#REF!</v>
      </c>
      <c r="L51" s="28"/>
      <c r="M51" s="69"/>
      <c r="N51" s="69"/>
      <c r="O51" s="24" t="e">
        <f t="shared" si="2"/>
        <v>#DIV/0!</v>
      </c>
      <c r="P51" s="28">
        <f>J51*100/E51</f>
        <v>100</v>
      </c>
      <c r="Q51" s="25">
        <f>J51*100/D51</f>
        <v>100</v>
      </c>
    </row>
    <row r="52" spans="1:17" ht="14.25" customHeight="1">
      <c r="A52" s="52" t="s">
        <v>39</v>
      </c>
      <c r="B52" s="40"/>
      <c r="C52" s="23" t="s">
        <v>40</v>
      </c>
      <c r="D52" s="73">
        <f t="shared" si="17"/>
        <v>0</v>
      </c>
      <c r="E52" s="76">
        <f t="shared" si="18"/>
        <v>0</v>
      </c>
      <c r="F52" s="73"/>
      <c r="G52" s="73"/>
      <c r="H52" s="24"/>
      <c r="I52" s="25"/>
      <c r="J52" s="25"/>
      <c r="K52" s="28"/>
      <c r="L52" s="28"/>
      <c r="M52" s="69"/>
      <c r="N52" s="69"/>
      <c r="O52" s="24" t="e">
        <f t="shared" si="2"/>
        <v>#DIV/0!</v>
      </c>
      <c r="P52" s="28"/>
      <c r="Q52" s="25"/>
    </row>
    <row r="53" spans="1:17" ht="12.75">
      <c r="A53" s="45" t="s">
        <v>1</v>
      </c>
      <c r="B53" s="45"/>
      <c r="C53" s="41" t="s">
        <v>0</v>
      </c>
      <c r="D53" s="42">
        <f>D54+D56+D55</f>
        <v>26814.7</v>
      </c>
      <c r="E53" s="42">
        <f aca="true" t="shared" si="19" ref="E53:O53">E54+E56+E55</f>
        <v>13087.1</v>
      </c>
      <c r="F53" s="42">
        <f t="shared" si="19"/>
        <v>6223.400000000001</v>
      </c>
      <c r="G53" s="42">
        <f t="shared" si="19"/>
        <v>6863.7</v>
      </c>
      <c r="H53" s="42">
        <f t="shared" si="19"/>
        <v>6863.8</v>
      </c>
      <c r="I53" s="42">
        <f t="shared" si="19"/>
        <v>6863.8</v>
      </c>
      <c r="J53" s="42">
        <f>J54+J56+J55</f>
        <v>6272.9</v>
      </c>
      <c r="K53" s="42" t="e">
        <f t="shared" si="19"/>
        <v>#REF!</v>
      </c>
      <c r="L53" s="42">
        <f t="shared" si="19"/>
        <v>91.39106617325679</v>
      </c>
      <c r="M53" s="42">
        <f t="shared" si="19"/>
        <v>0.1</v>
      </c>
      <c r="N53" s="42">
        <f t="shared" si="19"/>
        <v>0</v>
      </c>
      <c r="O53" s="42" t="e">
        <f t="shared" si="19"/>
        <v>#DIV/0!</v>
      </c>
      <c r="P53" s="35">
        <f t="shared" si="3"/>
        <v>47.93193297216342</v>
      </c>
      <c r="Q53" s="32">
        <f t="shared" si="4"/>
        <v>23.393511767799005</v>
      </c>
    </row>
    <row r="54" spans="1:17" ht="24">
      <c r="A54" s="21" t="s">
        <v>67</v>
      </c>
      <c r="B54" s="19"/>
      <c r="C54" s="43" t="s">
        <v>20</v>
      </c>
      <c r="D54" s="73">
        <f t="shared" si="17"/>
        <v>26814.7</v>
      </c>
      <c r="E54" s="76">
        <f t="shared" si="18"/>
        <v>13087.1</v>
      </c>
      <c r="F54" s="49">
        <f>6863.8-640.4</f>
        <v>6223.400000000001</v>
      </c>
      <c r="G54" s="49">
        <v>6863.7</v>
      </c>
      <c r="H54" s="24">
        <v>6863.8</v>
      </c>
      <c r="I54" s="24">
        <v>6863.8</v>
      </c>
      <c r="J54" s="25">
        <v>6272.9</v>
      </c>
      <c r="K54" s="28" t="e">
        <f>J54/#REF!*100</f>
        <v>#REF!</v>
      </c>
      <c r="L54" s="28">
        <f>J54/H54*100</f>
        <v>91.39106617325679</v>
      </c>
      <c r="M54" s="69">
        <v>0.1</v>
      </c>
      <c r="N54" s="69"/>
      <c r="O54" s="24">
        <f t="shared" si="2"/>
        <v>91.39106617325679</v>
      </c>
      <c r="P54" s="28">
        <f t="shared" si="3"/>
        <v>47.93193297216342</v>
      </c>
      <c r="Q54" s="25">
        <f t="shared" si="4"/>
        <v>23.393511767799005</v>
      </c>
    </row>
    <row r="55" spans="1:17" ht="15.75" customHeight="1" hidden="1">
      <c r="A55" s="21" t="s">
        <v>2</v>
      </c>
      <c r="B55" s="21"/>
      <c r="C55" s="44" t="s">
        <v>19</v>
      </c>
      <c r="D55" s="73">
        <f>F55+G55+H55+I55</f>
        <v>0</v>
      </c>
      <c r="E55" s="73">
        <f>F55</f>
        <v>0</v>
      </c>
      <c r="F55" s="49"/>
      <c r="G55" s="49"/>
      <c r="H55" s="24"/>
      <c r="I55" s="67"/>
      <c r="J55" s="25"/>
      <c r="K55" s="28"/>
      <c r="L55" s="28"/>
      <c r="M55" s="69"/>
      <c r="N55" s="69"/>
      <c r="O55" s="24"/>
      <c r="P55" s="28" t="e">
        <f t="shared" si="3"/>
        <v>#DIV/0!</v>
      </c>
      <c r="Q55" s="25" t="e">
        <f t="shared" si="4"/>
        <v>#DIV/0!</v>
      </c>
    </row>
    <row r="56" spans="1:17" ht="16.5" customHeight="1" hidden="1">
      <c r="A56" s="21" t="s">
        <v>66</v>
      </c>
      <c r="B56" s="26"/>
      <c r="C56" s="27" t="s">
        <v>63</v>
      </c>
      <c r="D56" s="73">
        <f t="shared" si="17"/>
        <v>0</v>
      </c>
      <c r="E56" s="73">
        <f>F56</f>
        <v>0</v>
      </c>
      <c r="F56" s="77"/>
      <c r="G56" s="77"/>
      <c r="H56" s="24"/>
      <c r="I56" s="67"/>
      <c r="J56" s="25"/>
      <c r="K56" s="28" t="e">
        <f>J56/#REF!*100</f>
        <v>#REF!</v>
      </c>
      <c r="L56" s="28"/>
      <c r="M56" s="69"/>
      <c r="N56" s="69"/>
      <c r="O56" s="24" t="e">
        <f t="shared" si="2"/>
        <v>#DIV/0!</v>
      </c>
      <c r="P56" s="28"/>
      <c r="Q56" s="25"/>
    </row>
    <row r="57" spans="1:17" ht="12.75">
      <c r="A57" s="20"/>
      <c r="B57" s="53"/>
      <c r="C57" s="54" t="s">
        <v>4</v>
      </c>
      <c r="D57" s="55">
        <f aca="true" t="shared" si="20" ref="D57:J57">D53+D44</f>
        <v>42918.6</v>
      </c>
      <c r="E57" s="55">
        <f t="shared" si="20"/>
        <v>21297.2</v>
      </c>
      <c r="F57" s="55">
        <f t="shared" si="20"/>
        <v>10161.6</v>
      </c>
      <c r="G57" s="55">
        <f t="shared" si="20"/>
        <v>11135.599999999999</v>
      </c>
      <c r="H57" s="55">
        <f t="shared" si="20"/>
        <v>10808.1</v>
      </c>
      <c r="I57" s="55">
        <f t="shared" si="20"/>
        <v>10813.3</v>
      </c>
      <c r="J57" s="55">
        <f t="shared" si="20"/>
        <v>10090.699999999999</v>
      </c>
      <c r="K57" s="35" t="e">
        <f>J57/#REF!*100</f>
        <v>#REF!</v>
      </c>
      <c r="L57" s="35">
        <f>J57/H57*100</f>
        <v>93.36238561819374</v>
      </c>
      <c r="M57" s="69"/>
      <c r="N57" s="70" t="e">
        <f>I57+#REF!+#REF!</f>
        <v>#REF!</v>
      </c>
      <c r="O57" s="46">
        <f t="shared" si="2"/>
        <v>93.31748864823874</v>
      </c>
      <c r="P57" s="35">
        <f t="shared" si="3"/>
        <v>47.38040681404127</v>
      </c>
      <c r="Q57" s="32">
        <f t="shared" si="4"/>
        <v>23.51125153196982</v>
      </c>
    </row>
    <row r="58" spans="1:17" ht="12.75">
      <c r="A58" s="85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7"/>
      <c r="M58" s="69"/>
      <c r="N58" s="69"/>
      <c r="O58" s="67"/>
      <c r="P58" s="35"/>
      <c r="Q58" s="32"/>
    </row>
    <row r="59" spans="1:17" ht="12.75">
      <c r="A59" s="88" t="s">
        <v>27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35"/>
      <c r="Q59" s="32"/>
    </row>
    <row r="60" spans="1:17" ht="12.75">
      <c r="A60" s="45" t="s">
        <v>3</v>
      </c>
      <c r="B60" s="45"/>
      <c r="C60" s="68" t="s">
        <v>68</v>
      </c>
      <c r="D60" s="46">
        <f aca="true" t="shared" si="21" ref="D60:J60">D61+D63+D65+D67+D64+D69+D68+D62+D66</f>
        <v>29995</v>
      </c>
      <c r="E60" s="46">
        <f t="shared" si="21"/>
        <v>15228.5</v>
      </c>
      <c r="F60" s="46">
        <f t="shared" si="21"/>
        <v>7887</v>
      </c>
      <c r="G60" s="46">
        <f t="shared" si="21"/>
        <v>7341.5</v>
      </c>
      <c r="H60" s="46">
        <f t="shared" si="21"/>
        <v>6503.4</v>
      </c>
      <c r="I60" s="46">
        <f t="shared" si="21"/>
        <v>8263.099999999999</v>
      </c>
      <c r="J60" s="46">
        <f t="shared" si="21"/>
        <v>14025.699999999999</v>
      </c>
      <c r="K60" s="46" t="e">
        <f>J60/#REF!*100</f>
        <v>#REF!</v>
      </c>
      <c r="L60" s="46">
        <f aca="true" t="shared" si="22" ref="L60:L67">J60/H60*100</f>
        <v>215.66718947012333</v>
      </c>
      <c r="M60" s="71"/>
      <c r="N60" s="71"/>
      <c r="O60" s="46">
        <f t="shared" si="2"/>
        <v>169.73895995449652</v>
      </c>
      <c r="P60" s="35">
        <f t="shared" si="3"/>
        <v>92.10165150868437</v>
      </c>
      <c r="Q60" s="32">
        <f t="shared" si="4"/>
        <v>46.760126687781295</v>
      </c>
    </row>
    <row r="61" spans="1:17" ht="12.75">
      <c r="A61" s="19" t="s">
        <v>23</v>
      </c>
      <c r="B61" s="19"/>
      <c r="C61" s="47" t="s">
        <v>22</v>
      </c>
      <c r="D61" s="73">
        <f>F61+G61+H61+I61</f>
        <v>16400</v>
      </c>
      <c r="E61" s="76">
        <f aca="true" t="shared" si="23" ref="E61:E71">F61+G61</f>
        <v>8781</v>
      </c>
      <c r="F61" s="78">
        <f>4891+33</f>
        <v>4924</v>
      </c>
      <c r="G61" s="78">
        <f>3847+10</f>
        <v>3857</v>
      </c>
      <c r="H61" s="28">
        <f>2896+97.6+1.8</f>
        <v>2995.4</v>
      </c>
      <c r="I61" s="28">
        <f>4616+2.4+5.2</f>
        <v>4623.599999999999</v>
      </c>
      <c r="J61" s="28">
        <v>6338.6</v>
      </c>
      <c r="K61" s="28" t="e">
        <f>J61/#REF!*100</f>
        <v>#REF!</v>
      </c>
      <c r="L61" s="28">
        <f t="shared" si="22"/>
        <v>211.6111370768512</v>
      </c>
      <c r="M61" s="69"/>
      <c r="N61" s="69"/>
      <c r="O61" s="28">
        <f t="shared" si="2"/>
        <v>137.09230902327192</v>
      </c>
      <c r="P61" s="28">
        <f t="shared" si="3"/>
        <v>72.18540029609385</v>
      </c>
      <c r="Q61" s="25">
        <f t="shared" si="4"/>
        <v>38.65</v>
      </c>
    </row>
    <row r="62" spans="1:17" ht="12.75">
      <c r="A62" s="19" t="s">
        <v>8</v>
      </c>
      <c r="B62" s="19"/>
      <c r="C62" s="36" t="s">
        <v>5</v>
      </c>
      <c r="D62" s="73">
        <f aca="true" t="shared" si="24" ref="D62:D72">F62+G62+H62+I62</f>
        <v>35</v>
      </c>
      <c r="E62" s="76">
        <f t="shared" si="23"/>
        <v>34.5</v>
      </c>
      <c r="F62" s="49">
        <v>26</v>
      </c>
      <c r="G62" s="49">
        <v>8.5</v>
      </c>
      <c r="H62" s="24"/>
      <c r="I62" s="24">
        <v>0.5</v>
      </c>
      <c r="J62" s="24">
        <v>31.3</v>
      </c>
      <c r="K62" s="28" t="e">
        <f>J62/#REF!*100</f>
        <v>#REF!</v>
      </c>
      <c r="L62" s="28" t="e">
        <f t="shared" si="22"/>
        <v>#DIV/0!</v>
      </c>
      <c r="M62" s="69"/>
      <c r="N62" s="69"/>
      <c r="O62" s="24">
        <f t="shared" si="2"/>
        <v>6260</v>
      </c>
      <c r="P62" s="28">
        <f t="shared" si="3"/>
        <v>90.72463768115942</v>
      </c>
      <c r="Q62" s="25">
        <f t="shared" si="4"/>
        <v>89.42857142857143</v>
      </c>
    </row>
    <row r="63" spans="1:17" ht="12.75">
      <c r="A63" s="19" t="s">
        <v>9</v>
      </c>
      <c r="B63" s="19"/>
      <c r="C63" s="36" t="s">
        <v>6</v>
      </c>
      <c r="D63" s="73">
        <f t="shared" si="24"/>
        <v>6550</v>
      </c>
      <c r="E63" s="76">
        <f t="shared" si="23"/>
        <v>3451</v>
      </c>
      <c r="F63" s="49">
        <f>156+1105+454</f>
        <v>1715</v>
      </c>
      <c r="G63" s="49">
        <f>0+1505+231</f>
        <v>1736</v>
      </c>
      <c r="H63" s="24">
        <f>592+422+653</f>
        <v>1667</v>
      </c>
      <c r="I63" s="24">
        <f>602+468+362</f>
        <v>1432</v>
      </c>
      <c r="J63" s="24">
        <v>4737.7</v>
      </c>
      <c r="K63" s="28" t="e">
        <f>J63/#REF!*100</f>
        <v>#REF!</v>
      </c>
      <c r="L63" s="28">
        <f t="shared" si="22"/>
        <v>284.2051589682063</v>
      </c>
      <c r="M63" s="69"/>
      <c r="N63" s="69"/>
      <c r="O63" s="24">
        <f t="shared" si="2"/>
        <v>330.8449720670391</v>
      </c>
      <c r="P63" s="28">
        <f t="shared" si="3"/>
        <v>137.28484497247175</v>
      </c>
      <c r="Q63" s="25">
        <f t="shared" si="4"/>
        <v>72.33129770992366</v>
      </c>
    </row>
    <row r="64" spans="1:17" ht="18.75" customHeight="1">
      <c r="A64" s="19" t="s">
        <v>10</v>
      </c>
      <c r="B64" s="19"/>
      <c r="C64" s="36" t="s">
        <v>21</v>
      </c>
      <c r="D64" s="73">
        <f t="shared" si="24"/>
        <v>0</v>
      </c>
      <c r="E64" s="76">
        <f t="shared" si="23"/>
        <v>0</v>
      </c>
      <c r="F64" s="49"/>
      <c r="G64" s="49"/>
      <c r="H64" s="24"/>
      <c r="I64" s="24"/>
      <c r="J64" s="24">
        <v>42.6</v>
      </c>
      <c r="K64" s="28"/>
      <c r="L64" s="28" t="e">
        <f t="shared" si="22"/>
        <v>#DIV/0!</v>
      </c>
      <c r="M64" s="69"/>
      <c r="N64" s="69"/>
      <c r="O64" s="24" t="e">
        <f t="shared" si="2"/>
        <v>#DIV/0!</v>
      </c>
      <c r="P64" s="28"/>
      <c r="Q64" s="25"/>
    </row>
    <row r="65" spans="1:17" ht="24">
      <c r="A65" s="20" t="s">
        <v>11</v>
      </c>
      <c r="B65" s="20"/>
      <c r="C65" s="36" t="s">
        <v>17</v>
      </c>
      <c r="D65" s="73">
        <f t="shared" si="24"/>
        <v>6700</v>
      </c>
      <c r="E65" s="76">
        <f t="shared" si="23"/>
        <v>2714</v>
      </c>
      <c r="F65" s="49">
        <f>1083+32</f>
        <v>1115</v>
      </c>
      <c r="G65" s="49">
        <f>1556+43</f>
        <v>1599</v>
      </c>
      <c r="H65" s="24">
        <f>1710+110</f>
        <v>1820</v>
      </c>
      <c r="I65" s="24">
        <f>2001+165</f>
        <v>2166</v>
      </c>
      <c r="J65" s="24">
        <v>2799.2</v>
      </c>
      <c r="K65" s="28" t="e">
        <f>J65/#REF!*100</f>
        <v>#REF!</v>
      </c>
      <c r="L65" s="28">
        <f t="shared" si="22"/>
        <v>153.80219780219778</v>
      </c>
      <c r="M65" s="69"/>
      <c r="N65" s="69"/>
      <c r="O65" s="24">
        <f t="shared" si="2"/>
        <v>129.23361034164358</v>
      </c>
      <c r="P65" s="28">
        <f t="shared" si="3"/>
        <v>103.13927781871776</v>
      </c>
      <c r="Q65" s="25">
        <f t="shared" si="4"/>
        <v>41.77910447761194</v>
      </c>
    </row>
    <row r="66" spans="1:17" ht="12.75" hidden="1">
      <c r="A66" s="38" t="s">
        <v>42</v>
      </c>
      <c r="B66" s="38"/>
      <c r="C66" s="36" t="s">
        <v>43</v>
      </c>
      <c r="D66" s="73">
        <f t="shared" si="24"/>
        <v>0</v>
      </c>
      <c r="E66" s="76">
        <f t="shared" si="23"/>
        <v>0</v>
      </c>
      <c r="F66" s="49"/>
      <c r="G66" s="49"/>
      <c r="H66" s="24"/>
      <c r="I66" s="24"/>
      <c r="J66" s="24"/>
      <c r="K66" s="28" t="e">
        <f>J66/#REF!*100</f>
        <v>#REF!</v>
      </c>
      <c r="L66" s="28"/>
      <c r="M66" s="69"/>
      <c r="N66" s="69"/>
      <c r="O66" s="24" t="e">
        <f t="shared" si="2"/>
        <v>#DIV/0!</v>
      </c>
      <c r="P66" s="28"/>
      <c r="Q66" s="25"/>
    </row>
    <row r="67" spans="1:17" ht="12.75">
      <c r="A67" s="37" t="s">
        <v>18</v>
      </c>
      <c r="B67" s="37"/>
      <c r="C67" s="36" t="s">
        <v>15</v>
      </c>
      <c r="D67" s="73">
        <f t="shared" si="24"/>
        <v>310</v>
      </c>
      <c r="E67" s="76">
        <f t="shared" si="23"/>
        <v>248</v>
      </c>
      <c r="F67" s="49">
        <v>107</v>
      </c>
      <c r="G67" s="49">
        <v>141</v>
      </c>
      <c r="H67" s="24">
        <v>21</v>
      </c>
      <c r="I67" s="24">
        <v>41</v>
      </c>
      <c r="J67" s="24">
        <v>47.4</v>
      </c>
      <c r="K67" s="28" t="e">
        <f>J67/#REF!*100</f>
        <v>#REF!</v>
      </c>
      <c r="L67" s="28">
        <f t="shared" si="22"/>
        <v>225.71428571428572</v>
      </c>
      <c r="M67" s="69"/>
      <c r="N67" s="69"/>
      <c r="O67" s="24">
        <f t="shared" si="2"/>
        <v>115.60975609756098</v>
      </c>
      <c r="P67" s="28">
        <f t="shared" si="3"/>
        <v>19.112903225806452</v>
      </c>
      <c r="Q67" s="25">
        <f t="shared" si="4"/>
        <v>15.290322580645162</v>
      </c>
    </row>
    <row r="68" spans="1:17" ht="15.75" customHeight="1">
      <c r="A68" s="29" t="s">
        <v>12</v>
      </c>
      <c r="B68" s="29"/>
      <c r="C68" s="36" t="s">
        <v>7</v>
      </c>
      <c r="D68" s="73">
        <f t="shared" si="24"/>
        <v>0</v>
      </c>
      <c r="E68" s="76">
        <f t="shared" si="23"/>
        <v>0</v>
      </c>
      <c r="F68" s="49"/>
      <c r="G68" s="49"/>
      <c r="H68" s="24"/>
      <c r="I68" s="24"/>
      <c r="J68" s="24">
        <v>28.9</v>
      </c>
      <c r="K68" s="28"/>
      <c r="L68" s="28"/>
      <c r="M68" s="69"/>
      <c r="N68" s="69"/>
      <c r="O68" s="24" t="e">
        <f t="shared" si="2"/>
        <v>#DIV/0!</v>
      </c>
      <c r="P68" s="28"/>
      <c r="Q68" s="25"/>
    </row>
    <row r="69" spans="1:17" ht="12.75">
      <c r="A69" s="39" t="s">
        <v>39</v>
      </c>
      <c r="B69" s="40"/>
      <c r="C69" s="23" t="s">
        <v>40</v>
      </c>
      <c r="D69" s="73">
        <f t="shared" si="24"/>
        <v>0</v>
      </c>
      <c r="E69" s="76">
        <f t="shared" si="23"/>
        <v>0</v>
      </c>
      <c r="F69" s="49"/>
      <c r="G69" s="49"/>
      <c r="H69" s="24"/>
      <c r="I69" s="24"/>
      <c r="J69" s="24"/>
      <c r="K69" s="28"/>
      <c r="L69" s="28"/>
      <c r="M69" s="69"/>
      <c r="N69" s="69"/>
      <c r="O69" s="24" t="e">
        <f t="shared" si="2"/>
        <v>#DIV/0!</v>
      </c>
      <c r="P69" s="28"/>
      <c r="Q69" s="25"/>
    </row>
    <row r="70" spans="1:17" ht="12.75">
      <c r="A70" s="33" t="s">
        <v>1</v>
      </c>
      <c r="B70" s="33"/>
      <c r="C70" s="41" t="s">
        <v>0</v>
      </c>
      <c r="D70" s="42">
        <f aca="true" t="shared" si="25" ref="D70:J70">D71+D72</f>
        <v>41862</v>
      </c>
      <c r="E70" s="42">
        <f t="shared" si="25"/>
        <v>19459.1</v>
      </c>
      <c r="F70" s="42">
        <f t="shared" si="25"/>
        <v>6013.700000000001</v>
      </c>
      <c r="G70" s="42">
        <f t="shared" si="25"/>
        <v>13445.4</v>
      </c>
      <c r="H70" s="42">
        <f t="shared" si="25"/>
        <v>12097.6</v>
      </c>
      <c r="I70" s="42">
        <f t="shared" si="25"/>
        <v>10305.3</v>
      </c>
      <c r="J70" s="42">
        <f t="shared" si="25"/>
        <v>10930.5</v>
      </c>
      <c r="K70" s="35" t="e">
        <f>J70/#REF!*100</f>
        <v>#REF!</v>
      </c>
      <c r="L70" s="35">
        <f>J70/H70*100</f>
        <v>90.35263192699378</v>
      </c>
      <c r="M70" s="69"/>
      <c r="N70" s="69"/>
      <c r="O70" s="46">
        <f t="shared" si="2"/>
        <v>106.06678117085384</v>
      </c>
      <c r="P70" s="35">
        <f t="shared" si="3"/>
        <v>56.17166261543443</v>
      </c>
      <c r="Q70" s="32">
        <f t="shared" si="4"/>
        <v>26.110792604271175</v>
      </c>
    </row>
    <row r="71" spans="1:17" ht="23.25" customHeight="1">
      <c r="A71" s="21" t="s">
        <v>67</v>
      </c>
      <c r="B71" s="19"/>
      <c r="C71" s="43" t="s">
        <v>20</v>
      </c>
      <c r="D71" s="73">
        <f t="shared" si="24"/>
        <v>41862</v>
      </c>
      <c r="E71" s="76">
        <f t="shared" si="23"/>
        <v>19459.1</v>
      </c>
      <c r="F71" s="49">
        <f>11292.7-5468.2+189.2</f>
        <v>6013.700000000001</v>
      </c>
      <c r="G71" s="49">
        <f>13441.6+3.8</f>
        <v>13445.4</v>
      </c>
      <c r="H71" s="24">
        <v>12097.6</v>
      </c>
      <c r="I71" s="25">
        <v>10305.3</v>
      </c>
      <c r="J71" s="25">
        <v>10915.5</v>
      </c>
      <c r="K71" s="28" t="e">
        <f>J71/#REF!*100</f>
        <v>#REF!</v>
      </c>
      <c r="L71" s="28">
        <f>J71/H71*100</f>
        <v>90.2286403914826</v>
      </c>
      <c r="M71" s="69"/>
      <c r="N71" s="69"/>
      <c r="O71" s="24">
        <f t="shared" si="2"/>
        <v>105.92122500072779</v>
      </c>
      <c r="P71" s="28">
        <f t="shared" si="3"/>
        <v>56.094577858174326</v>
      </c>
      <c r="Q71" s="25">
        <f t="shared" si="4"/>
        <v>26.07496058477856</v>
      </c>
    </row>
    <row r="72" spans="1:17" ht="17.25" customHeight="1">
      <c r="A72" s="21" t="s">
        <v>2</v>
      </c>
      <c r="B72" s="21"/>
      <c r="C72" s="44" t="s">
        <v>19</v>
      </c>
      <c r="D72" s="73">
        <f t="shared" si="24"/>
        <v>0</v>
      </c>
      <c r="E72" s="73">
        <f>F72</f>
        <v>0</v>
      </c>
      <c r="F72" s="77"/>
      <c r="G72" s="77"/>
      <c r="H72" s="24"/>
      <c r="I72" s="25"/>
      <c r="J72" s="25">
        <v>15</v>
      </c>
      <c r="K72" s="28" t="e">
        <f>J72/#REF!*100</f>
        <v>#REF!</v>
      </c>
      <c r="L72" s="28"/>
      <c r="M72" s="69"/>
      <c r="N72" s="69"/>
      <c r="O72" s="24" t="e">
        <f t="shared" si="2"/>
        <v>#DIV/0!</v>
      </c>
      <c r="P72" s="35"/>
      <c r="Q72" s="32"/>
    </row>
    <row r="73" spans="1:17" ht="12.75">
      <c r="A73" s="29"/>
      <c r="B73" s="30"/>
      <c r="C73" s="31" t="s">
        <v>4</v>
      </c>
      <c r="D73" s="32">
        <f aca="true" t="shared" si="26" ref="D73:K73">D70+D60</f>
        <v>71857</v>
      </c>
      <c r="E73" s="32">
        <f t="shared" si="26"/>
        <v>34687.6</v>
      </c>
      <c r="F73" s="32">
        <f t="shared" si="26"/>
        <v>13900.7</v>
      </c>
      <c r="G73" s="32">
        <f t="shared" si="26"/>
        <v>20786.9</v>
      </c>
      <c r="H73" s="32">
        <f t="shared" si="26"/>
        <v>18601</v>
      </c>
      <c r="I73" s="32">
        <f t="shared" si="26"/>
        <v>18568.399999999998</v>
      </c>
      <c r="J73" s="32">
        <f t="shared" si="26"/>
        <v>24956.199999999997</v>
      </c>
      <c r="K73" s="32" t="e">
        <f t="shared" si="26"/>
        <v>#REF!</v>
      </c>
      <c r="L73" s="35">
        <f>J73/H73*100</f>
        <v>134.1659050588678</v>
      </c>
      <c r="M73" s="69"/>
      <c r="N73" s="70" t="e">
        <f>I73+#REF!+#REF!</f>
        <v>#REF!</v>
      </c>
      <c r="O73" s="46">
        <f t="shared" si="2"/>
        <v>134.40145623747873</v>
      </c>
      <c r="P73" s="35">
        <f t="shared" si="3"/>
        <v>71.94559439107923</v>
      </c>
      <c r="Q73" s="32">
        <f t="shared" si="4"/>
        <v>34.73036725719136</v>
      </c>
    </row>
    <row r="74" spans="1:17" ht="12.75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7"/>
      <c r="M74" s="69"/>
      <c r="N74" s="69"/>
      <c r="O74" s="67"/>
      <c r="P74" s="35"/>
      <c r="Q74" s="32"/>
    </row>
    <row r="75" spans="1:17" ht="12.75">
      <c r="A75" s="88" t="s">
        <v>28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35"/>
      <c r="Q75" s="32"/>
    </row>
    <row r="76" spans="1:17" ht="12.75">
      <c r="A76" s="33" t="s">
        <v>3</v>
      </c>
      <c r="B76" s="33"/>
      <c r="C76" s="34" t="s">
        <v>68</v>
      </c>
      <c r="D76" s="35">
        <f>D77+D78+D79+D80+D81+D82+D83+D84+D85</f>
        <v>23720.8</v>
      </c>
      <c r="E76" s="35">
        <f>E77+E78+E79+E80+E81+E82+E83+E84+E85</f>
        <v>10488.4</v>
      </c>
      <c r="F76" s="35">
        <f>F77+F78+F79+F80+F81+F82+F83+F84+F85</f>
        <v>4476.1</v>
      </c>
      <c r="G76" s="35">
        <f>G77+G78+G79+G80+G81+G82+G83+G84+G85</f>
        <v>6012.3</v>
      </c>
      <c r="H76" s="35">
        <f>H77+H78+H79+H80+H81+H82+H83+H84+H85</f>
        <v>5595.5</v>
      </c>
      <c r="I76" s="35">
        <f>I77+I78+I79+I80+I81+I82+I83+I84+I85+I86</f>
        <v>7636.9</v>
      </c>
      <c r="J76" s="35">
        <f>J77+J78+J79+J80+J81+J82+J83+J84+J85+J86</f>
        <v>8828.000000000002</v>
      </c>
      <c r="K76" s="35" t="e">
        <f>J76/#REF!*100</f>
        <v>#REF!</v>
      </c>
      <c r="L76" s="35">
        <f>J76/H76*100</f>
        <v>157.76963631489593</v>
      </c>
      <c r="M76" s="69"/>
      <c r="N76" s="69"/>
      <c r="O76" s="35">
        <f t="shared" si="2"/>
        <v>115.59664261676862</v>
      </c>
      <c r="P76" s="35">
        <f aca="true" t="shared" si="27" ref="P76:P139">J76*100/E76</f>
        <v>84.16917737691166</v>
      </c>
      <c r="Q76" s="32">
        <f aca="true" t="shared" si="28" ref="Q76:Q139">J76*100/D76</f>
        <v>37.2162827560622</v>
      </c>
    </row>
    <row r="77" spans="1:17" ht="12.75">
      <c r="A77" s="29" t="s">
        <v>23</v>
      </c>
      <c r="B77" s="29"/>
      <c r="C77" s="36" t="s">
        <v>22</v>
      </c>
      <c r="D77" s="73">
        <f>F77+G77+H77+I77</f>
        <v>15700</v>
      </c>
      <c r="E77" s="76">
        <f aca="true" t="shared" si="29" ref="E77:E88">F77+G77</f>
        <v>7222</v>
      </c>
      <c r="F77" s="49">
        <v>3140</v>
      </c>
      <c r="G77" s="49">
        <v>4082</v>
      </c>
      <c r="H77" s="24">
        <v>3611</v>
      </c>
      <c r="I77" s="24">
        <v>4867</v>
      </c>
      <c r="J77" s="25">
        <v>6100.6</v>
      </c>
      <c r="K77" s="28" t="e">
        <f>J77/#REF!*100</f>
        <v>#REF!</v>
      </c>
      <c r="L77" s="28">
        <f>J77/H77*100</f>
        <v>168.94489061201884</v>
      </c>
      <c r="M77" s="69"/>
      <c r="N77" s="69"/>
      <c r="O77" s="24">
        <f aca="true" t="shared" si="30" ref="O77:O143">J77*100/I77</f>
        <v>125.3462091637559</v>
      </c>
      <c r="P77" s="28">
        <f t="shared" si="27"/>
        <v>84.47244530600942</v>
      </c>
      <c r="Q77" s="25">
        <f t="shared" si="28"/>
        <v>38.85732484076433</v>
      </c>
    </row>
    <row r="78" spans="1:17" ht="14.25" customHeight="1" hidden="1">
      <c r="A78" s="19" t="s">
        <v>8</v>
      </c>
      <c r="B78" s="19"/>
      <c r="C78" s="36" t="s">
        <v>5</v>
      </c>
      <c r="D78" s="73">
        <f aca="true" t="shared" si="31" ref="D78:D85">F78+G78+H78+I78</f>
        <v>0</v>
      </c>
      <c r="E78" s="76">
        <f t="shared" si="29"/>
        <v>0</v>
      </c>
      <c r="F78" s="49"/>
      <c r="G78" s="49"/>
      <c r="H78" s="24"/>
      <c r="I78" s="24"/>
      <c r="J78" s="25"/>
      <c r="K78" s="28"/>
      <c r="L78" s="28"/>
      <c r="M78" s="69"/>
      <c r="N78" s="69"/>
      <c r="O78" s="24" t="e">
        <f t="shared" si="30"/>
        <v>#DIV/0!</v>
      </c>
      <c r="P78" s="28"/>
      <c r="Q78" s="25"/>
    </row>
    <row r="79" spans="1:17" ht="12.75">
      <c r="A79" s="19" t="s">
        <v>9</v>
      </c>
      <c r="B79" s="19"/>
      <c r="C79" s="36" t="s">
        <v>6</v>
      </c>
      <c r="D79" s="73">
        <f t="shared" si="31"/>
        <v>1404.3</v>
      </c>
      <c r="E79" s="76">
        <f t="shared" si="29"/>
        <v>580.5</v>
      </c>
      <c r="F79" s="49">
        <f>100.5+60+121.3</f>
        <v>281.8</v>
      </c>
      <c r="G79" s="49">
        <f>130.6+159.1+9</f>
        <v>298.7</v>
      </c>
      <c r="H79" s="24">
        <f>115.5+91.9+110</f>
        <v>317.4</v>
      </c>
      <c r="I79" s="24">
        <f>155.7+189+161.7</f>
        <v>506.4</v>
      </c>
      <c r="J79" s="25">
        <v>921.1</v>
      </c>
      <c r="K79" s="28" t="e">
        <f>J79/#REF!*100</f>
        <v>#REF!</v>
      </c>
      <c r="L79" s="28">
        <f>J79/H79*100</f>
        <v>290.20163831127917</v>
      </c>
      <c r="M79" s="69"/>
      <c r="N79" s="69"/>
      <c r="O79" s="24">
        <f t="shared" si="30"/>
        <v>181.891785150079</v>
      </c>
      <c r="P79" s="28">
        <f t="shared" si="27"/>
        <v>158.67355727820845</v>
      </c>
      <c r="Q79" s="25">
        <f t="shared" si="28"/>
        <v>65.59139784946237</v>
      </c>
    </row>
    <row r="80" spans="1:17" ht="12.75" hidden="1">
      <c r="A80" s="19" t="s">
        <v>10</v>
      </c>
      <c r="B80" s="19"/>
      <c r="C80" s="36" t="s">
        <v>21</v>
      </c>
      <c r="D80" s="73">
        <f t="shared" si="31"/>
        <v>0</v>
      </c>
      <c r="E80" s="76">
        <f t="shared" si="29"/>
        <v>0</v>
      </c>
      <c r="F80" s="49"/>
      <c r="G80" s="49"/>
      <c r="H80" s="24"/>
      <c r="I80" s="24"/>
      <c r="J80" s="25"/>
      <c r="K80" s="28"/>
      <c r="L80" s="28"/>
      <c r="M80" s="69"/>
      <c r="N80" s="69"/>
      <c r="O80" s="24" t="e">
        <f t="shared" si="30"/>
        <v>#DIV/0!</v>
      </c>
      <c r="P80" s="28" t="e">
        <f t="shared" si="27"/>
        <v>#DIV/0!</v>
      </c>
      <c r="Q80" s="25" t="e">
        <f t="shared" si="28"/>
        <v>#DIV/0!</v>
      </c>
    </row>
    <row r="81" spans="1:17" ht="24">
      <c r="A81" s="20" t="s">
        <v>11</v>
      </c>
      <c r="B81" s="20"/>
      <c r="C81" s="36" t="s">
        <v>17</v>
      </c>
      <c r="D81" s="73">
        <f t="shared" si="31"/>
        <v>6035</v>
      </c>
      <c r="E81" s="76">
        <f t="shared" si="29"/>
        <v>2385</v>
      </c>
      <c r="F81" s="49">
        <f>635+250</f>
        <v>885</v>
      </c>
      <c r="G81" s="49">
        <f>900+600</f>
        <v>1500</v>
      </c>
      <c r="H81" s="24">
        <f>1000+600</f>
        <v>1600</v>
      </c>
      <c r="I81" s="24">
        <f>1200+850</f>
        <v>2050</v>
      </c>
      <c r="J81" s="25">
        <v>1730.3</v>
      </c>
      <c r="K81" s="28" t="e">
        <f>J81/#REF!*100</f>
        <v>#REF!</v>
      </c>
      <c r="L81" s="28">
        <f>J81/H81*100</f>
        <v>108.14375000000001</v>
      </c>
      <c r="M81" s="69"/>
      <c r="N81" s="69"/>
      <c r="O81" s="24">
        <f t="shared" si="30"/>
        <v>84.40487804878049</v>
      </c>
      <c r="P81" s="28">
        <f t="shared" si="27"/>
        <v>72.54926624737945</v>
      </c>
      <c r="Q81" s="25">
        <f t="shared" si="28"/>
        <v>28.671085335542667</v>
      </c>
    </row>
    <row r="82" spans="1:17" ht="12.75">
      <c r="A82" s="38" t="s">
        <v>42</v>
      </c>
      <c r="B82" s="38"/>
      <c r="C82" s="36" t="s">
        <v>43</v>
      </c>
      <c r="D82" s="73">
        <f t="shared" si="31"/>
        <v>479</v>
      </c>
      <c r="E82" s="76">
        <f t="shared" si="29"/>
        <v>249.9</v>
      </c>
      <c r="F82" s="49">
        <v>144.3</v>
      </c>
      <c r="G82" s="49">
        <v>105.6</v>
      </c>
      <c r="H82" s="24">
        <v>41.1</v>
      </c>
      <c r="I82" s="24">
        <v>188</v>
      </c>
      <c r="J82" s="25">
        <v>168.7</v>
      </c>
      <c r="K82" s="28" t="e">
        <f>J82/#REF!*100</f>
        <v>#REF!</v>
      </c>
      <c r="L82" s="28">
        <f>J82/H82*100</f>
        <v>410.4622871046228</v>
      </c>
      <c r="M82" s="69"/>
      <c r="N82" s="69"/>
      <c r="O82" s="24">
        <f t="shared" si="30"/>
        <v>89.73404255319149</v>
      </c>
      <c r="P82" s="28">
        <f t="shared" si="27"/>
        <v>67.50700280112045</v>
      </c>
      <c r="Q82" s="25">
        <f t="shared" si="28"/>
        <v>35.21920668058455</v>
      </c>
    </row>
    <row r="83" spans="1:17" ht="12.75">
      <c r="A83" s="37" t="s">
        <v>18</v>
      </c>
      <c r="B83" s="37"/>
      <c r="C83" s="36" t="s">
        <v>15</v>
      </c>
      <c r="D83" s="73">
        <f t="shared" si="31"/>
        <v>102.5</v>
      </c>
      <c r="E83" s="76">
        <f t="shared" si="29"/>
        <v>51</v>
      </c>
      <c r="F83" s="49">
        <v>25</v>
      </c>
      <c r="G83" s="49">
        <v>26</v>
      </c>
      <c r="H83" s="24">
        <v>26</v>
      </c>
      <c r="I83" s="24">
        <v>25.5</v>
      </c>
      <c r="J83" s="25">
        <v>106.7</v>
      </c>
      <c r="K83" s="28" t="e">
        <f>J83/#REF!*100</f>
        <v>#REF!</v>
      </c>
      <c r="L83" s="28">
        <f>J83/H83*100</f>
        <v>410.3846153846154</v>
      </c>
      <c r="M83" s="69"/>
      <c r="N83" s="69"/>
      <c r="O83" s="24">
        <f t="shared" si="30"/>
        <v>418.4313725490196</v>
      </c>
      <c r="P83" s="28">
        <f t="shared" si="27"/>
        <v>209.2156862745098</v>
      </c>
      <c r="Q83" s="25">
        <f t="shared" si="28"/>
        <v>104.09756097560975</v>
      </c>
    </row>
    <row r="84" spans="1:17" ht="12" customHeight="1" hidden="1">
      <c r="A84" s="29" t="s">
        <v>12</v>
      </c>
      <c r="B84" s="29"/>
      <c r="C84" s="36" t="s">
        <v>7</v>
      </c>
      <c r="D84" s="73">
        <f t="shared" si="31"/>
        <v>0</v>
      </c>
      <c r="E84" s="76">
        <f t="shared" si="29"/>
        <v>0</v>
      </c>
      <c r="F84" s="49"/>
      <c r="G84" s="49"/>
      <c r="H84" s="24"/>
      <c r="I84" s="24"/>
      <c r="J84" s="25"/>
      <c r="K84" s="35"/>
      <c r="L84" s="35"/>
      <c r="M84" s="69"/>
      <c r="N84" s="69"/>
      <c r="O84" s="24" t="e">
        <f t="shared" si="30"/>
        <v>#DIV/0!</v>
      </c>
      <c r="P84" s="28"/>
      <c r="Q84" s="25"/>
    </row>
    <row r="85" spans="1:17" ht="12.75">
      <c r="A85" s="39" t="s">
        <v>39</v>
      </c>
      <c r="B85" s="40"/>
      <c r="C85" s="23" t="s">
        <v>40</v>
      </c>
      <c r="D85" s="73">
        <f t="shared" si="31"/>
        <v>0</v>
      </c>
      <c r="E85" s="76">
        <f t="shared" si="29"/>
        <v>0</v>
      </c>
      <c r="F85" s="49"/>
      <c r="G85" s="49"/>
      <c r="H85" s="24"/>
      <c r="I85" s="24"/>
      <c r="J85" s="25">
        <v>-199.4</v>
      </c>
      <c r="K85" s="35"/>
      <c r="L85" s="35"/>
      <c r="M85" s="69"/>
      <c r="N85" s="69"/>
      <c r="O85" s="24" t="e">
        <f t="shared" si="30"/>
        <v>#DIV/0!</v>
      </c>
      <c r="P85" s="28"/>
      <c r="Q85" s="25"/>
    </row>
    <row r="86" spans="1:17" ht="12.75" hidden="1">
      <c r="A86" s="39" t="s">
        <v>44</v>
      </c>
      <c r="B86" s="40"/>
      <c r="C86" s="23" t="s">
        <v>45</v>
      </c>
      <c r="D86" s="23"/>
      <c r="E86" s="76">
        <f t="shared" si="29"/>
        <v>0</v>
      </c>
      <c r="F86" s="49"/>
      <c r="G86" s="49"/>
      <c r="H86" s="24" t="e">
        <f>I86+#REF!+#REF!+#REF!</f>
        <v>#REF!</v>
      </c>
      <c r="I86" s="24"/>
      <c r="J86" s="25"/>
      <c r="K86" s="35"/>
      <c r="L86" s="35"/>
      <c r="M86" s="69"/>
      <c r="N86" s="69"/>
      <c r="O86" s="24" t="e">
        <f t="shared" si="30"/>
        <v>#DIV/0!</v>
      </c>
      <c r="P86" s="35" t="e">
        <f t="shared" si="27"/>
        <v>#DIV/0!</v>
      </c>
      <c r="Q86" s="32" t="e">
        <f t="shared" si="28"/>
        <v>#DIV/0!</v>
      </c>
    </row>
    <row r="87" spans="1:17" ht="12.75">
      <c r="A87" s="33" t="s">
        <v>1</v>
      </c>
      <c r="B87" s="33"/>
      <c r="C87" s="41" t="s">
        <v>0</v>
      </c>
      <c r="D87" s="42">
        <f aca="true" t="shared" si="32" ref="D87:J87">D88+D89</f>
        <v>70448.70000000001</v>
      </c>
      <c r="E87" s="79">
        <f t="shared" si="32"/>
        <v>33716.3</v>
      </c>
      <c r="F87" s="42">
        <f t="shared" si="32"/>
        <v>13676.2</v>
      </c>
      <c r="G87" s="42">
        <f t="shared" si="32"/>
        <v>20040.1</v>
      </c>
      <c r="H87" s="42">
        <f t="shared" si="32"/>
        <v>24368.3</v>
      </c>
      <c r="I87" s="42">
        <f t="shared" si="32"/>
        <v>12364.1</v>
      </c>
      <c r="J87" s="42">
        <f t="shared" si="32"/>
        <v>20517</v>
      </c>
      <c r="K87" s="35" t="e">
        <f>J87/#REF!*100</f>
        <v>#REF!</v>
      </c>
      <c r="L87" s="35">
        <f>J87/H87*100</f>
        <v>84.19545064694705</v>
      </c>
      <c r="M87" s="69"/>
      <c r="N87" s="69"/>
      <c r="O87" s="46">
        <f t="shared" si="30"/>
        <v>165.9401007756327</v>
      </c>
      <c r="P87" s="35">
        <f t="shared" si="27"/>
        <v>60.85187283302141</v>
      </c>
      <c r="Q87" s="32">
        <f t="shared" si="28"/>
        <v>29.123319521864843</v>
      </c>
    </row>
    <row r="88" spans="1:17" ht="24">
      <c r="A88" s="21" t="s">
        <v>67</v>
      </c>
      <c r="B88" s="19"/>
      <c r="C88" s="43" t="s">
        <v>20</v>
      </c>
      <c r="D88" s="73">
        <f>F88+G88+H88+I88</f>
        <v>70448.70000000001</v>
      </c>
      <c r="E88" s="76">
        <f t="shared" si="29"/>
        <v>33716.3</v>
      </c>
      <c r="F88" s="49">
        <f>12292+1384.2</f>
        <v>13676.2</v>
      </c>
      <c r="G88" s="49">
        <f>20023+17.1</f>
        <v>20040.1</v>
      </c>
      <c r="H88" s="24">
        <v>24368.3</v>
      </c>
      <c r="I88" s="24">
        <v>12364.1</v>
      </c>
      <c r="J88" s="25">
        <v>20517</v>
      </c>
      <c r="K88" s="28" t="e">
        <f>J88/#REF!*100</f>
        <v>#REF!</v>
      </c>
      <c r="L88" s="28">
        <f>J88/H88*100</f>
        <v>84.19545064694705</v>
      </c>
      <c r="M88" s="69"/>
      <c r="N88" s="69"/>
      <c r="O88" s="24">
        <f t="shared" si="30"/>
        <v>165.9401007756327</v>
      </c>
      <c r="P88" s="28">
        <f t="shared" si="27"/>
        <v>60.85187283302141</v>
      </c>
      <c r="Q88" s="25">
        <f t="shared" si="28"/>
        <v>29.123319521864843</v>
      </c>
    </row>
    <row r="89" spans="1:17" ht="14.25" customHeight="1" hidden="1">
      <c r="A89" s="21" t="s">
        <v>2</v>
      </c>
      <c r="B89" s="21"/>
      <c r="C89" s="44" t="s">
        <v>19</v>
      </c>
      <c r="D89" s="73">
        <f>F89+G89+H89+I89</f>
        <v>0</v>
      </c>
      <c r="E89" s="73">
        <f>F89</f>
        <v>0</v>
      </c>
      <c r="F89" s="80"/>
      <c r="G89" s="80"/>
      <c r="H89" s="24"/>
      <c r="I89" s="24"/>
      <c r="J89" s="25"/>
      <c r="K89" s="28" t="e">
        <f>J89/#REF!*100</f>
        <v>#REF!</v>
      </c>
      <c r="L89" s="28"/>
      <c r="M89" s="69"/>
      <c r="N89" s="69"/>
      <c r="O89" s="24" t="e">
        <f t="shared" si="30"/>
        <v>#DIV/0!</v>
      </c>
      <c r="P89" s="28" t="e">
        <f>J89*100/E89</f>
        <v>#DIV/0!</v>
      </c>
      <c r="Q89" s="25" t="e">
        <f>J89*100/D89</f>
        <v>#DIV/0!</v>
      </c>
    </row>
    <row r="90" spans="1:17" ht="12.75">
      <c r="A90" s="29"/>
      <c r="B90" s="30"/>
      <c r="C90" s="31" t="s">
        <v>4</v>
      </c>
      <c r="D90" s="32">
        <f aca="true" t="shared" si="33" ref="D90:J90">D87+D76</f>
        <v>94169.50000000001</v>
      </c>
      <c r="E90" s="32">
        <f t="shared" si="33"/>
        <v>44204.700000000004</v>
      </c>
      <c r="F90" s="32">
        <f t="shared" si="33"/>
        <v>18152.300000000003</v>
      </c>
      <c r="G90" s="32">
        <f t="shared" si="33"/>
        <v>26052.399999999998</v>
      </c>
      <c r="H90" s="32">
        <f t="shared" si="33"/>
        <v>29963.8</v>
      </c>
      <c r="I90" s="32">
        <f t="shared" si="33"/>
        <v>20001</v>
      </c>
      <c r="J90" s="32">
        <f t="shared" si="33"/>
        <v>29345</v>
      </c>
      <c r="K90" s="35" t="e">
        <f>J90/#REF!*100</f>
        <v>#REF!</v>
      </c>
      <c r="L90" s="35">
        <f>J90/H90*100</f>
        <v>97.93484137525948</v>
      </c>
      <c r="M90" s="69"/>
      <c r="N90" s="70" t="e">
        <f>I90+#REF!+#REF!</f>
        <v>#REF!</v>
      </c>
      <c r="O90" s="46">
        <f t="shared" si="30"/>
        <v>146.71766411679417</v>
      </c>
      <c r="P90" s="35">
        <f t="shared" si="27"/>
        <v>66.38434374625322</v>
      </c>
      <c r="Q90" s="32">
        <f t="shared" si="28"/>
        <v>31.161894243890004</v>
      </c>
    </row>
    <row r="91" spans="1:17" ht="12.75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7"/>
      <c r="M91" s="69"/>
      <c r="N91" s="69"/>
      <c r="O91" s="67"/>
      <c r="P91" s="35"/>
      <c r="Q91" s="32"/>
    </row>
    <row r="92" spans="1:17" ht="12.75">
      <c r="A92" s="88" t="s">
        <v>29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35"/>
      <c r="Q92" s="32"/>
    </row>
    <row r="93" spans="1:17" ht="12.75">
      <c r="A93" s="33" t="s">
        <v>3</v>
      </c>
      <c r="B93" s="33"/>
      <c r="C93" s="34" t="s">
        <v>68</v>
      </c>
      <c r="D93" s="35">
        <f>D94+D96+D100+D97+D98+D101+D99+D95</f>
        <v>3030</v>
      </c>
      <c r="E93" s="35">
        <f aca="true" t="shared" si="34" ref="E93:J93">E94+E96+E100+E97+E98+E101+E99+E95</f>
        <v>1511.7</v>
      </c>
      <c r="F93" s="35">
        <f t="shared" si="34"/>
        <v>753.4000000000001</v>
      </c>
      <c r="G93" s="35">
        <f t="shared" si="34"/>
        <v>758.3</v>
      </c>
      <c r="H93" s="35">
        <f t="shared" si="34"/>
        <v>756.2</v>
      </c>
      <c r="I93" s="35">
        <f t="shared" si="34"/>
        <v>762.0999999999999</v>
      </c>
      <c r="J93" s="35">
        <f t="shared" si="34"/>
        <v>379.29999999999995</v>
      </c>
      <c r="K93" s="35" t="e">
        <f>J93/#REF!*100</f>
        <v>#REF!</v>
      </c>
      <c r="L93" s="35">
        <f>J93/H93*100</f>
        <v>50.158688177730745</v>
      </c>
      <c r="M93" s="69"/>
      <c r="N93" s="69"/>
      <c r="O93" s="35">
        <f t="shared" si="30"/>
        <v>49.77037134234352</v>
      </c>
      <c r="P93" s="35">
        <f t="shared" si="27"/>
        <v>25.09095720050274</v>
      </c>
      <c r="Q93" s="32">
        <f t="shared" si="28"/>
        <v>12.518151815181517</v>
      </c>
    </row>
    <row r="94" spans="1:17" ht="12.75">
      <c r="A94" s="29" t="s">
        <v>23</v>
      </c>
      <c r="B94" s="29"/>
      <c r="C94" s="36" t="s">
        <v>22</v>
      </c>
      <c r="D94" s="73">
        <f>F94+G94+H94+I94</f>
        <v>2950</v>
      </c>
      <c r="E94" s="76">
        <f aca="true" t="shared" si="35" ref="E94:E103">F94+G94</f>
        <v>1469.2</v>
      </c>
      <c r="F94" s="49">
        <v>731.7</v>
      </c>
      <c r="G94" s="49">
        <v>737.5</v>
      </c>
      <c r="H94" s="24">
        <v>737.5</v>
      </c>
      <c r="I94" s="25">
        <v>743.3</v>
      </c>
      <c r="J94" s="25">
        <v>330.9</v>
      </c>
      <c r="K94" s="28"/>
      <c r="L94" s="28">
        <f>J94/H94*100</f>
        <v>44.867796610169485</v>
      </c>
      <c r="M94" s="70"/>
      <c r="N94" s="69"/>
      <c r="O94" s="24">
        <f t="shared" si="30"/>
        <v>44.517691376294906</v>
      </c>
      <c r="P94" s="28">
        <f t="shared" si="27"/>
        <v>22.522461203375986</v>
      </c>
      <c r="Q94" s="25">
        <f t="shared" si="28"/>
        <v>11.216949152542373</v>
      </c>
    </row>
    <row r="95" spans="1:17" ht="12.75">
      <c r="A95" s="19" t="s">
        <v>8</v>
      </c>
      <c r="B95" s="19"/>
      <c r="C95" s="36" t="s">
        <v>5</v>
      </c>
      <c r="D95" s="73">
        <f>F95+G95+H95+I95</f>
        <v>3</v>
      </c>
      <c r="E95" s="76">
        <f t="shared" si="35"/>
        <v>3</v>
      </c>
      <c r="F95" s="49">
        <v>3</v>
      </c>
      <c r="G95" s="49"/>
      <c r="H95" s="24"/>
      <c r="I95" s="25"/>
      <c r="J95" s="25"/>
      <c r="K95" s="28"/>
      <c r="L95" s="28"/>
      <c r="M95" s="70"/>
      <c r="N95" s="69"/>
      <c r="O95" s="24"/>
      <c r="P95" s="28">
        <f>J95*100/E95</f>
        <v>0</v>
      </c>
      <c r="Q95" s="25">
        <f>J95*100/D95</f>
        <v>0</v>
      </c>
    </row>
    <row r="96" spans="1:17" ht="12.75">
      <c r="A96" s="19" t="s">
        <v>9</v>
      </c>
      <c r="B96" s="19"/>
      <c r="C96" s="36" t="s">
        <v>6</v>
      </c>
      <c r="D96" s="73">
        <f aca="true" t="shared" si="36" ref="D96:D104">F96+G96+H96+I96</f>
        <v>28</v>
      </c>
      <c r="E96" s="76">
        <f t="shared" si="35"/>
        <v>16</v>
      </c>
      <c r="F96" s="49">
        <f>3+3+2</f>
        <v>8</v>
      </c>
      <c r="G96" s="49">
        <f>3+5</f>
        <v>8</v>
      </c>
      <c r="H96" s="24">
        <f>3+3</f>
        <v>6</v>
      </c>
      <c r="I96" s="25">
        <f>3+3</f>
        <v>6</v>
      </c>
      <c r="J96" s="25">
        <v>4.9</v>
      </c>
      <c r="K96" s="28"/>
      <c r="L96" s="28">
        <f aca="true" t="shared" si="37" ref="L96:L103">J96/H96*100</f>
        <v>81.66666666666667</v>
      </c>
      <c r="M96" s="70"/>
      <c r="N96" s="69"/>
      <c r="O96" s="24">
        <f t="shared" si="30"/>
        <v>81.66666666666667</v>
      </c>
      <c r="P96" s="28">
        <f t="shared" si="27"/>
        <v>30.625000000000004</v>
      </c>
      <c r="Q96" s="25">
        <f t="shared" si="28"/>
        <v>17.500000000000004</v>
      </c>
    </row>
    <row r="97" spans="1:17" ht="12.75">
      <c r="A97" s="19" t="s">
        <v>10</v>
      </c>
      <c r="B97" s="19"/>
      <c r="C97" s="36" t="s">
        <v>21</v>
      </c>
      <c r="D97" s="73">
        <f t="shared" si="36"/>
        <v>10</v>
      </c>
      <c r="E97" s="76">
        <f t="shared" si="35"/>
        <v>4</v>
      </c>
      <c r="F97" s="49">
        <v>1</v>
      </c>
      <c r="G97" s="49">
        <v>3</v>
      </c>
      <c r="H97" s="24">
        <v>3</v>
      </c>
      <c r="I97" s="25">
        <v>3</v>
      </c>
      <c r="J97" s="25">
        <v>1.9</v>
      </c>
      <c r="K97" s="28"/>
      <c r="L97" s="28">
        <f t="shared" si="37"/>
        <v>63.33333333333333</v>
      </c>
      <c r="M97" s="69"/>
      <c r="N97" s="69"/>
      <c r="O97" s="24">
        <f t="shared" si="30"/>
        <v>63.333333333333336</v>
      </c>
      <c r="P97" s="28">
        <f t="shared" si="27"/>
        <v>47.5</v>
      </c>
      <c r="Q97" s="25">
        <f t="shared" si="28"/>
        <v>19</v>
      </c>
    </row>
    <row r="98" spans="1:17" ht="24">
      <c r="A98" s="20" t="s">
        <v>11</v>
      </c>
      <c r="B98" s="20"/>
      <c r="C98" s="36" t="s">
        <v>17</v>
      </c>
      <c r="D98" s="73">
        <f t="shared" si="36"/>
        <v>12</v>
      </c>
      <c r="E98" s="76">
        <f t="shared" si="35"/>
        <v>6</v>
      </c>
      <c r="F98" s="49">
        <v>3</v>
      </c>
      <c r="G98" s="49">
        <v>3</v>
      </c>
      <c r="H98" s="24">
        <v>3</v>
      </c>
      <c r="I98" s="25">
        <v>3</v>
      </c>
      <c r="J98" s="25">
        <v>2.3</v>
      </c>
      <c r="K98" s="28"/>
      <c r="L98" s="28">
        <f t="shared" si="37"/>
        <v>76.66666666666666</v>
      </c>
      <c r="M98" s="69"/>
      <c r="N98" s="69"/>
      <c r="O98" s="24">
        <f t="shared" si="30"/>
        <v>76.66666666666666</v>
      </c>
      <c r="P98" s="28">
        <f t="shared" si="27"/>
        <v>38.33333333333333</v>
      </c>
      <c r="Q98" s="25">
        <f t="shared" si="28"/>
        <v>19.166666666666664</v>
      </c>
    </row>
    <row r="99" spans="1:17" ht="12.75">
      <c r="A99" s="38" t="s">
        <v>42</v>
      </c>
      <c r="B99" s="38"/>
      <c r="C99" s="36" t="s">
        <v>43</v>
      </c>
      <c r="D99" s="73">
        <f t="shared" si="36"/>
        <v>27</v>
      </c>
      <c r="E99" s="76">
        <f t="shared" si="35"/>
        <v>13.5</v>
      </c>
      <c r="F99" s="49">
        <v>6.7</v>
      </c>
      <c r="G99" s="49">
        <v>6.8</v>
      </c>
      <c r="H99" s="24">
        <v>6.7</v>
      </c>
      <c r="I99" s="25">
        <v>6.8</v>
      </c>
      <c r="J99" s="25">
        <v>39.3</v>
      </c>
      <c r="K99" s="28"/>
      <c r="L99" s="28">
        <f t="shared" si="37"/>
        <v>586.5671641791045</v>
      </c>
      <c r="M99" s="69"/>
      <c r="N99" s="69"/>
      <c r="O99" s="24">
        <f t="shared" si="30"/>
        <v>577.9411764705882</v>
      </c>
      <c r="P99" s="28">
        <f t="shared" si="27"/>
        <v>291.1111111111111</v>
      </c>
      <c r="Q99" s="25">
        <f t="shared" si="28"/>
        <v>145.55555555555554</v>
      </c>
    </row>
    <row r="100" spans="1:17" ht="12.75" hidden="1">
      <c r="A100" s="38" t="s">
        <v>18</v>
      </c>
      <c r="B100" s="38"/>
      <c r="C100" s="36" t="s">
        <v>15</v>
      </c>
      <c r="D100" s="73">
        <f t="shared" si="36"/>
        <v>0</v>
      </c>
      <c r="E100" s="76">
        <f t="shared" si="35"/>
        <v>0</v>
      </c>
      <c r="F100" s="49"/>
      <c r="G100" s="49"/>
      <c r="H100" s="24"/>
      <c r="I100" s="25"/>
      <c r="J100" s="25"/>
      <c r="K100" s="28"/>
      <c r="L100" s="28" t="e">
        <f t="shared" si="37"/>
        <v>#DIV/0!</v>
      </c>
      <c r="M100" s="69"/>
      <c r="N100" s="69"/>
      <c r="O100" s="24" t="e">
        <f t="shared" si="30"/>
        <v>#DIV/0!</v>
      </c>
      <c r="P100" s="28"/>
      <c r="Q100" s="25"/>
    </row>
    <row r="101" spans="1:17" ht="16.5" customHeight="1">
      <c r="A101" s="38" t="s">
        <v>39</v>
      </c>
      <c r="B101" s="56"/>
      <c r="C101" s="23" t="s">
        <v>40</v>
      </c>
      <c r="D101" s="73">
        <f t="shared" si="36"/>
        <v>0</v>
      </c>
      <c r="E101" s="76">
        <f t="shared" si="35"/>
        <v>0</v>
      </c>
      <c r="F101" s="49"/>
      <c r="G101" s="49"/>
      <c r="H101" s="24"/>
      <c r="I101" s="25"/>
      <c r="J101" s="25"/>
      <c r="K101" s="35"/>
      <c r="L101" s="28" t="e">
        <f t="shared" si="37"/>
        <v>#DIV/0!</v>
      </c>
      <c r="M101" s="69"/>
      <c r="N101" s="69"/>
      <c r="O101" s="24" t="e">
        <f t="shared" si="30"/>
        <v>#DIV/0!</v>
      </c>
      <c r="P101" s="35"/>
      <c r="Q101" s="32"/>
    </row>
    <row r="102" spans="1:17" ht="12.75">
      <c r="A102" s="45" t="s">
        <v>1</v>
      </c>
      <c r="B102" s="45"/>
      <c r="C102" s="41" t="s">
        <v>0</v>
      </c>
      <c r="D102" s="42">
        <f aca="true" t="shared" si="38" ref="D102:K102">D103+D104</f>
        <v>29820.7</v>
      </c>
      <c r="E102" s="42">
        <f t="shared" si="38"/>
        <v>17229.4</v>
      </c>
      <c r="F102" s="42">
        <f t="shared" si="38"/>
        <v>9846</v>
      </c>
      <c r="G102" s="42">
        <f t="shared" si="38"/>
        <v>7383.400000000001</v>
      </c>
      <c r="H102" s="42">
        <f t="shared" si="38"/>
        <v>6295.6</v>
      </c>
      <c r="I102" s="42">
        <f t="shared" si="38"/>
        <v>6295.7</v>
      </c>
      <c r="J102" s="42">
        <f t="shared" si="38"/>
        <v>13612.7</v>
      </c>
      <c r="K102" s="42">
        <f t="shared" si="38"/>
        <v>0</v>
      </c>
      <c r="L102" s="35">
        <f>J102/H102*100</f>
        <v>216.225617891861</v>
      </c>
      <c r="M102" s="69"/>
      <c r="N102" s="69"/>
      <c r="O102" s="46">
        <f t="shared" si="30"/>
        <v>216.22218339501566</v>
      </c>
      <c r="P102" s="35">
        <f t="shared" si="27"/>
        <v>79.00855514411413</v>
      </c>
      <c r="Q102" s="32">
        <f t="shared" si="28"/>
        <v>45.64849249011593</v>
      </c>
    </row>
    <row r="103" spans="1:17" ht="24">
      <c r="A103" s="21" t="s">
        <v>67</v>
      </c>
      <c r="B103" s="19"/>
      <c r="C103" s="43" t="s">
        <v>20</v>
      </c>
      <c r="D103" s="73">
        <f t="shared" si="36"/>
        <v>28820.7</v>
      </c>
      <c r="E103" s="76">
        <f t="shared" si="35"/>
        <v>16229.400000000001</v>
      </c>
      <c r="F103" s="49">
        <f>6472.9+3293.3+79.8</f>
        <v>9846</v>
      </c>
      <c r="G103" s="49">
        <f>6295.6+87.8</f>
        <v>6383.400000000001</v>
      </c>
      <c r="H103" s="24">
        <v>6295.6</v>
      </c>
      <c r="I103" s="25">
        <v>6295.7</v>
      </c>
      <c r="J103" s="25">
        <v>12612.7</v>
      </c>
      <c r="K103" s="28"/>
      <c r="L103" s="28">
        <f t="shared" si="37"/>
        <v>200.34150835504164</v>
      </c>
      <c r="M103" s="69"/>
      <c r="N103" s="69"/>
      <c r="O103" s="24">
        <f t="shared" si="30"/>
        <v>200.33832615912448</v>
      </c>
      <c r="P103" s="28">
        <f t="shared" si="27"/>
        <v>77.71513426251124</v>
      </c>
      <c r="Q103" s="25">
        <f t="shared" si="28"/>
        <v>43.76264282269341</v>
      </c>
    </row>
    <row r="104" spans="1:17" ht="17.25" customHeight="1">
      <c r="A104" s="21" t="s">
        <v>2</v>
      </c>
      <c r="B104" s="21"/>
      <c r="C104" s="44" t="s">
        <v>19</v>
      </c>
      <c r="D104" s="73">
        <f t="shared" si="36"/>
        <v>1000</v>
      </c>
      <c r="E104" s="73">
        <f>F104+G104</f>
        <v>1000</v>
      </c>
      <c r="F104" s="80"/>
      <c r="G104" s="80">
        <v>1000</v>
      </c>
      <c r="H104" s="24"/>
      <c r="I104" s="25"/>
      <c r="J104" s="25">
        <v>1000</v>
      </c>
      <c r="K104" s="28"/>
      <c r="L104" s="28"/>
      <c r="M104" s="69"/>
      <c r="N104" s="69"/>
      <c r="O104" s="24" t="e">
        <f t="shared" si="30"/>
        <v>#DIV/0!</v>
      </c>
      <c r="P104" s="28">
        <f>J104*100/E104</f>
        <v>100</v>
      </c>
      <c r="Q104" s="25">
        <f>J104*100/D104</f>
        <v>100</v>
      </c>
    </row>
    <row r="105" spans="1:17" ht="12.75">
      <c r="A105" s="29"/>
      <c r="B105" s="30"/>
      <c r="C105" s="31" t="s">
        <v>4</v>
      </c>
      <c r="D105" s="32">
        <f aca="true" t="shared" si="39" ref="D105:K105">D102+D93</f>
        <v>32850.7</v>
      </c>
      <c r="E105" s="46">
        <f t="shared" si="39"/>
        <v>18741.100000000002</v>
      </c>
      <c r="F105" s="46">
        <f t="shared" si="39"/>
        <v>10599.4</v>
      </c>
      <c r="G105" s="46">
        <f>G102+G93</f>
        <v>8141.700000000001</v>
      </c>
      <c r="H105" s="32">
        <f t="shared" si="39"/>
        <v>7051.8</v>
      </c>
      <c r="I105" s="32">
        <f t="shared" si="39"/>
        <v>7057.799999999999</v>
      </c>
      <c r="J105" s="32">
        <f t="shared" si="39"/>
        <v>13992</v>
      </c>
      <c r="K105" s="32" t="e">
        <f t="shared" si="39"/>
        <v>#REF!</v>
      </c>
      <c r="L105" s="35">
        <f>J105/H105*100</f>
        <v>198.41742533821153</v>
      </c>
      <c r="M105" s="69"/>
      <c r="N105" s="70" t="e">
        <f>I105+#REF!+#REF!</f>
        <v>#REF!</v>
      </c>
      <c r="O105" s="46">
        <f t="shared" si="30"/>
        <v>198.2487460681799</v>
      </c>
      <c r="P105" s="35">
        <f t="shared" si="27"/>
        <v>74.65943834673524</v>
      </c>
      <c r="Q105" s="32">
        <f t="shared" si="28"/>
        <v>42.59269969894097</v>
      </c>
    </row>
    <row r="106" spans="1:17" ht="12.75">
      <c r="A106" s="85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7"/>
      <c r="M106" s="69"/>
      <c r="N106" s="69"/>
      <c r="O106" s="67"/>
      <c r="P106" s="35"/>
      <c r="Q106" s="32"/>
    </row>
    <row r="107" spans="1:17" ht="12.75">
      <c r="A107" s="88" t="s">
        <v>30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35"/>
      <c r="Q107" s="32"/>
    </row>
    <row r="108" spans="1:17" ht="12.75">
      <c r="A108" s="33" t="s">
        <v>3</v>
      </c>
      <c r="B108" s="33"/>
      <c r="C108" s="34" t="s">
        <v>68</v>
      </c>
      <c r="D108" s="35">
        <f>D109+D111+D115+D112+D113+D116+D114+D117+D110</f>
        <v>1626.7</v>
      </c>
      <c r="E108" s="35">
        <f aca="true" t="shared" si="40" ref="E108:J108">E109+E111+E115+E112+E113+E116+E114+E117+E110</f>
        <v>627</v>
      </c>
      <c r="F108" s="35">
        <f t="shared" si="40"/>
        <v>297</v>
      </c>
      <c r="G108" s="35">
        <f t="shared" si="40"/>
        <v>330</v>
      </c>
      <c r="H108" s="35">
        <f t="shared" si="40"/>
        <v>412</v>
      </c>
      <c r="I108" s="35">
        <f t="shared" si="40"/>
        <v>587.7</v>
      </c>
      <c r="J108" s="35">
        <f t="shared" si="40"/>
        <v>1208.4</v>
      </c>
      <c r="K108" s="35" t="e">
        <f>J108/#REF!*100</f>
        <v>#REF!</v>
      </c>
      <c r="L108" s="35">
        <f aca="true" t="shared" si="41" ref="L108:L115">J108/H108*100</f>
        <v>293.3009708737864</v>
      </c>
      <c r="M108" s="69"/>
      <c r="N108" s="69"/>
      <c r="O108" s="35">
        <f t="shared" si="30"/>
        <v>205.6151097498724</v>
      </c>
      <c r="P108" s="35">
        <f t="shared" si="27"/>
        <v>192.72727272727275</v>
      </c>
      <c r="Q108" s="32">
        <f t="shared" si="28"/>
        <v>74.28536300485646</v>
      </c>
    </row>
    <row r="109" spans="1:17" ht="12.75">
      <c r="A109" s="29" t="s">
        <v>23</v>
      </c>
      <c r="B109" s="29"/>
      <c r="C109" s="36" t="s">
        <v>22</v>
      </c>
      <c r="D109" s="73">
        <f>F109+G109+H109+I109</f>
        <v>1316.7</v>
      </c>
      <c r="E109" s="76">
        <f aca="true" t="shared" si="42" ref="E109:E119">F109+G109</f>
        <v>523</v>
      </c>
      <c r="F109" s="73">
        <v>236</v>
      </c>
      <c r="G109" s="73">
        <v>287</v>
      </c>
      <c r="H109" s="25">
        <v>396</v>
      </c>
      <c r="I109" s="25">
        <v>397.7</v>
      </c>
      <c r="J109" s="25">
        <v>1051</v>
      </c>
      <c r="K109" s="28" t="e">
        <f>J109/#REF!*100</f>
        <v>#REF!</v>
      </c>
      <c r="L109" s="28">
        <f t="shared" si="41"/>
        <v>265.4040404040404</v>
      </c>
      <c r="M109" s="69"/>
      <c r="N109" s="69"/>
      <c r="O109" s="24">
        <f t="shared" si="30"/>
        <v>264.269549911994</v>
      </c>
      <c r="P109" s="28">
        <f t="shared" si="27"/>
        <v>200.95602294455068</v>
      </c>
      <c r="Q109" s="25">
        <f t="shared" si="28"/>
        <v>79.82076403129034</v>
      </c>
    </row>
    <row r="110" spans="1:17" ht="12.75" hidden="1">
      <c r="A110" s="19" t="s">
        <v>8</v>
      </c>
      <c r="B110" s="19"/>
      <c r="C110" s="36" t="s">
        <v>5</v>
      </c>
      <c r="D110" s="73">
        <f>F110+G110+H110+I110</f>
        <v>0</v>
      </c>
      <c r="E110" s="76">
        <f t="shared" si="42"/>
        <v>0</v>
      </c>
      <c r="F110" s="73"/>
      <c r="G110" s="73"/>
      <c r="H110" s="25"/>
      <c r="I110" s="25"/>
      <c r="J110" s="25"/>
      <c r="K110" s="28"/>
      <c r="L110" s="28"/>
      <c r="M110" s="69"/>
      <c r="N110" s="69"/>
      <c r="O110" s="24"/>
      <c r="P110" s="28"/>
      <c r="Q110" s="25"/>
    </row>
    <row r="111" spans="1:17" ht="12.75">
      <c r="A111" s="19" t="s">
        <v>9</v>
      </c>
      <c r="B111" s="19"/>
      <c r="C111" s="36" t="s">
        <v>6</v>
      </c>
      <c r="D111" s="73">
        <f aca="true" t="shared" si="43" ref="D111:D119">F111+G111+H111+I111</f>
        <v>49</v>
      </c>
      <c r="E111" s="76">
        <f t="shared" si="42"/>
        <v>33</v>
      </c>
      <c r="F111" s="73">
        <f>3+9+6</f>
        <v>18</v>
      </c>
      <c r="G111" s="73">
        <f>3+9+3</f>
        <v>15</v>
      </c>
      <c r="H111" s="25">
        <f>3+7</f>
        <v>10</v>
      </c>
      <c r="I111" s="25">
        <f>3+3</f>
        <v>6</v>
      </c>
      <c r="J111" s="25">
        <v>12.9</v>
      </c>
      <c r="K111" s="28" t="e">
        <f>J111/#REF!*100</f>
        <v>#REF!</v>
      </c>
      <c r="L111" s="28">
        <f t="shared" si="41"/>
        <v>129</v>
      </c>
      <c r="M111" s="69"/>
      <c r="N111" s="69"/>
      <c r="O111" s="24">
        <f t="shared" si="30"/>
        <v>215</v>
      </c>
      <c r="P111" s="28">
        <f t="shared" si="27"/>
        <v>39.09090909090909</v>
      </c>
      <c r="Q111" s="25">
        <f t="shared" si="28"/>
        <v>26.3265306122449</v>
      </c>
    </row>
    <row r="112" spans="1:17" ht="12.75">
      <c r="A112" s="19" t="s">
        <v>10</v>
      </c>
      <c r="B112" s="19"/>
      <c r="C112" s="36" t="s">
        <v>21</v>
      </c>
      <c r="D112" s="73">
        <f t="shared" si="43"/>
        <v>31</v>
      </c>
      <c r="E112" s="76">
        <f t="shared" si="42"/>
        <v>21</v>
      </c>
      <c r="F112" s="73">
        <v>13</v>
      </c>
      <c r="G112" s="73">
        <v>8</v>
      </c>
      <c r="H112" s="25">
        <v>6</v>
      </c>
      <c r="I112" s="25">
        <v>4</v>
      </c>
      <c r="J112" s="25">
        <v>5.9</v>
      </c>
      <c r="K112" s="28" t="e">
        <f>J112/#REF!*100</f>
        <v>#REF!</v>
      </c>
      <c r="L112" s="28">
        <f t="shared" si="41"/>
        <v>98.33333333333334</v>
      </c>
      <c r="M112" s="69"/>
      <c r="N112" s="69"/>
      <c r="O112" s="24">
        <f t="shared" si="30"/>
        <v>147.5</v>
      </c>
      <c r="P112" s="28">
        <f t="shared" si="27"/>
        <v>28.095238095238095</v>
      </c>
      <c r="Q112" s="25">
        <f t="shared" si="28"/>
        <v>19.032258064516128</v>
      </c>
    </row>
    <row r="113" spans="1:17" ht="24">
      <c r="A113" s="20" t="s">
        <v>11</v>
      </c>
      <c r="B113" s="20"/>
      <c r="C113" s="36" t="s">
        <v>17</v>
      </c>
      <c r="D113" s="73">
        <f t="shared" si="43"/>
        <v>120</v>
      </c>
      <c r="E113" s="76">
        <f t="shared" si="42"/>
        <v>0</v>
      </c>
      <c r="F113" s="73"/>
      <c r="G113" s="73"/>
      <c r="H113" s="25"/>
      <c r="I113" s="25">
        <v>120</v>
      </c>
      <c r="J113" s="25">
        <v>111.1</v>
      </c>
      <c r="K113" s="28" t="e">
        <f>J113/#REF!*100</f>
        <v>#REF!</v>
      </c>
      <c r="L113" s="28" t="e">
        <f t="shared" si="41"/>
        <v>#DIV/0!</v>
      </c>
      <c r="M113" s="69"/>
      <c r="N113" s="69"/>
      <c r="O113" s="24">
        <f t="shared" si="30"/>
        <v>92.58333333333333</v>
      </c>
      <c r="P113" s="28"/>
      <c r="Q113" s="25">
        <f t="shared" si="28"/>
        <v>92.58333333333333</v>
      </c>
    </row>
    <row r="114" spans="1:17" ht="12.75">
      <c r="A114" s="38" t="s">
        <v>42</v>
      </c>
      <c r="B114" s="38"/>
      <c r="C114" s="36" t="s">
        <v>43</v>
      </c>
      <c r="D114" s="73">
        <f t="shared" si="43"/>
        <v>110</v>
      </c>
      <c r="E114" s="76">
        <f t="shared" si="42"/>
        <v>50</v>
      </c>
      <c r="F114" s="73">
        <v>30</v>
      </c>
      <c r="G114" s="73">
        <v>20</v>
      </c>
      <c r="H114" s="25"/>
      <c r="I114" s="25">
        <v>60</v>
      </c>
      <c r="J114" s="25">
        <v>27.5</v>
      </c>
      <c r="K114" s="28" t="e">
        <f>J114/#REF!*100</f>
        <v>#REF!</v>
      </c>
      <c r="L114" s="28" t="e">
        <f t="shared" si="41"/>
        <v>#DIV/0!</v>
      </c>
      <c r="M114" s="69"/>
      <c r="N114" s="69"/>
      <c r="O114" s="24">
        <f t="shared" si="30"/>
        <v>45.833333333333336</v>
      </c>
      <c r="P114" s="28">
        <f t="shared" si="27"/>
        <v>55</v>
      </c>
      <c r="Q114" s="25">
        <f t="shared" si="28"/>
        <v>25</v>
      </c>
    </row>
    <row r="115" spans="1:17" ht="12.75" hidden="1">
      <c r="A115" s="37" t="s">
        <v>18</v>
      </c>
      <c r="B115" s="37"/>
      <c r="C115" s="36" t="s">
        <v>15</v>
      </c>
      <c r="D115" s="73">
        <f t="shared" si="43"/>
        <v>0</v>
      </c>
      <c r="E115" s="76">
        <f t="shared" si="42"/>
        <v>0</v>
      </c>
      <c r="F115" s="73"/>
      <c r="G115" s="73"/>
      <c r="H115" s="25"/>
      <c r="I115" s="25"/>
      <c r="J115" s="25"/>
      <c r="K115" s="28" t="e">
        <f>J115/#REF!*100</f>
        <v>#REF!</v>
      </c>
      <c r="L115" s="28" t="e">
        <f t="shared" si="41"/>
        <v>#DIV/0!</v>
      </c>
      <c r="M115" s="69"/>
      <c r="N115" s="69"/>
      <c r="O115" s="24" t="e">
        <f t="shared" si="30"/>
        <v>#DIV/0!</v>
      </c>
      <c r="P115" s="28"/>
      <c r="Q115" s="25"/>
    </row>
    <row r="116" spans="1:17" ht="12.75" hidden="1">
      <c r="A116" s="29" t="s">
        <v>12</v>
      </c>
      <c r="B116" s="29"/>
      <c r="C116" s="36" t="s">
        <v>7</v>
      </c>
      <c r="D116" s="73">
        <f t="shared" si="43"/>
        <v>0</v>
      </c>
      <c r="E116" s="76">
        <f t="shared" si="42"/>
        <v>0</v>
      </c>
      <c r="F116" s="73"/>
      <c r="G116" s="73"/>
      <c r="H116" s="25"/>
      <c r="I116" s="25"/>
      <c r="J116" s="25"/>
      <c r="K116" s="28"/>
      <c r="L116" s="28"/>
      <c r="M116" s="69"/>
      <c r="N116" s="69"/>
      <c r="O116" s="24" t="e">
        <f t="shared" si="30"/>
        <v>#DIV/0!</v>
      </c>
      <c r="P116" s="35" t="e">
        <f t="shared" si="27"/>
        <v>#DIV/0!</v>
      </c>
      <c r="Q116" s="32" t="e">
        <f t="shared" si="28"/>
        <v>#DIV/0!</v>
      </c>
    </row>
    <row r="117" spans="1:17" ht="11.25" customHeight="1">
      <c r="A117" s="37" t="s">
        <v>39</v>
      </c>
      <c r="B117" s="56"/>
      <c r="C117" s="23" t="s">
        <v>40</v>
      </c>
      <c r="D117" s="73">
        <f t="shared" si="43"/>
        <v>0</v>
      </c>
      <c r="E117" s="76">
        <f t="shared" si="42"/>
        <v>0</v>
      </c>
      <c r="F117" s="73"/>
      <c r="G117" s="73"/>
      <c r="H117" s="25"/>
      <c r="I117" s="25"/>
      <c r="J117" s="25"/>
      <c r="K117" s="28"/>
      <c r="L117" s="28"/>
      <c r="M117" s="69"/>
      <c r="N117" s="69"/>
      <c r="O117" s="24" t="e">
        <f t="shared" si="30"/>
        <v>#DIV/0!</v>
      </c>
      <c r="P117" s="35"/>
      <c r="Q117" s="32"/>
    </row>
    <row r="118" spans="1:17" ht="12.75">
      <c r="A118" s="33" t="s">
        <v>1</v>
      </c>
      <c r="B118" s="33"/>
      <c r="C118" s="41" t="s">
        <v>0</v>
      </c>
      <c r="D118" s="42">
        <f aca="true" t="shared" si="44" ref="D118:K118">D119</f>
        <v>24650.2</v>
      </c>
      <c r="E118" s="82">
        <f t="shared" si="44"/>
        <v>11035.2</v>
      </c>
      <c r="F118" s="82">
        <f t="shared" si="44"/>
        <v>3884.8</v>
      </c>
      <c r="G118" s="82">
        <f t="shared" si="44"/>
        <v>7150.4</v>
      </c>
      <c r="H118" s="82">
        <f t="shared" si="44"/>
        <v>8477.2</v>
      </c>
      <c r="I118" s="42">
        <f t="shared" si="44"/>
        <v>5137.8</v>
      </c>
      <c r="J118" s="42">
        <f t="shared" si="44"/>
        <v>6704.4</v>
      </c>
      <c r="K118" s="42" t="e">
        <f t="shared" si="44"/>
        <v>#REF!</v>
      </c>
      <c r="L118" s="35">
        <f>J118/H118*100</f>
        <v>79.08743453026942</v>
      </c>
      <c r="M118" s="69"/>
      <c r="N118" s="69"/>
      <c r="O118" s="46">
        <f t="shared" si="30"/>
        <v>130.49165012262057</v>
      </c>
      <c r="P118" s="35">
        <f t="shared" si="27"/>
        <v>60.7546759460635</v>
      </c>
      <c r="Q118" s="32">
        <f t="shared" si="28"/>
        <v>27.19815660724862</v>
      </c>
    </row>
    <row r="119" spans="1:17" ht="24">
      <c r="A119" s="21" t="s">
        <v>67</v>
      </c>
      <c r="B119" s="19"/>
      <c r="C119" s="43" t="s">
        <v>20</v>
      </c>
      <c r="D119" s="73">
        <f t="shared" si="43"/>
        <v>24650.2</v>
      </c>
      <c r="E119" s="76">
        <f t="shared" si="42"/>
        <v>11035.2</v>
      </c>
      <c r="F119" s="73">
        <f>5137.7-1276.7+23.8</f>
        <v>3884.8</v>
      </c>
      <c r="G119" s="73">
        <f>6935.9+214.5</f>
        <v>7150.4</v>
      </c>
      <c r="H119" s="25">
        <v>8477.2</v>
      </c>
      <c r="I119" s="25">
        <v>5137.8</v>
      </c>
      <c r="J119" s="25">
        <v>6704.4</v>
      </c>
      <c r="K119" s="28" t="e">
        <f>J119/#REF!*100</f>
        <v>#REF!</v>
      </c>
      <c r="L119" s="28">
        <f>J119/H119*100</f>
        <v>79.08743453026942</v>
      </c>
      <c r="M119" s="69"/>
      <c r="N119" s="69"/>
      <c r="O119" s="24">
        <f t="shared" si="30"/>
        <v>130.49165012262057</v>
      </c>
      <c r="P119" s="28">
        <f t="shared" si="27"/>
        <v>60.7546759460635</v>
      </c>
      <c r="Q119" s="25">
        <f t="shared" si="28"/>
        <v>27.19815660724862</v>
      </c>
    </row>
    <row r="120" spans="1:17" ht="12.75">
      <c r="A120" s="29"/>
      <c r="B120" s="30"/>
      <c r="C120" s="31" t="s">
        <v>4</v>
      </c>
      <c r="D120" s="32">
        <f aca="true" t="shared" si="45" ref="D120:J120">D118+D108</f>
        <v>26276.9</v>
      </c>
      <c r="E120" s="32">
        <f t="shared" si="45"/>
        <v>11662.2</v>
      </c>
      <c r="F120" s="32">
        <f t="shared" si="45"/>
        <v>4181.8</v>
      </c>
      <c r="G120" s="32">
        <f t="shared" si="45"/>
        <v>7480.4</v>
      </c>
      <c r="H120" s="32">
        <f t="shared" si="45"/>
        <v>8889.2</v>
      </c>
      <c r="I120" s="32">
        <f t="shared" si="45"/>
        <v>5725.5</v>
      </c>
      <c r="J120" s="32">
        <f t="shared" si="45"/>
        <v>7912.799999999999</v>
      </c>
      <c r="K120" s="35" t="e">
        <f>J120/#REF!*100</f>
        <v>#REF!</v>
      </c>
      <c r="L120" s="35">
        <f>J120/H120*100</f>
        <v>89.01588444404445</v>
      </c>
      <c r="M120" s="69"/>
      <c r="N120" s="70" t="e">
        <f>I120+#REF!+#REF!</f>
        <v>#REF!</v>
      </c>
      <c r="O120" s="46">
        <f t="shared" si="30"/>
        <v>138.2027770500393</v>
      </c>
      <c r="P120" s="35">
        <f t="shared" si="27"/>
        <v>67.84997684827904</v>
      </c>
      <c r="Q120" s="32">
        <f t="shared" si="28"/>
        <v>30.11314120006545</v>
      </c>
    </row>
    <row r="121" spans="1:17" ht="12.75">
      <c r="A121" s="85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7"/>
      <c r="M121" s="69"/>
      <c r="N121" s="69"/>
      <c r="O121" s="67"/>
      <c r="P121" s="35"/>
      <c r="Q121" s="32"/>
    </row>
    <row r="122" spans="1:17" ht="12.75">
      <c r="A122" s="88" t="s">
        <v>31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35"/>
      <c r="Q122" s="32"/>
    </row>
    <row r="123" spans="1:17" ht="12.75">
      <c r="A123" s="33" t="s">
        <v>3</v>
      </c>
      <c r="B123" s="33"/>
      <c r="C123" s="34" t="s">
        <v>68</v>
      </c>
      <c r="D123" s="35">
        <f aca="true" t="shared" si="46" ref="D123:J123">D124+D125+D126+D127+D129+D131+D128+D130</f>
        <v>2690</v>
      </c>
      <c r="E123" s="35">
        <f t="shared" si="46"/>
        <v>1173.9</v>
      </c>
      <c r="F123" s="35">
        <f t="shared" si="46"/>
        <v>394.1</v>
      </c>
      <c r="G123" s="35">
        <f t="shared" si="46"/>
        <v>779.8</v>
      </c>
      <c r="H123" s="35">
        <f t="shared" si="46"/>
        <v>754</v>
      </c>
      <c r="I123" s="35">
        <f t="shared" si="46"/>
        <v>762.1</v>
      </c>
      <c r="J123" s="35">
        <f t="shared" si="46"/>
        <v>781.9</v>
      </c>
      <c r="K123" s="35" t="e">
        <f>J123/#REF!*100</f>
        <v>#REF!</v>
      </c>
      <c r="L123" s="35">
        <f aca="true" t="shared" si="47" ref="L123:L129">J123/H123*100</f>
        <v>103.70026525198939</v>
      </c>
      <c r="M123" s="69"/>
      <c r="N123" s="69"/>
      <c r="O123" s="35">
        <f t="shared" si="30"/>
        <v>102.59808424091327</v>
      </c>
      <c r="P123" s="35">
        <f t="shared" si="27"/>
        <v>66.60703637447823</v>
      </c>
      <c r="Q123" s="32">
        <f t="shared" si="28"/>
        <v>29.066914498141266</v>
      </c>
    </row>
    <row r="124" spans="1:17" ht="12.75">
      <c r="A124" s="29" t="s">
        <v>23</v>
      </c>
      <c r="B124" s="29"/>
      <c r="C124" s="36" t="s">
        <v>22</v>
      </c>
      <c r="D124" s="73">
        <f>F124+G124+H124+I124</f>
        <v>2240</v>
      </c>
      <c r="E124" s="76">
        <f aca="true" t="shared" si="48" ref="E124:E133">F124+G124</f>
        <v>1015</v>
      </c>
      <c r="F124" s="49">
        <v>330</v>
      </c>
      <c r="G124" s="49">
        <v>685</v>
      </c>
      <c r="H124" s="24">
        <v>640</v>
      </c>
      <c r="I124" s="25">
        <v>585</v>
      </c>
      <c r="J124" s="25">
        <v>571.2</v>
      </c>
      <c r="K124" s="28" t="e">
        <f>J124/#REF!*100</f>
        <v>#REF!</v>
      </c>
      <c r="L124" s="28">
        <f t="shared" si="47"/>
        <v>89.25</v>
      </c>
      <c r="M124" s="69"/>
      <c r="N124" s="69"/>
      <c r="O124" s="24">
        <f t="shared" si="30"/>
        <v>97.64102564102565</v>
      </c>
      <c r="P124" s="28">
        <f t="shared" si="27"/>
        <v>56.27586206896552</v>
      </c>
      <c r="Q124" s="25">
        <f t="shared" si="28"/>
        <v>25.500000000000004</v>
      </c>
    </row>
    <row r="125" spans="1:17" ht="12.75">
      <c r="A125" s="19" t="s">
        <v>9</v>
      </c>
      <c r="B125" s="19"/>
      <c r="C125" s="36" t="s">
        <v>6</v>
      </c>
      <c r="D125" s="73">
        <f aca="true" t="shared" si="49" ref="D125:D134">F125+G125+H125+I125</f>
        <v>258</v>
      </c>
      <c r="E125" s="76">
        <f t="shared" si="48"/>
        <v>87.9</v>
      </c>
      <c r="F125" s="49">
        <f>22.1+3+10</f>
        <v>35.1</v>
      </c>
      <c r="G125" s="49">
        <f>27.4+18+7.4</f>
        <v>52.8</v>
      </c>
      <c r="H125" s="24">
        <f>27.6+27.5+8.4</f>
        <v>63.5</v>
      </c>
      <c r="I125" s="25">
        <f>32.8+46.5+27.3</f>
        <v>106.6</v>
      </c>
      <c r="J125" s="25">
        <v>113.4</v>
      </c>
      <c r="K125" s="28" t="e">
        <f>J125/#REF!*100</f>
        <v>#REF!</v>
      </c>
      <c r="L125" s="28">
        <f t="shared" si="47"/>
        <v>178.58267716535434</v>
      </c>
      <c r="M125" s="69"/>
      <c r="N125" s="69"/>
      <c r="O125" s="24">
        <f t="shared" si="30"/>
        <v>106.37898686679175</v>
      </c>
      <c r="P125" s="28">
        <f t="shared" si="27"/>
        <v>129.0102389078498</v>
      </c>
      <c r="Q125" s="25">
        <f t="shared" si="28"/>
        <v>43.95348837209303</v>
      </c>
    </row>
    <row r="126" spans="1:17" ht="12.75">
      <c r="A126" s="19" t="s">
        <v>10</v>
      </c>
      <c r="B126" s="19"/>
      <c r="C126" s="36" t="s">
        <v>21</v>
      </c>
      <c r="D126" s="73">
        <f t="shared" si="49"/>
        <v>47</v>
      </c>
      <c r="E126" s="76">
        <f t="shared" si="48"/>
        <v>19</v>
      </c>
      <c r="F126" s="49">
        <v>9</v>
      </c>
      <c r="G126" s="49">
        <v>10</v>
      </c>
      <c r="H126" s="24">
        <v>12</v>
      </c>
      <c r="I126" s="25">
        <v>16</v>
      </c>
      <c r="J126" s="25">
        <v>16.4</v>
      </c>
      <c r="K126" s="28" t="e">
        <f>J126/#REF!*100</f>
        <v>#REF!</v>
      </c>
      <c r="L126" s="28">
        <f t="shared" si="47"/>
        <v>136.66666666666666</v>
      </c>
      <c r="M126" s="69"/>
      <c r="N126" s="69"/>
      <c r="O126" s="24">
        <f t="shared" si="30"/>
        <v>102.49999999999999</v>
      </c>
      <c r="P126" s="28">
        <f t="shared" si="27"/>
        <v>86.3157894736842</v>
      </c>
      <c r="Q126" s="25">
        <f t="shared" si="28"/>
        <v>34.89361702127659</v>
      </c>
    </row>
    <row r="127" spans="1:17" ht="24">
      <c r="A127" s="20" t="s">
        <v>11</v>
      </c>
      <c r="B127" s="20"/>
      <c r="C127" s="36" t="s">
        <v>17</v>
      </c>
      <c r="D127" s="73">
        <f t="shared" si="49"/>
        <v>65</v>
      </c>
      <c r="E127" s="76">
        <f t="shared" si="48"/>
        <v>15</v>
      </c>
      <c r="F127" s="49">
        <f>3.5+1.5</f>
        <v>5</v>
      </c>
      <c r="G127" s="49">
        <f>7+3</f>
        <v>10</v>
      </c>
      <c r="H127" s="24">
        <f>18.5+3</f>
        <v>21.5</v>
      </c>
      <c r="I127" s="25">
        <f>21+7.5</f>
        <v>28.5</v>
      </c>
      <c r="J127" s="25">
        <v>9.3</v>
      </c>
      <c r="K127" s="28" t="e">
        <f>J127/#REF!*100</f>
        <v>#REF!</v>
      </c>
      <c r="L127" s="28">
        <f t="shared" si="47"/>
        <v>43.25581395348838</v>
      </c>
      <c r="M127" s="69"/>
      <c r="N127" s="69"/>
      <c r="O127" s="24">
        <f t="shared" si="30"/>
        <v>32.631578947368425</v>
      </c>
      <c r="P127" s="28">
        <f t="shared" si="27"/>
        <v>62.00000000000001</v>
      </c>
      <c r="Q127" s="25">
        <f t="shared" si="28"/>
        <v>14.30769230769231</v>
      </c>
    </row>
    <row r="128" spans="1:17" ht="12.75">
      <c r="A128" s="38" t="s">
        <v>42</v>
      </c>
      <c r="B128" s="38"/>
      <c r="C128" s="36" t="s">
        <v>43</v>
      </c>
      <c r="D128" s="73">
        <f t="shared" si="49"/>
        <v>80</v>
      </c>
      <c r="E128" s="76">
        <f t="shared" si="48"/>
        <v>37</v>
      </c>
      <c r="F128" s="49">
        <v>15</v>
      </c>
      <c r="G128" s="49">
        <v>22</v>
      </c>
      <c r="H128" s="24">
        <v>17</v>
      </c>
      <c r="I128" s="25">
        <v>26</v>
      </c>
      <c r="J128" s="25">
        <v>55</v>
      </c>
      <c r="K128" s="28" t="e">
        <f>J128/#REF!*100</f>
        <v>#REF!</v>
      </c>
      <c r="L128" s="28">
        <f t="shared" si="47"/>
        <v>323.5294117647059</v>
      </c>
      <c r="M128" s="69"/>
      <c r="N128" s="69"/>
      <c r="O128" s="24">
        <f t="shared" si="30"/>
        <v>211.53846153846155</v>
      </c>
      <c r="P128" s="28">
        <f t="shared" si="27"/>
        <v>148.64864864864865</v>
      </c>
      <c r="Q128" s="25">
        <f t="shared" si="28"/>
        <v>68.75</v>
      </c>
    </row>
    <row r="129" spans="1:17" ht="13.5" customHeight="1" hidden="1">
      <c r="A129" s="38" t="s">
        <v>18</v>
      </c>
      <c r="B129" s="38"/>
      <c r="C129" s="36" t="s">
        <v>15</v>
      </c>
      <c r="D129" s="73">
        <f t="shared" si="49"/>
        <v>0</v>
      </c>
      <c r="E129" s="76">
        <f t="shared" si="48"/>
        <v>0</v>
      </c>
      <c r="F129" s="49"/>
      <c r="G129" s="49"/>
      <c r="H129" s="24"/>
      <c r="I129" s="25"/>
      <c r="J129" s="25"/>
      <c r="K129" s="28" t="e">
        <f>J129/#REF!*100</f>
        <v>#REF!</v>
      </c>
      <c r="L129" s="28" t="e">
        <f t="shared" si="47"/>
        <v>#DIV/0!</v>
      </c>
      <c r="M129" s="69"/>
      <c r="N129" s="69"/>
      <c r="O129" s="24" t="e">
        <f t="shared" si="30"/>
        <v>#DIV/0!</v>
      </c>
      <c r="P129" s="28"/>
      <c r="Q129" s="25"/>
    </row>
    <row r="130" spans="1:17" ht="14.25" customHeight="1" hidden="1">
      <c r="A130" s="29" t="s">
        <v>12</v>
      </c>
      <c r="B130" s="29"/>
      <c r="C130" s="36" t="s">
        <v>7</v>
      </c>
      <c r="D130" s="73">
        <f t="shared" si="49"/>
        <v>0</v>
      </c>
      <c r="E130" s="76">
        <f t="shared" si="48"/>
        <v>0</v>
      </c>
      <c r="F130" s="49"/>
      <c r="G130" s="49"/>
      <c r="H130" s="24"/>
      <c r="I130" s="25"/>
      <c r="J130" s="25"/>
      <c r="K130" s="28"/>
      <c r="L130" s="28"/>
      <c r="M130" s="69"/>
      <c r="N130" s="69"/>
      <c r="O130" s="24"/>
      <c r="P130" s="28"/>
      <c r="Q130" s="25"/>
    </row>
    <row r="131" spans="1:17" ht="12.75">
      <c r="A131" s="38" t="s">
        <v>39</v>
      </c>
      <c r="B131" s="56"/>
      <c r="C131" s="23" t="s">
        <v>40</v>
      </c>
      <c r="D131" s="73">
        <f t="shared" si="49"/>
        <v>0</v>
      </c>
      <c r="E131" s="76">
        <f t="shared" si="48"/>
        <v>0</v>
      </c>
      <c r="F131" s="49"/>
      <c r="G131" s="49"/>
      <c r="H131" s="24"/>
      <c r="I131" s="25"/>
      <c r="J131" s="24">
        <v>16.6</v>
      </c>
      <c r="K131" s="28"/>
      <c r="L131" s="28"/>
      <c r="M131" s="69"/>
      <c r="N131" s="69"/>
      <c r="O131" s="24"/>
      <c r="P131" s="28"/>
      <c r="Q131" s="25"/>
    </row>
    <row r="132" spans="1:17" ht="12.75">
      <c r="A132" s="45" t="s">
        <v>1</v>
      </c>
      <c r="B132" s="45"/>
      <c r="C132" s="41" t="s">
        <v>0</v>
      </c>
      <c r="D132" s="42">
        <f aca="true" t="shared" si="50" ref="D132:J132">D133+D134</f>
        <v>44288.399999999994</v>
      </c>
      <c r="E132" s="42">
        <f t="shared" si="50"/>
        <v>22076</v>
      </c>
      <c r="F132" s="42">
        <f t="shared" si="50"/>
        <v>10444.4</v>
      </c>
      <c r="G132" s="42">
        <f t="shared" si="50"/>
        <v>11631.6</v>
      </c>
      <c r="H132" s="42">
        <f t="shared" si="50"/>
        <v>11114.2</v>
      </c>
      <c r="I132" s="42">
        <f t="shared" si="50"/>
        <v>11098.2</v>
      </c>
      <c r="J132" s="42">
        <f t="shared" si="50"/>
        <v>12353.5</v>
      </c>
      <c r="K132" s="35" t="e">
        <f>J132/#REF!*100</f>
        <v>#REF!</v>
      </c>
      <c r="L132" s="35">
        <f>J132/H132*100</f>
        <v>111.15060013316298</v>
      </c>
      <c r="M132" s="69"/>
      <c r="N132" s="69"/>
      <c r="O132" s="46">
        <f t="shared" si="30"/>
        <v>111.31084319979816</v>
      </c>
      <c r="P132" s="35">
        <f t="shared" si="27"/>
        <v>55.95895995651386</v>
      </c>
      <c r="Q132" s="32">
        <f t="shared" si="28"/>
        <v>27.893308405812814</v>
      </c>
    </row>
    <row r="133" spans="1:17" ht="24">
      <c r="A133" s="21" t="s">
        <v>67</v>
      </c>
      <c r="B133" s="19"/>
      <c r="C133" s="43" t="s">
        <v>20</v>
      </c>
      <c r="D133" s="73">
        <f t="shared" si="49"/>
        <v>44288.399999999994</v>
      </c>
      <c r="E133" s="76">
        <f t="shared" si="48"/>
        <v>22076</v>
      </c>
      <c r="F133" s="49">
        <f>11523.4-1220+141</f>
        <v>10444.4</v>
      </c>
      <c r="G133" s="49">
        <f>11149.1+482.5</f>
        <v>11631.6</v>
      </c>
      <c r="H133" s="24">
        <v>11114.2</v>
      </c>
      <c r="I133" s="25">
        <v>11098.2</v>
      </c>
      <c r="J133" s="25">
        <v>12353.5</v>
      </c>
      <c r="K133" s="28" t="e">
        <f>J133/#REF!*100</f>
        <v>#REF!</v>
      </c>
      <c r="L133" s="28">
        <f>J133/H133*100</f>
        <v>111.15060013316298</v>
      </c>
      <c r="M133" s="69"/>
      <c r="N133" s="69"/>
      <c r="O133" s="24">
        <f t="shared" si="30"/>
        <v>111.31084319979816</v>
      </c>
      <c r="P133" s="28">
        <f t="shared" si="27"/>
        <v>55.95895995651386</v>
      </c>
      <c r="Q133" s="25">
        <f t="shared" si="28"/>
        <v>27.893308405812814</v>
      </c>
    </row>
    <row r="134" spans="1:17" ht="12.75" hidden="1">
      <c r="A134" s="21" t="s">
        <v>2</v>
      </c>
      <c r="B134" s="21"/>
      <c r="C134" s="44" t="s">
        <v>19</v>
      </c>
      <c r="D134" s="73">
        <f t="shared" si="49"/>
        <v>0</v>
      </c>
      <c r="E134" s="73">
        <f>F134</f>
        <v>0</v>
      </c>
      <c r="F134" s="80"/>
      <c r="G134" s="80"/>
      <c r="H134" s="24"/>
      <c r="I134" s="25"/>
      <c r="J134" s="25"/>
      <c r="K134" s="28"/>
      <c r="L134" s="28"/>
      <c r="M134" s="69"/>
      <c r="N134" s="69"/>
      <c r="O134" s="24" t="e">
        <f t="shared" si="30"/>
        <v>#DIV/0!</v>
      </c>
      <c r="P134" s="28"/>
      <c r="Q134" s="25"/>
    </row>
    <row r="135" spans="1:17" ht="12.75">
      <c r="A135" s="29"/>
      <c r="B135" s="30"/>
      <c r="C135" s="31" t="s">
        <v>4</v>
      </c>
      <c r="D135" s="32">
        <f aca="true" t="shared" si="51" ref="D135:J135">D132+D123</f>
        <v>46978.399999999994</v>
      </c>
      <c r="E135" s="32">
        <f t="shared" si="51"/>
        <v>23249.9</v>
      </c>
      <c r="F135" s="46">
        <f t="shared" si="51"/>
        <v>10838.5</v>
      </c>
      <c r="G135" s="46">
        <f t="shared" si="51"/>
        <v>12411.4</v>
      </c>
      <c r="H135" s="46">
        <f t="shared" si="51"/>
        <v>11868.2</v>
      </c>
      <c r="I135" s="32">
        <f t="shared" si="51"/>
        <v>11860.300000000001</v>
      </c>
      <c r="J135" s="32">
        <f t="shared" si="51"/>
        <v>13135.4</v>
      </c>
      <c r="K135" s="35" t="e">
        <f>J135/#REF!*100</f>
        <v>#REF!</v>
      </c>
      <c r="L135" s="35">
        <f>J135/H135*100</f>
        <v>110.67727203788273</v>
      </c>
      <c r="M135" s="69"/>
      <c r="N135" s="70" t="e">
        <f>I135+#REF!+#REF!</f>
        <v>#REF!</v>
      </c>
      <c r="O135" s="46">
        <f t="shared" si="30"/>
        <v>110.75099280793908</v>
      </c>
      <c r="P135" s="35">
        <f t="shared" si="27"/>
        <v>56.496587082094976</v>
      </c>
      <c r="Q135" s="32">
        <f t="shared" si="28"/>
        <v>27.96050951075388</v>
      </c>
    </row>
    <row r="136" spans="1:17" ht="12.75">
      <c r="A136" s="92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4"/>
      <c r="M136" s="69"/>
      <c r="N136" s="69"/>
      <c r="O136" s="67"/>
      <c r="P136" s="35"/>
      <c r="Q136" s="32"/>
    </row>
    <row r="137" spans="1:17" ht="12.75">
      <c r="A137" s="88" t="s">
        <v>32</v>
      </c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35"/>
      <c r="Q137" s="32"/>
    </row>
    <row r="138" spans="1:17" ht="12.75">
      <c r="A138" s="33" t="s">
        <v>3</v>
      </c>
      <c r="B138" s="33"/>
      <c r="C138" s="34" t="s">
        <v>68</v>
      </c>
      <c r="D138" s="35">
        <f aca="true" t="shared" si="52" ref="D138:J138">D139+D141+D143+D145+D142+D146+D144+D147+D140</f>
        <v>14337.3</v>
      </c>
      <c r="E138" s="35">
        <f t="shared" si="52"/>
        <v>7336.900000000001</v>
      </c>
      <c r="F138" s="35">
        <f t="shared" si="52"/>
        <v>2709.3</v>
      </c>
      <c r="G138" s="35">
        <f t="shared" si="52"/>
        <v>4627.6</v>
      </c>
      <c r="H138" s="35">
        <f t="shared" si="52"/>
        <v>3547.3</v>
      </c>
      <c r="I138" s="35">
        <f t="shared" si="52"/>
        <v>3453.1</v>
      </c>
      <c r="J138" s="35">
        <f t="shared" si="52"/>
        <v>4957.7</v>
      </c>
      <c r="K138" s="35" t="e">
        <f>J138/#REF!*100</f>
        <v>#REF!</v>
      </c>
      <c r="L138" s="35">
        <f>J138/H138*100</f>
        <v>139.75981732585345</v>
      </c>
      <c r="M138" s="69"/>
      <c r="N138" s="69"/>
      <c r="O138" s="35">
        <f t="shared" si="30"/>
        <v>143.57244215342735</v>
      </c>
      <c r="P138" s="35">
        <f t="shared" si="27"/>
        <v>67.57213537052434</v>
      </c>
      <c r="Q138" s="32">
        <f t="shared" si="28"/>
        <v>34.5790351042386</v>
      </c>
    </row>
    <row r="139" spans="1:17" ht="12.75">
      <c r="A139" s="29" t="s">
        <v>23</v>
      </c>
      <c r="B139" s="29"/>
      <c r="C139" s="36" t="s">
        <v>22</v>
      </c>
      <c r="D139" s="49">
        <f>F139+G139+H139+I139</f>
        <v>12500</v>
      </c>
      <c r="E139" s="76">
        <f aca="true" t="shared" si="53" ref="E139:E149">F139+G139</f>
        <v>6090</v>
      </c>
      <c r="F139" s="49">
        <v>2590</v>
      </c>
      <c r="G139" s="49">
        <f>3500</f>
        <v>3500</v>
      </c>
      <c r="H139" s="24">
        <v>3400</v>
      </c>
      <c r="I139" s="25">
        <v>3010</v>
      </c>
      <c r="J139" s="25">
        <v>4326.8</v>
      </c>
      <c r="K139" s="28" t="e">
        <f>J139/#REF!*100</f>
        <v>#REF!</v>
      </c>
      <c r="L139" s="28">
        <f>J139/H139*100</f>
        <v>127.25882352941179</v>
      </c>
      <c r="M139" s="69"/>
      <c r="N139" s="69"/>
      <c r="O139" s="24">
        <f t="shared" si="30"/>
        <v>143.74750830564784</v>
      </c>
      <c r="P139" s="28">
        <f t="shared" si="27"/>
        <v>71.04761904761905</v>
      </c>
      <c r="Q139" s="25">
        <f t="shared" si="28"/>
        <v>34.6144</v>
      </c>
    </row>
    <row r="140" spans="1:17" ht="12.75" customHeight="1">
      <c r="A140" s="19" t="s">
        <v>8</v>
      </c>
      <c r="B140" s="19"/>
      <c r="C140" s="36" t="s">
        <v>5</v>
      </c>
      <c r="D140" s="49">
        <f aca="true" t="shared" si="54" ref="D140:D149">F140+G140+H140+I140</f>
        <v>0</v>
      </c>
      <c r="E140" s="76">
        <f t="shared" si="53"/>
        <v>0</v>
      </c>
      <c r="F140" s="49"/>
      <c r="G140" s="49"/>
      <c r="H140" s="24"/>
      <c r="I140" s="25"/>
      <c r="J140" s="25">
        <v>5.7</v>
      </c>
      <c r="K140" s="28"/>
      <c r="L140" s="28"/>
      <c r="M140" s="69"/>
      <c r="N140" s="69"/>
      <c r="O140" s="24" t="e">
        <f t="shared" si="30"/>
        <v>#DIV/0!</v>
      </c>
      <c r="P140" s="28"/>
      <c r="Q140" s="25"/>
    </row>
    <row r="141" spans="1:17" ht="12.75">
      <c r="A141" s="19" t="s">
        <v>9</v>
      </c>
      <c r="B141" s="19"/>
      <c r="C141" s="36" t="s">
        <v>6</v>
      </c>
      <c r="D141" s="49">
        <f t="shared" si="54"/>
        <v>845</v>
      </c>
      <c r="E141" s="76">
        <f t="shared" si="53"/>
        <v>412</v>
      </c>
      <c r="F141" s="49">
        <f>40+9+12</f>
        <v>61</v>
      </c>
      <c r="G141" s="49">
        <f>351</f>
        <v>351</v>
      </c>
      <c r="H141" s="24">
        <f>60+9+15</f>
        <v>84</v>
      </c>
      <c r="I141" s="25">
        <f>270+28+51</f>
        <v>349</v>
      </c>
      <c r="J141" s="25">
        <v>517.4</v>
      </c>
      <c r="K141" s="28" t="e">
        <f>J141/#REF!*100</f>
        <v>#REF!</v>
      </c>
      <c r="L141" s="28">
        <f>J141/H141*100</f>
        <v>615.9523809523808</v>
      </c>
      <c r="M141" s="69"/>
      <c r="N141" s="69"/>
      <c r="O141" s="24">
        <f t="shared" si="30"/>
        <v>148.25214899713467</v>
      </c>
      <c r="P141" s="28">
        <f aca="true" t="shared" si="55" ref="P141:P203">J141*100/E141</f>
        <v>125.58252427184466</v>
      </c>
      <c r="Q141" s="25">
        <f aca="true" t="shared" si="56" ref="Q141:Q203">J141*100/D141</f>
        <v>61.23076923076923</v>
      </c>
    </row>
    <row r="142" spans="1:17" ht="12.75">
      <c r="A142" s="19" t="s">
        <v>10</v>
      </c>
      <c r="B142" s="19"/>
      <c r="C142" s="36" t="s">
        <v>21</v>
      </c>
      <c r="D142" s="49">
        <f t="shared" si="54"/>
        <v>160</v>
      </c>
      <c r="E142" s="76">
        <f t="shared" si="53"/>
        <v>75</v>
      </c>
      <c r="F142" s="49">
        <v>22</v>
      </c>
      <c r="G142" s="49">
        <v>53</v>
      </c>
      <c r="H142" s="24">
        <v>27</v>
      </c>
      <c r="I142" s="25">
        <v>58</v>
      </c>
      <c r="J142" s="25">
        <v>50.7</v>
      </c>
      <c r="K142" s="28" t="e">
        <f>J142/#REF!*100</f>
        <v>#REF!</v>
      </c>
      <c r="L142" s="28">
        <f>J142/H142*100</f>
        <v>187.7777777777778</v>
      </c>
      <c r="M142" s="69"/>
      <c r="N142" s="69"/>
      <c r="O142" s="24">
        <f t="shared" si="30"/>
        <v>87.41379310344827</v>
      </c>
      <c r="P142" s="28">
        <f t="shared" si="55"/>
        <v>67.6</v>
      </c>
      <c r="Q142" s="25">
        <f t="shared" si="56"/>
        <v>31.6875</v>
      </c>
    </row>
    <row r="143" spans="1:17" ht="24">
      <c r="A143" s="20" t="s">
        <v>11</v>
      </c>
      <c r="B143" s="20"/>
      <c r="C143" s="36" t="s">
        <v>17</v>
      </c>
      <c r="D143" s="49">
        <f t="shared" si="54"/>
        <v>145</v>
      </c>
      <c r="E143" s="76">
        <f t="shared" si="53"/>
        <v>72.6</v>
      </c>
      <c r="F143" s="49">
        <v>36.3</v>
      </c>
      <c r="G143" s="49">
        <v>36.3</v>
      </c>
      <c r="H143" s="24">
        <v>36.3</v>
      </c>
      <c r="I143" s="25">
        <v>36.1</v>
      </c>
      <c r="J143" s="25">
        <v>57.1</v>
      </c>
      <c r="K143" s="28" t="e">
        <f>J143/#REF!*100</f>
        <v>#REF!</v>
      </c>
      <c r="L143" s="28">
        <f>J143/H143*100</f>
        <v>157.3002754820937</v>
      </c>
      <c r="M143" s="69"/>
      <c r="N143" s="69"/>
      <c r="O143" s="24">
        <f t="shared" si="30"/>
        <v>158.17174515235456</v>
      </c>
      <c r="P143" s="28">
        <f t="shared" si="55"/>
        <v>78.65013774104683</v>
      </c>
      <c r="Q143" s="25">
        <f t="shared" si="56"/>
        <v>39.37931034482759</v>
      </c>
    </row>
    <row r="144" spans="1:17" ht="12.75" hidden="1">
      <c r="A144" s="38" t="s">
        <v>42</v>
      </c>
      <c r="B144" s="38"/>
      <c r="C144" s="36" t="s">
        <v>43</v>
      </c>
      <c r="D144" s="49">
        <f t="shared" si="54"/>
        <v>0</v>
      </c>
      <c r="E144" s="76">
        <f t="shared" si="53"/>
        <v>0</v>
      </c>
      <c r="F144" s="49"/>
      <c r="G144" s="49"/>
      <c r="H144" s="24"/>
      <c r="I144" s="25"/>
      <c r="J144" s="25"/>
      <c r="K144" s="28"/>
      <c r="L144" s="28"/>
      <c r="M144" s="69"/>
      <c r="N144" s="69"/>
      <c r="O144" s="24" t="e">
        <f aca="true" t="shared" si="57" ref="O144:O207">J144*100/I144</f>
        <v>#DIV/0!</v>
      </c>
      <c r="P144" s="28" t="e">
        <f t="shared" si="55"/>
        <v>#DIV/0!</v>
      </c>
      <c r="Q144" s="25" t="e">
        <f t="shared" si="56"/>
        <v>#DIV/0!</v>
      </c>
    </row>
    <row r="145" spans="1:17" ht="18.75" customHeight="1">
      <c r="A145" s="37" t="s">
        <v>18</v>
      </c>
      <c r="B145" s="37"/>
      <c r="C145" s="36" t="s">
        <v>15</v>
      </c>
      <c r="D145" s="49">
        <f t="shared" si="54"/>
        <v>687.3</v>
      </c>
      <c r="E145" s="76">
        <f t="shared" si="53"/>
        <v>687.3</v>
      </c>
      <c r="F145" s="49"/>
      <c r="G145" s="49">
        <v>687.3</v>
      </c>
      <c r="H145" s="24"/>
      <c r="I145" s="25"/>
      <c r="J145" s="25"/>
      <c r="K145" s="28" t="e">
        <f>J145/#REF!*100</f>
        <v>#REF!</v>
      </c>
      <c r="L145" s="28" t="e">
        <f>J145/H145*100</f>
        <v>#DIV/0!</v>
      </c>
      <c r="M145" s="69"/>
      <c r="N145" s="69"/>
      <c r="O145" s="24" t="e">
        <f t="shared" si="57"/>
        <v>#DIV/0!</v>
      </c>
      <c r="P145" s="28"/>
      <c r="Q145" s="25"/>
    </row>
    <row r="146" spans="1:17" ht="17.25" customHeight="1" hidden="1">
      <c r="A146" s="29" t="s">
        <v>12</v>
      </c>
      <c r="B146" s="29"/>
      <c r="C146" s="36" t="s">
        <v>7</v>
      </c>
      <c r="D146" s="49">
        <f t="shared" si="54"/>
        <v>0</v>
      </c>
      <c r="E146" s="76">
        <f t="shared" si="53"/>
        <v>0</v>
      </c>
      <c r="F146" s="49"/>
      <c r="G146" s="49"/>
      <c r="H146" s="24"/>
      <c r="I146" s="25"/>
      <c r="J146" s="25"/>
      <c r="K146" s="28" t="e">
        <f>J146/#REF!*100</f>
        <v>#REF!</v>
      </c>
      <c r="L146" s="28"/>
      <c r="M146" s="69"/>
      <c r="N146" s="69"/>
      <c r="O146" s="24" t="e">
        <f t="shared" si="57"/>
        <v>#DIV/0!</v>
      </c>
      <c r="P146" s="28"/>
      <c r="Q146" s="25"/>
    </row>
    <row r="147" spans="1:17" ht="16.5" customHeight="1">
      <c r="A147" s="37" t="s">
        <v>39</v>
      </c>
      <c r="B147" s="57"/>
      <c r="C147" s="23" t="s">
        <v>40</v>
      </c>
      <c r="D147" s="49">
        <f t="shared" si="54"/>
        <v>0</v>
      </c>
      <c r="E147" s="76">
        <f t="shared" si="53"/>
        <v>0</v>
      </c>
      <c r="F147" s="49"/>
      <c r="G147" s="49"/>
      <c r="H147" s="24"/>
      <c r="I147" s="25"/>
      <c r="J147" s="25"/>
      <c r="K147" s="28"/>
      <c r="L147" s="28"/>
      <c r="M147" s="69"/>
      <c r="N147" s="69"/>
      <c r="O147" s="24" t="e">
        <f t="shared" si="57"/>
        <v>#DIV/0!</v>
      </c>
      <c r="P147" s="35"/>
      <c r="Q147" s="32"/>
    </row>
    <row r="148" spans="1:17" ht="12.75">
      <c r="A148" s="33" t="s">
        <v>1</v>
      </c>
      <c r="B148" s="33"/>
      <c r="C148" s="41" t="s">
        <v>0</v>
      </c>
      <c r="D148" s="42">
        <f>D149+D150</f>
        <v>41176.4</v>
      </c>
      <c r="E148" s="42">
        <f aca="true" t="shared" si="58" ref="E148:J148">E149+E150</f>
        <v>20953.7</v>
      </c>
      <c r="F148" s="42">
        <f t="shared" si="58"/>
        <v>10643.7</v>
      </c>
      <c r="G148" s="42">
        <f t="shared" si="58"/>
        <v>10310</v>
      </c>
      <c r="H148" s="42">
        <f t="shared" si="58"/>
        <v>10110</v>
      </c>
      <c r="I148" s="42">
        <f t="shared" si="58"/>
        <v>10112.7</v>
      </c>
      <c r="J148" s="42">
        <f t="shared" si="58"/>
        <v>9505.8</v>
      </c>
      <c r="K148" s="35" t="e">
        <f>J148/#REF!*100</f>
        <v>#REF!</v>
      </c>
      <c r="L148" s="35">
        <f>J148/H148*100</f>
        <v>94.02373887240356</v>
      </c>
      <c r="M148" s="69"/>
      <c r="N148" s="69"/>
      <c r="O148" s="46">
        <f t="shared" si="57"/>
        <v>93.99863537927554</v>
      </c>
      <c r="P148" s="35">
        <f t="shared" si="55"/>
        <v>45.365734929869184</v>
      </c>
      <c r="Q148" s="32">
        <f t="shared" si="56"/>
        <v>23.08555386094947</v>
      </c>
    </row>
    <row r="149" spans="1:17" ht="24">
      <c r="A149" s="21" t="s">
        <v>67</v>
      </c>
      <c r="B149" s="19"/>
      <c r="C149" s="43" t="s">
        <v>20</v>
      </c>
      <c r="D149" s="49">
        <f t="shared" si="54"/>
        <v>41176.4</v>
      </c>
      <c r="E149" s="76">
        <f t="shared" si="53"/>
        <v>20953.7</v>
      </c>
      <c r="F149" s="49">
        <f>10110+378+155.7</f>
        <v>10643.7</v>
      </c>
      <c r="G149" s="49">
        <f>10110+200</f>
        <v>10310</v>
      </c>
      <c r="H149" s="24">
        <v>10110</v>
      </c>
      <c r="I149" s="25">
        <v>10112.7</v>
      </c>
      <c r="J149" s="25">
        <v>9505.8</v>
      </c>
      <c r="K149" s="28" t="e">
        <f>J149/#REF!*100</f>
        <v>#REF!</v>
      </c>
      <c r="L149" s="28">
        <f>J149/H149*100</f>
        <v>94.02373887240356</v>
      </c>
      <c r="M149" s="69"/>
      <c r="N149" s="69"/>
      <c r="O149" s="24">
        <f t="shared" si="57"/>
        <v>93.99863537927554</v>
      </c>
      <c r="P149" s="28">
        <f t="shared" si="55"/>
        <v>45.365734929869184</v>
      </c>
      <c r="Q149" s="25">
        <f t="shared" si="56"/>
        <v>23.08555386094947</v>
      </c>
    </row>
    <row r="150" spans="1:17" ht="12.75" hidden="1">
      <c r="A150" s="21" t="s">
        <v>2</v>
      </c>
      <c r="B150" s="21"/>
      <c r="C150" s="44" t="s">
        <v>19</v>
      </c>
      <c r="D150" s="49">
        <f>F150+G150+H150+I150</f>
        <v>0</v>
      </c>
      <c r="E150" s="73">
        <f>F150</f>
        <v>0</v>
      </c>
      <c r="F150" s="49"/>
      <c r="G150" s="49"/>
      <c r="H150" s="24"/>
      <c r="I150" s="25"/>
      <c r="J150" s="25"/>
      <c r="K150" s="28"/>
      <c r="L150" s="28"/>
      <c r="M150" s="69"/>
      <c r="N150" s="69"/>
      <c r="O150" s="24"/>
      <c r="P150" s="28"/>
      <c r="Q150" s="25"/>
    </row>
    <row r="151" spans="1:17" ht="12.75">
      <c r="A151" s="29"/>
      <c r="B151" s="30"/>
      <c r="C151" s="31" t="s">
        <v>4</v>
      </c>
      <c r="D151" s="32">
        <f aca="true" t="shared" si="59" ref="D151:J151">D148+D138</f>
        <v>55513.7</v>
      </c>
      <c r="E151" s="32">
        <f t="shared" si="59"/>
        <v>28290.600000000002</v>
      </c>
      <c r="F151" s="32">
        <f t="shared" si="59"/>
        <v>13353</v>
      </c>
      <c r="G151" s="32">
        <f t="shared" si="59"/>
        <v>14937.6</v>
      </c>
      <c r="H151" s="32">
        <f t="shared" si="59"/>
        <v>13657.3</v>
      </c>
      <c r="I151" s="32">
        <f t="shared" si="59"/>
        <v>13565.800000000001</v>
      </c>
      <c r="J151" s="32">
        <f t="shared" si="59"/>
        <v>14463.5</v>
      </c>
      <c r="K151" s="35" t="e">
        <f>J151/#REF!*100</f>
        <v>#REF!</v>
      </c>
      <c r="L151" s="35">
        <f>J151/H151*100</f>
        <v>105.9030701529585</v>
      </c>
      <c r="M151" s="69"/>
      <c r="N151" s="70" t="e">
        <f>I151+#REF!+#REF!</f>
        <v>#REF!</v>
      </c>
      <c r="O151" s="46">
        <f t="shared" si="57"/>
        <v>106.61737604859277</v>
      </c>
      <c r="P151" s="35">
        <f t="shared" si="55"/>
        <v>51.12475521904802</v>
      </c>
      <c r="Q151" s="32">
        <f t="shared" si="56"/>
        <v>26.053929030131304</v>
      </c>
    </row>
    <row r="152" spans="1:17" ht="12.75">
      <c r="A152" s="85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7"/>
      <c r="M152" s="69"/>
      <c r="N152" s="69"/>
      <c r="O152" s="67"/>
      <c r="P152" s="35"/>
      <c r="Q152" s="32"/>
    </row>
    <row r="153" spans="1:17" ht="12.75">
      <c r="A153" s="88" t="s">
        <v>33</v>
      </c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35"/>
      <c r="Q153" s="32"/>
    </row>
    <row r="154" spans="1:17" ht="12.75">
      <c r="A154" s="33" t="s">
        <v>3</v>
      </c>
      <c r="B154" s="33"/>
      <c r="C154" s="34" t="s">
        <v>68</v>
      </c>
      <c r="D154" s="35">
        <f aca="true" t="shared" si="60" ref="D154:J154">D155+D156+D157+D158+D160+D161+D162+D159</f>
        <v>4403</v>
      </c>
      <c r="E154" s="35">
        <f t="shared" si="60"/>
        <v>2346</v>
      </c>
      <c r="F154" s="35">
        <f t="shared" si="60"/>
        <v>921.5</v>
      </c>
      <c r="G154" s="35">
        <f t="shared" si="60"/>
        <v>1424.5</v>
      </c>
      <c r="H154" s="35">
        <f t="shared" si="60"/>
        <v>879.5</v>
      </c>
      <c r="I154" s="35">
        <f t="shared" si="60"/>
        <v>1177.5</v>
      </c>
      <c r="J154" s="35">
        <f t="shared" si="60"/>
        <v>1426.7</v>
      </c>
      <c r="K154" s="35" t="e">
        <f>J154/#REF!*100</f>
        <v>#REF!</v>
      </c>
      <c r="L154" s="35">
        <f aca="true" t="shared" si="61" ref="L154:L160">J154/H154*100</f>
        <v>162.2171688459352</v>
      </c>
      <c r="M154" s="69"/>
      <c r="N154" s="69"/>
      <c r="O154" s="35">
        <f t="shared" si="57"/>
        <v>121.16348195329087</v>
      </c>
      <c r="P154" s="35">
        <f t="shared" si="55"/>
        <v>60.814151747655586</v>
      </c>
      <c r="Q154" s="32">
        <f t="shared" si="56"/>
        <v>32.402907108789464</v>
      </c>
    </row>
    <row r="155" spans="1:17" ht="12.75">
      <c r="A155" s="29" t="s">
        <v>23</v>
      </c>
      <c r="B155" s="29"/>
      <c r="C155" s="36" t="s">
        <v>22</v>
      </c>
      <c r="D155" s="49">
        <f>F155+G155+H155+I155</f>
        <v>3206</v>
      </c>
      <c r="E155" s="76">
        <f aca="true" t="shared" si="62" ref="E155:E162">F155+G155</f>
        <v>1470</v>
      </c>
      <c r="F155" s="73">
        <v>570</v>
      </c>
      <c r="G155" s="73">
        <v>900</v>
      </c>
      <c r="H155" s="24">
        <v>680</v>
      </c>
      <c r="I155" s="25">
        <v>1056</v>
      </c>
      <c r="J155" s="25">
        <v>832</v>
      </c>
      <c r="K155" s="28" t="e">
        <f>J155/#REF!*100</f>
        <v>#REF!</v>
      </c>
      <c r="L155" s="28">
        <f t="shared" si="61"/>
        <v>122.3529411764706</v>
      </c>
      <c r="M155" s="69"/>
      <c r="N155" s="69"/>
      <c r="O155" s="24">
        <f t="shared" si="57"/>
        <v>78.78787878787878</v>
      </c>
      <c r="P155" s="28">
        <f t="shared" si="55"/>
        <v>56.59863945578231</v>
      </c>
      <c r="Q155" s="25">
        <f t="shared" si="56"/>
        <v>25.95134123518403</v>
      </c>
    </row>
    <row r="156" spans="1:17" ht="12.75">
      <c r="A156" s="19" t="s">
        <v>9</v>
      </c>
      <c r="B156" s="19"/>
      <c r="C156" s="36" t="s">
        <v>6</v>
      </c>
      <c r="D156" s="49">
        <f aca="true" t="shared" si="63" ref="D156:D164">F156+G156+H156+I156</f>
        <v>300</v>
      </c>
      <c r="E156" s="76">
        <f t="shared" si="62"/>
        <v>105</v>
      </c>
      <c r="F156" s="73">
        <v>52.5</v>
      </c>
      <c r="G156" s="73">
        <v>52.5</v>
      </c>
      <c r="H156" s="24">
        <f>70+52.5+20</f>
        <v>142.5</v>
      </c>
      <c r="I156" s="25">
        <v>52.5</v>
      </c>
      <c r="J156" s="25">
        <v>74.2</v>
      </c>
      <c r="K156" s="28" t="e">
        <f>J156/#REF!*100</f>
        <v>#REF!</v>
      </c>
      <c r="L156" s="28">
        <f t="shared" si="61"/>
        <v>52.070175438596486</v>
      </c>
      <c r="M156" s="69"/>
      <c r="N156" s="69"/>
      <c r="O156" s="24">
        <f t="shared" si="57"/>
        <v>141.33333333333334</v>
      </c>
      <c r="P156" s="28">
        <f t="shared" si="55"/>
        <v>70.66666666666667</v>
      </c>
      <c r="Q156" s="25">
        <f t="shared" si="56"/>
        <v>24.733333333333334</v>
      </c>
    </row>
    <row r="157" spans="1:17" ht="12.75">
      <c r="A157" s="19" t="s">
        <v>10</v>
      </c>
      <c r="B157" s="19"/>
      <c r="C157" s="36" t="s">
        <v>21</v>
      </c>
      <c r="D157" s="49">
        <f t="shared" si="63"/>
        <v>80</v>
      </c>
      <c r="E157" s="76">
        <f t="shared" si="62"/>
        <v>40</v>
      </c>
      <c r="F157" s="73">
        <v>25</v>
      </c>
      <c r="G157" s="73">
        <v>15</v>
      </c>
      <c r="H157" s="24">
        <v>20</v>
      </c>
      <c r="I157" s="25">
        <v>20</v>
      </c>
      <c r="J157" s="25">
        <v>13.7</v>
      </c>
      <c r="K157" s="28" t="e">
        <f>J157/#REF!*100</f>
        <v>#REF!</v>
      </c>
      <c r="L157" s="28">
        <f t="shared" si="61"/>
        <v>68.5</v>
      </c>
      <c r="M157" s="69"/>
      <c r="N157" s="69"/>
      <c r="O157" s="24">
        <f t="shared" si="57"/>
        <v>68.5</v>
      </c>
      <c r="P157" s="28">
        <f t="shared" si="55"/>
        <v>34.25</v>
      </c>
      <c r="Q157" s="25">
        <f t="shared" si="56"/>
        <v>17.125</v>
      </c>
    </row>
    <row r="158" spans="1:17" ht="24">
      <c r="A158" s="20" t="s">
        <v>11</v>
      </c>
      <c r="B158" s="20"/>
      <c r="C158" s="36" t="s">
        <v>17</v>
      </c>
      <c r="D158" s="49">
        <f t="shared" si="63"/>
        <v>510</v>
      </c>
      <c r="E158" s="76">
        <f t="shared" si="62"/>
        <v>454</v>
      </c>
      <c r="F158" s="73">
        <v>27</v>
      </c>
      <c r="G158" s="73">
        <v>427</v>
      </c>
      <c r="H158" s="24">
        <v>27</v>
      </c>
      <c r="I158" s="25">
        <v>29</v>
      </c>
      <c r="J158" s="25">
        <v>237.9</v>
      </c>
      <c r="K158" s="28" t="e">
        <f>J158/#REF!*100</f>
        <v>#REF!</v>
      </c>
      <c r="L158" s="28">
        <f t="shared" si="61"/>
        <v>881.1111111111112</v>
      </c>
      <c r="M158" s="69"/>
      <c r="N158" s="69"/>
      <c r="O158" s="24">
        <f t="shared" si="57"/>
        <v>820.3448275862069</v>
      </c>
      <c r="P158" s="28">
        <f t="shared" si="55"/>
        <v>52.40088105726872</v>
      </c>
      <c r="Q158" s="25">
        <f t="shared" si="56"/>
        <v>46.64705882352941</v>
      </c>
    </row>
    <row r="159" spans="1:17" ht="12.75">
      <c r="A159" s="38" t="s">
        <v>42</v>
      </c>
      <c r="B159" s="38"/>
      <c r="C159" s="36" t="s">
        <v>43</v>
      </c>
      <c r="D159" s="49">
        <f t="shared" si="63"/>
        <v>70</v>
      </c>
      <c r="E159" s="76">
        <f t="shared" si="62"/>
        <v>40</v>
      </c>
      <c r="F159" s="73">
        <v>10</v>
      </c>
      <c r="G159" s="73">
        <v>30</v>
      </c>
      <c r="H159" s="24">
        <v>10</v>
      </c>
      <c r="I159" s="25">
        <v>20</v>
      </c>
      <c r="J159" s="25">
        <v>31.3</v>
      </c>
      <c r="K159" s="28" t="e">
        <f>J159/#REF!*100</f>
        <v>#REF!</v>
      </c>
      <c r="L159" s="28">
        <f t="shared" si="61"/>
        <v>313</v>
      </c>
      <c r="M159" s="69"/>
      <c r="N159" s="69"/>
      <c r="O159" s="24">
        <f t="shared" si="57"/>
        <v>156.5</v>
      </c>
      <c r="P159" s="28">
        <f t="shared" si="55"/>
        <v>78.25</v>
      </c>
      <c r="Q159" s="25">
        <f t="shared" si="56"/>
        <v>44.714285714285715</v>
      </c>
    </row>
    <row r="160" spans="1:17" ht="12.75">
      <c r="A160" s="37" t="s">
        <v>18</v>
      </c>
      <c r="B160" s="37"/>
      <c r="C160" s="36" t="s">
        <v>15</v>
      </c>
      <c r="D160" s="49">
        <f t="shared" si="63"/>
        <v>237</v>
      </c>
      <c r="E160" s="76">
        <f t="shared" si="62"/>
        <v>237</v>
      </c>
      <c r="F160" s="73">
        <v>237</v>
      </c>
      <c r="G160" s="73"/>
      <c r="H160" s="24"/>
      <c r="I160" s="25"/>
      <c r="J160" s="25">
        <v>237.6</v>
      </c>
      <c r="K160" s="28" t="e">
        <f>J160/#REF!*100</f>
        <v>#REF!</v>
      </c>
      <c r="L160" s="28" t="e">
        <f t="shared" si="61"/>
        <v>#DIV/0!</v>
      </c>
      <c r="M160" s="69"/>
      <c r="N160" s="69"/>
      <c r="O160" s="24" t="e">
        <f t="shared" si="57"/>
        <v>#DIV/0!</v>
      </c>
      <c r="P160" s="28">
        <f>J160*100/E160</f>
        <v>100.25316455696202</v>
      </c>
      <c r="Q160" s="25">
        <f>J160*100/D160</f>
        <v>100.25316455696202</v>
      </c>
    </row>
    <row r="161" spans="1:17" ht="12.75" hidden="1">
      <c r="A161" s="29" t="s">
        <v>12</v>
      </c>
      <c r="B161" s="29"/>
      <c r="C161" s="36" t="s">
        <v>7</v>
      </c>
      <c r="D161" s="49">
        <f t="shared" si="63"/>
        <v>0</v>
      </c>
      <c r="E161" s="76">
        <f t="shared" si="62"/>
        <v>0</v>
      </c>
      <c r="F161" s="73"/>
      <c r="G161" s="73"/>
      <c r="H161" s="24"/>
      <c r="I161" s="25"/>
      <c r="J161" s="25"/>
      <c r="K161" s="28"/>
      <c r="L161" s="28"/>
      <c r="M161" s="69"/>
      <c r="N161" s="69"/>
      <c r="O161" s="24" t="e">
        <f t="shared" si="57"/>
        <v>#DIV/0!</v>
      </c>
      <c r="P161" s="28" t="e">
        <f>J161*100/E161</f>
        <v>#DIV/0!</v>
      </c>
      <c r="Q161" s="25" t="e">
        <f>J161*100/D161</f>
        <v>#DIV/0!</v>
      </c>
    </row>
    <row r="162" spans="1:17" ht="14.25" customHeight="1">
      <c r="A162" s="52" t="s">
        <v>39</v>
      </c>
      <c r="B162" s="40"/>
      <c r="C162" s="23" t="s">
        <v>40</v>
      </c>
      <c r="D162" s="49">
        <f t="shared" si="63"/>
        <v>0</v>
      </c>
      <c r="E162" s="76">
        <f t="shared" si="62"/>
        <v>0</v>
      </c>
      <c r="F162" s="73"/>
      <c r="G162" s="73"/>
      <c r="H162" s="24"/>
      <c r="I162" s="25"/>
      <c r="J162" s="25"/>
      <c r="K162" s="28"/>
      <c r="L162" s="28"/>
      <c r="M162" s="69"/>
      <c r="N162" s="69"/>
      <c r="O162" s="24" t="e">
        <f t="shared" si="57"/>
        <v>#DIV/0!</v>
      </c>
      <c r="P162" s="35"/>
      <c r="Q162" s="32"/>
    </row>
    <row r="163" spans="1:17" ht="12.75">
      <c r="A163" s="33" t="s">
        <v>1</v>
      </c>
      <c r="B163" s="33"/>
      <c r="C163" s="41" t="s">
        <v>0</v>
      </c>
      <c r="D163" s="42">
        <f aca="true" t="shared" si="64" ref="D163:J163">D164+D165</f>
        <v>28894.9</v>
      </c>
      <c r="E163" s="82">
        <f t="shared" si="64"/>
        <v>14853.400000000001</v>
      </c>
      <c r="F163" s="82">
        <f t="shared" si="64"/>
        <v>8356.7</v>
      </c>
      <c r="G163" s="82">
        <f t="shared" si="64"/>
        <v>6496.7</v>
      </c>
      <c r="H163" s="42">
        <f t="shared" si="64"/>
        <v>8648.6</v>
      </c>
      <c r="I163" s="42">
        <f t="shared" si="64"/>
        <v>5392.9</v>
      </c>
      <c r="J163" s="42">
        <f t="shared" si="64"/>
        <v>8583.3</v>
      </c>
      <c r="K163" s="35" t="e">
        <f>J163/#REF!*100</f>
        <v>#REF!</v>
      </c>
      <c r="L163" s="35">
        <f>J163/H163*100</f>
        <v>99.24496450292531</v>
      </c>
      <c r="M163" s="69"/>
      <c r="N163" s="69"/>
      <c r="O163" s="46">
        <f t="shared" si="57"/>
        <v>159.15926495948375</v>
      </c>
      <c r="P163" s="35">
        <f t="shared" si="55"/>
        <v>57.78676935920394</v>
      </c>
      <c r="Q163" s="32">
        <f t="shared" si="56"/>
        <v>29.705242101547327</v>
      </c>
    </row>
    <row r="164" spans="1:17" ht="24">
      <c r="A164" s="21" t="s">
        <v>67</v>
      </c>
      <c r="B164" s="19"/>
      <c r="C164" s="43" t="s">
        <v>20</v>
      </c>
      <c r="D164" s="49">
        <f t="shared" si="63"/>
        <v>28894.9</v>
      </c>
      <c r="E164" s="76">
        <f>F164+G164</f>
        <v>14853.400000000001</v>
      </c>
      <c r="F164" s="73">
        <f>4403.5+3953.2</f>
        <v>8356.7</v>
      </c>
      <c r="G164" s="73">
        <f>5796.7+700</f>
        <v>6496.7</v>
      </c>
      <c r="H164" s="24">
        <v>8648.6</v>
      </c>
      <c r="I164" s="25">
        <v>5392.9</v>
      </c>
      <c r="J164" s="25">
        <v>8583.3</v>
      </c>
      <c r="K164" s="28" t="e">
        <f>J164/#REF!*100</f>
        <v>#REF!</v>
      </c>
      <c r="L164" s="28">
        <f>J164/H164*100</f>
        <v>99.24496450292531</v>
      </c>
      <c r="M164" s="69"/>
      <c r="N164" s="69"/>
      <c r="O164" s="24">
        <f t="shared" si="57"/>
        <v>159.15926495948375</v>
      </c>
      <c r="P164" s="28">
        <f t="shared" si="55"/>
        <v>57.78676935920394</v>
      </c>
      <c r="Q164" s="25">
        <f t="shared" si="56"/>
        <v>29.705242101547327</v>
      </c>
    </row>
    <row r="165" spans="1:17" ht="12.75" hidden="1">
      <c r="A165" s="21" t="s">
        <v>2</v>
      </c>
      <c r="B165" s="21"/>
      <c r="C165" s="44" t="s">
        <v>19</v>
      </c>
      <c r="D165" s="49">
        <f>F165+G165+H165+I165</f>
        <v>0</v>
      </c>
      <c r="E165" s="73">
        <f>F165</f>
        <v>0</v>
      </c>
      <c r="F165" s="74"/>
      <c r="G165" s="74"/>
      <c r="H165" s="24"/>
      <c r="I165" s="25"/>
      <c r="J165" s="25"/>
      <c r="K165" s="28" t="e">
        <f>J165/#REF!*100</f>
        <v>#REF!</v>
      </c>
      <c r="L165" s="28"/>
      <c r="M165" s="69"/>
      <c r="N165" s="69"/>
      <c r="O165" s="24" t="e">
        <f t="shared" si="57"/>
        <v>#DIV/0!</v>
      </c>
      <c r="P165" s="28"/>
      <c r="Q165" s="25"/>
    </row>
    <row r="166" spans="1:17" ht="12.75">
      <c r="A166" s="29"/>
      <c r="B166" s="30"/>
      <c r="C166" s="31" t="s">
        <v>4</v>
      </c>
      <c r="D166" s="32">
        <f aca="true" t="shared" si="65" ref="D166:J166">D163+D154</f>
        <v>33297.9</v>
      </c>
      <c r="E166" s="32">
        <f t="shared" si="65"/>
        <v>17199.4</v>
      </c>
      <c r="F166" s="32">
        <f t="shared" si="65"/>
        <v>9278.2</v>
      </c>
      <c r="G166" s="32">
        <f t="shared" si="65"/>
        <v>7921.2</v>
      </c>
      <c r="H166" s="32">
        <f t="shared" si="65"/>
        <v>9528.1</v>
      </c>
      <c r="I166" s="32">
        <f t="shared" si="65"/>
        <v>6570.4</v>
      </c>
      <c r="J166" s="32">
        <f t="shared" si="65"/>
        <v>10010</v>
      </c>
      <c r="K166" s="35" t="e">
        <f>J166/#REF!*100</f>
        <v>#REF!</v>
      </c>
      <c r="L166" s="35">
        <f>J166/H166*100</f>
        <v>105.05767151898068</v>
      </c>
      <c r="M166" s="69"/>
      <c r="N166" s="70" t="e">
        <f>I166+#REF!+#REF!</f>
        <v>#REF!</v>
      </c>
      <c r="O166" s="46">
        <f t="shared" si="57"/>
        <v>152.3499330329965</v>
      </c>
      <c r="P166" s="35">
        <f t="shared" si="55"/>
        <v>58.19970464085956</v>
      </c>
      <c r="Q166" s="32">
        <f t="shared" si="56"/>
        <v>30.0619558590782</v>
      </c>
    </row>
    <row r="167" spans="1:17" ht="12.75">
      <c r="A167" s="85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7"/>
      <c r="M167" s="69"/>
      <c r="N167" s="69"/>
      <c r="O167" s="67"/>
      <c r="P167" s="35"/>
      <c r="Q167" s="32"/>
    </row>
    <row r="168" spans="1:17" ht="12.75">
      <c r="A168" s="88" t="s">
        <v>34</v>
      </c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35"/>
      <c r="Q168" s="32"/>
    </row>
    <row r="169" spans="1:17" ht="12.75">
      <c r="A169" s="33" t="s">
        <v>3</v>
      </c>
      <c r="B169" s="33"/>
      <c r="C169" s="34" t="s">
        <v>68</v>
      </c>
      <c r="D169" s="35">
        <f aca="true" t="shared" si="66" ref="D169:J169">D170+D171+D172+D173+D174+D176+D178+D177+D175</f>
        <v>15964</v>
      </c>
      <c r="E169" s="35">
        <f t="shared" si="66"/>
        <v>7143</v>
      </c>
      <c r="F169" s="35">
        <f t="shared" si="66"/>
        <v>3095</v>
      </c>
      <c r="G169" s="35">
        <f t="shared" si="66"/>
        <v>4048</v>
      </c>
      <c r="H169" s="35">
        <f t="shared" si="66"/>
        <v>4280.5</v>
      </c>
      <c r="I169" s="35">
        <f t="shared" si="66"/>
        <v>4540.5</v>
      </c>
      <c r="J169" s="35">
        <f t="shared" si="66"/>
        <v>6485.700000000001</v>
      </c>
      <c r="K169" s="35" t="e">
        <f>J169/#REF!*100</f>
        <v>#REF!</v>
      </c>
      <c r="L169" s="35">
        <f>J169/H169*100</f>
        <v>151.51734610442708</v>
      </c>
      <c r="M169" s="69"/>
      <c r="N169" s="69"/>
      <c r="O169" s="35">
        <f t="shared" si="57"/>
        <v>142.84109679550713</v>
      </c>
      <c r="P169" s="35">
        <f t="shared" si="55"/>
        <v>90.79798404031921</v>
      </c>
      <c r="Q169" s="32">
        <f t="shared" si="56"/>
        <v>40.6270358306189</v>
      </c>
    </row>
    <row r="170" spans="1:17" ht="12.75">
      <c r="A170" s="29" t="s">
        <v>23</v>
      </c>
      <c r="B170" s="29"/>
      <c r="C170" s="36" t="s">
        <v>22</v>
      </c>
      <c r="D170" s="49">
        <f>F170+G170+H170+I170</f>
        <v>14100</v>
      </c>
      <c r="E170" s="76">
        <f>F170+G170</f>
        <v>6624</v>
      </c>
      <c r="F170" s="49">
        <f>2900+12</f>
        <v>2912</v>
      </c>
      <c r="G170" s="49">
        <f>3700+12</f>
        <v>3712</v>
      </c>
      <c r="H170" s="24">
        <f>3600+12.5</f>
        <v>3612.5</v>
      </c>
      <c r="I170" s="25">
        <f>3850+13.5</f>
        <v>3863.5</v>
      </c>
      <c r="J170" s="25">
        <v>5612.8</v>
      </c>
      <c r="K170" s="28" t="e">
        <f>J170/#REF!*100</f>
        <v>#REF!</v>
      </c>
      <c r="L170" s="28">
        <f>J170/H170*100</f>
        <v>155.37162629757785</v>
      </c>
      <c r="M170" s="69"/>
      <c r="N170" s="69"/>
      <c r="O170" s="24">
        <f t="shared" si="57"/>
        <v>145.27759803287174</v>
      </c>
      <c r="P170" s="28">
        <f t="shared" si="55"/>
        <v>84.73429951690821</v>
      </c>
      <c r="Q170" s="25">
        <f t="shared" si="56"/>
        <v>39.80709219858156</v>
      </c>
    </row>
    <row r="171" spans="1:17" ht="12.75" customHeight="1" hidden="1">
      <c r="A171" s="19" t="s">
        <v>8</v>
      </c>
      <c r="B171" s="19"/>
      <c r="C171" s="36" t="s">
        <v>5</v>
      </c>
      <c r="D171" s="49">
        <f aca="true" t="shared" si="67" ref="D171:D180">F171+G171+H171+I171</f>
        <v>0</v>
      </c>
      <c r="E171" s="76">
        <f aca="true" t="shared" si="68" ref="E171:E180">F171+G171</f>
        <v>0</v>
      </c>
      <c r="F171" s="49"/>
      <c r="G171" s="49"/>
      <c r="H171" s="24"/>
      <c r="I171" s="25"/>
      <c r="J171" s="25"/>
      <c r="K171" s="28"/>
      <c r="L171" s="28"/>
      <c r="M171" s="69"/>
      <c r="N171" s="69"/>
      <c r="O171" s="24" t="e">
        <f t="shared" si="57"/>
        <v>#DIV/0!</v>
      </c>
      <c r="P171" s="28"/>
      <c r="Q171" s="25"/>
    </row>
    <row r="172" spans="1:17" ht="12.75">
      <c r="A172" s="19" t="s">
        <v>9</v>
      </c>
      <c r="B172" s="19"/>
      <c r="C172" s="36" t="s">
        <v>6</v>
      </c>
      <c r="D172" s="49">
        <f t="shared" si="67"/>
        <v>1297</v>
      </c>
      <c r="E172" s="76">
        <f t="shared" si="68"/>
        <v>233</v>
      </c>
      <c r="F172" s="49">
        <f>20+3+30</f>
        <v>53</v>
      </c>
      <c r="G172" s="49">
        <f>50+40+90</f>
        <v>180</v>
      </c>
      <c r="H172" s="24">
        <f>170+40+300</f>
        <v>510</v>
      </c>
      <c r="I172" s="25">
        <f>250.5+123.5+180</f>
        <v>554</v>
      </c>
      <c r="J172" s="25">
        <v>657.8</v>
      </c>
      <c r="K172" s="28" t="e">
        <f>J172/#REF!*100</f>
        <v>#REF!</v>
      </c>
      <c r="L172" s="28">
        <f>J172/H172*100</f>
        <v>128.98039215686273</v>
      </c>
      <c r="M172" s="69"/>
      <c r="N172" s="69"/>
      <c r="O172" s="24">
        <f t="shared" si="57"/>
        <v>118.73646209386281</v>
      </c>
      <c r="P172" s="28">
        <f t="shared" si="55"/>
        <v>282.3175965665236</v>
      </c>
      <c r="Q172" s="25">
        <f t="shared" si="56"/>
        <v>50.71703932151118</v>
      </c>
    </row>
    <row r="173" spans="1:17" ht="12.75">
      <c r="A173" s="19" t="s">
        <v>10</v>
      </c>
      <c r="B173" s="19"/>
      <c r="C173" s="36" t="s">
        <v>21</v>
      </c>
      <c r="D173" s="49">
        <f t="shared" si="67"/>
        <v>116</v>
      </c>
      <c r="E173" s="76">
        <f t="shared" si="68"/>
        <v>50</v>
      </c>
      <c r="F173" s="49">
        <v>15</v>
      </c>
      <c r="G173" s="49">
        <v>35</v>
      </c>
      <c r="H173" s="24">
        <v>45</v>
      </c>
      <c r="I173" s="25">
        <v>21</v>
      </c>
      <c r="J173" s="25">
        <v>48.1</v>
      </c>
      <c r="K173" s="28" t="e">
        <f>J173/#REF!*100</f>
        <v>#REF!</v>
      </c>
      <c r="L173" s="28">
        <f>J173/H173*100</f>
        <v>106.8888888888889</v>
      </c>
      <c r="M173" s="69"/>
      <c r="N173" s="69"/>
      <c r="O173" s="24">
        <f t="shared" si="57"/>
        <v>229.04761904761904</v>
      </c>
      <c r="P173" s="28">
        <f t="shared" si="55"/>
        <v>96.2</v>
      </c>
      <c r="Q173" s="25">
        <f t="shared" si="56"/>
        <v>41.46551724137931</v>
      </c>
    </row>
    <row r="174" spans="1:17" ht="24">
      <c r="A174" s="20" t="s">
        <v>11</v>
      </c>
      <c r="B174" s="20"/>
      <c r="C174" s="36" t="s">
        <v>17</v>
      </c>
      <c r="D174" s="49">
        <f t="shared" si="67"/>
        <v>341</v>
      </c>
      <c r="E174" s="76">
        <f t="shared" si="68"/>
        <v>146</v>
      </c>
      <c r="F174" s="49">
        <f>25+30</f>
        <v>55</v>
      </c>
      <c r="G174" s="49">
        <f>43+48</f>
        <v>91</v>
      </c>
      <c r="H174" s="24">
        <f>45+48</f>
        <v>93</v>
      </c>
      <c r="I174" s="25">
        <f>54+48</f>
        <v>102</v>
      </c>
      <c r="J174" s="25">
        <v>135.8</v>
      </c>
      <c r="K174" s="28" t="e">
        <f>J174/#REF!*100</f>
        <v>#REF!</v>
      </c>
      <c r="L174" s="28">
        <f>J174/H174*100</f>
        <v>146.0215053763441</v>
      </c>
      <c r="M174" s="69"/>
      <c r="N174" s="69"/>
      <c r="O174" s="24">
        <f t="shared" si="57"/>
        <v>133.1372549019608</v>
      </c>
      <c r="P174" s="28">
        <f t="shared" si="55"/>
        <v>93.013698630137</v>
      </c>
      <c r="Q174" s="25">
        <f t="shared" si="56"/>
        <v>39.82404692082112</v>
      </c>
    </row>
    <row r="175" spans="1:17" ht="12.75">
      <c r="A175" s="37" t="s">
        <v>42</v>
      </c>
      <c r="B175" s="38"/>
      <c r="C175" s="36" t="s">
        <v>43</v>
      </c>
      <c r="D175" s="49">
        <f t="shared" si="67"/>
        <v>110</v>
      </c>
      <c r="E175" s="76">
        <f t="shared" si="68"/>
        <v>90</v>
      </c>
      <c r="F175" s="49">
        <v>60</v>
      </c>
      <c r="G175" s="49">
        <v>30</v>
      </c>
      <c r="H175" s="24">
        <v>20</v>
      </c>
      <c r="I175" s="25"/>
      <c r="J175" s="25">
        <v>28.2</v>
      </c>
      <c r="K175" s="28" t="e">
        <f>J175/#REF!*100</f>
        <v>#REF!</v>
      </c>
      <c r="L175" s="28">
        <f>J175/H175*100</f>
        <v>141</v>
      </c>
      <c r="M175" s="69"/>
      <c r="N175" s="69"/>
      <c r="O175" s="24" t="e">
        <f t="shared" si="57"/>
        <v>#DIV/0!</v>
      </c>
      <c r="P175" s="28">
        <f t="shared" si="55"/>
        <v>31.333333333333332</v>
      </c>
      <c r="Q175" s="25">
        <f t="shared" si="56"/>
        <v>25.636363636363637</v>
      </c>
    </row>
    <row r="176" spans="1:17" ht="12.75">
      <c r="A176" s="37" t="s">
        <v>18</v>
      </c>
      <c r="B176" s="38"/>
      <c r="C176" s="36" t="s">
        <v>15</v>
      </c>
      <c r="D176" s="49">
        <f t="shared" si="67"/>
        <v>0</v>
      </c>
      <c r="E176" s="76">
        <f t="shared" si="68"/>
        <v>0</v>
      </c>
      <c r="F176" s="49"/>
      <c r="G176" s="49"/>
      <c r="H176" s="24"/>
      <c r="I176" s="25"/>
      <c r="J176" s="25">
        <v>3</v>
      </c>
      <c r="K176" s="28" t="e">
        <f>J176/#REF!*100</f>
        <v>#REF!</v>
      </c>
      <c r="L176" s="28" t="e">
        <f>J176/H176*100</f>
        <v>#DIV/0!</v>
      </c>
      <c r="M176" s="69"/>
      <c r="N176" s="69"/>
      <c r="O176" s="24" t="e">
        <f t="shared" si="57"/>
        <v>#DIV/0!</v>
      </c>
      <c r="P176" s="28"/>
      <c r="Q176" s="25"/>
    </row>
    <row r="177" spans="1:17" ht="18" customHeight="1" hidden="1">
      <c r="A177" s="29" t="s">
        <v>12</v>
      </c>
      <c r="B177" s="29"/>
      <c r="C177" s="36" t="s">
        <v>7</v>
      </c>
      <c r="D177" s="49">
        <f t="shared" si="67"/>
        <v>0</v>
      </c>
      <c r="E177" s="76">
        <f t="shared" si="68"/>
        <v>0</v>
      </c>
      <c r="F177" s="49"/>
      <c r="G177" s="49"/>
      <c r="H177" s="24"/>
      <c r="I177" s="25"/>
      <c r="J177" s="25"/>
      <c r="K177" s="28" t="e">
        <f>J177/#REF!*100</f>
        <v>#REF!</v>
      </c>
      <c r="L177" s="28"/>
      <c r="M177" s="69"/>
      <c r="N177" s="69"/>
      <c r="O177" s="24" t="e">
        <f t="shared" si="57"/>
        <v>#DIV/0!</v>
      </c>
      <c r="P177" s="28"/>
      <c r="Q177" s="25"/>
    </row>
    <row r="178" spans="1:17" ht="11.25" customHeight="1">
      <c r="A178" s="52" t="s">
        <v>39</v>
      </c>
      <c r="B178" s="40"/>
      <c r="C178" s="23" t="s">
        <v>40</v>
      </c>
      <c r="D178" s="49">
        <f t="shared" si="67"/>
        <v>0</v>
      </c>
      <c r="E178" s="76">
        <f t="shared" si="68"/>
        <v>0</v>
      </c>
      <c r="F178" s="81"/>
      <c r="G178" s="81"/>
      <c r="H178" s="24"/>
      <c r="I178" s="25"/>
      <c r="J178" s="25"/>
      <c r="K178" s="28" t="e">
        <f>J178/#REF!*100</f>
        <v>#REF!</v>
      </c>
      <c r="L178" s="28"/>
      <c r="M178" s="69"/>
      <c r="N178" s="69"/>
      <c r="O178" s="24" t="e">
        <f t="shared" si="57"/>
        <v>#DIV/0!</v>
      </c>
      <c r="P178" s="35"/>
      <c r="Q178" s="32"/>
    </row>
    <row r="179" spans="1:17" ht="12.75">
      <c r="A179" s="45" t="s">
        <v>1</v>
      </c>
      <c r="B179" s="33"/>
      <c r="C179" s="41" t="s">
        <v>0</v>
      </c>
      <c r="D179" s="46">
        <f aca="true" t="shared" si="69" ref="D179:J179">D180</f>
        <v>38436.5</v>
      </c>
      <c r="E179" s="46">
        <f t="shared" si="69"/>
        <v>16067.400000000001</v>
      </c>
      <c r="F179" s="46">
        <f t="shared" si="69"/>
        <v>6152.8</v>
      </c>
      <c r="G179" s="46">
        <f t="shared" si="69"/>
        <v>9914.6</v>
      </c>
      <c r="H179" s="46">
        <f t="shared" si="69"/>
        <v>15051.4</v>
      </c>
      <c r="I179" s="46">
        <f t="shared" si="69"/>
        <v>7317.7</v>
      </c>
      <c r="J179" s="46">
        <f t="shared" si="69"/>
        <v>10257.3</v>
      </c>
      <c r="K179" s="35" t="e">
        <f>J179/#REF!*100</f>
        <v>#REF!</v>
      </c>
      <c r="L179" s="35">
        <f>J179/H179*100</f>
        <v>68.14847788245612</v>
      </c>
      <c r="M179" s="69"/>
      <c r="N179" s="69"/>
      <c r="O179" s="46">
        <f t="shared" si="57"/>
        <v>140.17109200978447</v>
      </c>
      <c r="P179" s="35">
        <f t="shared" si="55"/>
        <v>63.839202360058245</v>
      </c>
      <c r="Q179" s="32">
        <f t="shared" si="56"/>
        <v>26.686352815683005</v>
      </c>
    </row>
    <row r="180" spans="1:17" ht="24">
      <c r="A180" s="84" t="s">
        <v>67</v>
      </c>
      <c r="B180" s="19"/>
      <c r="C180" s="43" t="s">
        <v>20</v>
      </c>
      <c r="D180" s="49">
        <f t="shared" si="67"/>
        <v>38436.5</v>
      </c>
      <c r="E180" s="76">
        <f t="shared" si="68"/>
        <v>16067.400000000001</v>
      </c>
      <c r="F180" s="49">
        <f>8637.6-2532.5+47.7</f>
        <v>6152.8</v>
      </c>
      <c r="G180" s="49">
        <f>9860.5+54.1</f>
        <v>9914.6</v>
      </c>
      <c r="H180" s="24">
        <v>15051.4</v>
      </c>
      <c r="I180" s="25">
        <v>7317.7</v>
      </c>
      <c r="J180" s="25">
        <v>10257.3</v>
      </c>
      <c r="K180" s="28" t="e">
        <f>J180/#REF!*100</f>
        <v>#REF!</v>
      </c>
      <c r="L180" s="28">
        <f>J180/H180*100</f>
        <v>68.14847788245612</v>
      </c>
      <c r="M180" s="69"/>
      <c r="N180" s="69"/>
      <c r="O180" s="24">
        <f t="shared" si="57"/>
        <v>140.17109200978447</v>
      </c>
      <c r="P180" s="28">
        <f t="shared" si="55"/>
        <v>63.839202360058245</v>
      </c>
      <c r="Q180" s="25">
        <f t="shared" si="56"/>
        <v>26.686352815683005</v>
      </c>
    </row>
    <row r="181" spans="1:17" ht="12.75">
      <c r="A181" s="29"/>
      <c r="B181" s="30"/>
      <c r="C181" s="31" t="s">
        <v>4</v>
      </c>
      <c r="D181" s="32">
        <f aca="true" t="shared" si="70" ref="D181:J181">D179+D169</f>
        <v>54400.5</v>
      </c>
      <c r="E181" s="32">
        <f t="shared" si="70"/>
        <v>23210.4</v>
      </c>
      <c r="F181" s="32">
        <f t="shared" si="70"/>
        <v>9247.8</v>
      </c>
      <c r="G181" s="32">
        <f t="shared" si="70"/>
        <v>13962.6</v>
      </c>
      <c r="H181" s="32">
        <f t="shared" si="70"/>
        <v>19331.9</v>
      </c>
      <c r="I181" s="32">
        <f t="shared" si="70"/>
        <v>11858.2</v>
      </c>
      <c r="J181" s="32">
        <f t="shared" si="70"/>
        <v>16743</v>
      </c>
      <c r="K181" s="35" t="e">
        <f>J181/#REF!*100</f>
        <v>#REF!</v>
      </c>
      <c r="L181" s="35">
        <f>J181/H181*100</f>
        <v>86.60814508661848</v>
      </c>
      <c r="M181" s="69"/>
      <c r="N181" s="70" t="e">
        <f>I181+#REF!+#REF!</f>
        <v>#REF!</v>
      </c>
      <c r="O181" s="46">
        <f t="shared" si="57"/>
        <v>141.19343576596785</v>
      </c>
      <c r="P181" s="35">
        <f t="shared" si="55"/>
        <v>72.13576672526109</v>
      </c>
      <c r="Q181" s="32">
        <f t="shared" si="56"/>
        <v>30.777290649902113</v>
      </c>
    </row>
    <row r="182" spans="1:17" ht="12.75">
      <c r="A182" s="85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7"/>
      <c r="M182" s="69"/>
      <c r="N182" s="69"/>
      <c r="O182" s="67"/>
      <c r="P182" s="35"/>
      <c r="Q182" s="32"/>
    </row>
    <row r="183" spans="1:17" ht="12.75">
      <c r="A183" s="88" t="s">
        <v>35</v>
      </c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35"/>
      <c r="Q183" s="32"/>
    </row>
    <row r="184" spans="1:17" ht="12.75">
      <c r="A184" s="33" t="s">
        <v>3</v>
      </c>
      <c r="B184" s="33"/>
      <c r="C184" s="34" t="s">
        <v>68</v>
      </c>
      <c r="D184" s="35">
        <f aca="true" t="shared" si="71" ref="D184:J184">D185+D187+D189+D190+D188+D191+D192+D186</f>
        <v>1193.8</v>
      </c>
      <c r="E184" s="35">
        <f t="shared" si="71"/>
        <v>529.9</v>
      </c>
      <c r="F184" s="35">
        <f t="shared" si="71"/>
        <v>211</v>
      </c>
      <c r="G184" s="35">
        <f t="shared" si="71"/>
        <v>318.9</v>
      </c>
      <c r="H184" s="35">
        <f t="shared" si="71"/>
        <v>275.9</v>
      </c>
      <c r="I184" s="35">
        <f t="shared" si="71"/>
        <v>388</v>
      </c>
      <c r="J184" s="35">
        <f t="shared" si="71"/>
        <v>456.40000000000003</v>
      </c>
      <c r="K184" s="35" t="e">
        <f>J184/#REF!*100</f>
        <v>#REF!</v>
      </c>
      <c r="L184" s="35">
        <f aca="true" t="shared" si="72" ref="L184:L190">J184/H184*100</f>
        <v>165.4222544400145</v>
      </c>
      <c r="M184" s="69"/>
      <c r="N184" s="69"/>
      <c r="O184" s="35">
        <f t="shared" si="57"/>
        <v>117.62886597938144</v>
      </c>
      <c r="P184" s="35">
        <f t="shared" si="55"/>
        <v>86.12945838837517</v>
      </c>
      <c r="Q184" s="32">
        <f t="shared" si="56"/>
        <v>38.23085944044229</v>
      </c>
    </row>
    <row r="185" spans="1:17" ht="12.75">
      <c r="A185" s="29" t="s">
        <v>23</v>
      </c>
      <c r="B185" s="29"/>
      <c r="C185" s="36" t="s">
        <v>22</v>
      </c>
      <c r="D185" s="49">
        <f>F185+G185+H185+I185</f>
        <v>1015</v>
      </c>
      <c r="E185" s="76">
        <f aca="true" t="shared" si="73" ref="E185:E194">F185+G185</f>
        <v>475</v>
      </c>
      <c r="F185" s="49">
        <v>190</v>
      </c>
      <c r="G185" s="49">
        <v>285</v>
      </c>
      <c r="H185" s="24">
        <v>235</v>
      </c>
      <c r="I185" s="24">
        <v>305</v>
      </c>
      <c r="J185" s="25">
        <v>322</v>
      </c>
      <c r="K185" s="28" t="e">
        <f>J185/#REF!*100</f>
        <v>#REF!</v>
      </c>
      <c r="L185" s="28">
        <f t="shared" si="72"/>
        <v>137.02127659574467</v>
      </c>
      <c r="M185" s="69"/>
      <c r="N185" s="69"/>
      <c r="O185" s="24">
        <f t="shared" si="57"/>
        <v>105.57377049180327</v>
      </c>
      <c r="P185" s="28">
        <f t="shared" si="55"/>
        <v>67.78947368421052</v>
      </c>
      <c r="Q185" s="25">
        <f t="shared" si="56"/>
        <v>31.724137931034484</v>
      </c>
    </row>
    <row r="186" spans="1:17" ht="12.75">
      <c r="A186" s="19" t="s">
        <v>8</v>
      </c>
      <c r="B186" s="58" t="s">
        <v>55</v>
      </c>
      <c r="C186" s="36" t="s">
        <v>5</v>
      </c>
      <c r="D186" s="49">
        <f aca="true" t="shared" si="74" ref="D186:D194">F186+G186+H186+I186</f>
        <v>1</v>
      </c>
      <c r="E186" s="76">
        <f t="shared" si="73"/>
        <v>1</v>
      </c>
      <c r="F186" s="49"/>
      <c r="G186" s="49">
        <v>1</v>
      </c>
      <c r="H186" s="24"/>
      <c r="I186" s="24"/>
      <c r="J186" s="25">
        <v>6.5</v>
      </c>
      <c r="K186" s="28" t="e">
        <f>J186/#REF!*100</f>
        <v>#REF!</v>
      </c>
      <c r="L186" s="28"/>
      <c r="M186" s="69"/>
      <c r="N186" s="69"/>
      <c r="O186" s="24" t="e">
        <f t="shared" si="57"/>
        <v>#DIV/0!</v>
      </c>
      <c r="P186" s="28"/>
      <c r="Q186" s="25">
        <f t="shared" si="56"/>
        <v>650</v>
      </c>
    </row>
    <row r="187" spans="1:17" ht="12.75">
      <c r="A187" s="19" t="s">
        <v>9</v>
      </c>
      <c r="B187" s="19"/>
      <c r="C187" s="36" t="s">
        <v>6</v>
      </c>
      <c r="D187" s="49">
        <f t="shared" si="74"/>
        <v>77.8</v>
      </c>
      <c r="E187" s="76">
        <f t="shared" si="73"/>
        <v>9.9</v>
      </c>
      <c r="F187" s="49">
        <f>3+1</f>
        <v>4</v>
      </c>
      <c r="G187" s="49">
        <f>4+0.9+1</f>
        <v>5.9</v>
      </c>
      <c r="H187" s="24">
        <f>6+0.9+8</f>
        <v>14.9</v>
      </c>
      <c r="I187" s="24">
        <f>37+16</f>
        <v>53</v>
      </c>
      <c r="J187" s="25">
        <v>98.6</v>
      </c>
      <c r="K187" s="28" t="e">
        <f>J187/#REF!*100</f>
        <v>#REF!</v>
      </c>
      <c r="L187" s="28">
        <f t="shared" si="72"/>
        <v>661.744966442953</v>
      </c>
      <c r="M187" s="69"/>
      <c r="N187" s="69"/>
      <c r="O187" s="24">
        <f t="shared" si="57"/>
        <v>186.03773584905662</v>
      </c>
      <c r="P187" s="28">
        <f t="shared" si="55"/>
        <v>995.959595959596</v>
      </c>
      <c r="Q187" s="25">
        <f t="shared" si="56"/>
        <v>126.73521850899743</v>
      </c>
    </row>
    <row r="188" spans="1:17" ht="12.75">
      <c r="A188" s="19" t="s">
        <v>10</v>
      </c>
      <c r="B188" s="19"/>
      <c r="C188" s="36" t="s">
        <v>21</v>
      </c>
      <c r="D188" s="49">
        <f t="shared" si="74"/>
        <v>35</v>
      </c>
      <c r="E188" s="76">
        <f t="shared" si="73"/>
        <v>12</v>
      </c>
      <c r="F188" s="49">
        <v>1</v>
      </c>
      <c r="G188" s="49">
        <v>11</v>
      </c>
      <c r="H188" s="24">
        <v>10</v>
      </c>
      <c r="I188" s="24">
        <v>13</v>
      </c>
      <c r="J188" s="25">
        <v>8.2</v>
      </c>
      <c r="K188" s="28" t="e">
        <f>J188/#REF!*100</f>
        <v>#REF!</v>
      </c>
      <c r="L188" s="28">
        <f t="shared" si="72"/>
        <v>82</v>
      </c>
      <c r="M188" s="69"/>
      <c r="N188" s="69"/>
      <c r="O188" s="24">
        <f t="shared" si="57"/>
        <v>63.076923076923066</v>
      </c>
      <c r="P188" s="28">
        <f t="shared" si="55"/>
        <v>68.33333333333333</v>
      </c>
      <c r="Q188" s="25">
        <f t="shared" si="56"/>
        <v>23.428571428571427</v>
      </c>
    </row>
    <row r="189" spans="1:17" ht="24">
      <c r="A189" s="20" t="s">
        <v>11</v>
      </c>
      <c r="B189" s="20"/>
      <c r="C189" s="36" t="s">
        <v>17</v>
      </c>
      <c r="D189" s="49">
        <f t="shared" si="74"/>
        <v>65</v>
      </c>
      <c r="E189" s="76">
        <f t="shared" si="73"/>
        <v>32</v>
      </c>
      <c r="F189" s="49">
        <v>16</v>
      </c>
      <c r="G189" s="49">
        <v>16</v>
      </c>
      <c r="H189" s="24">
        <v>16</v>
      </c>
      <c r="I189" s="24">
        <v>17</v>
      </c>
      <c r="J189" s="25">
        <v>21.1</v>
      </c>
      <c r="K189" s="28" t="e">
        <f>J189/#REF!*100</f>
        <v>#REF!</v>
      </c>
      <c r="L189" s="28">
        <f t="shared" si="72"/>
        <v>131.875</v>
      </c>
      <c r="M189" s="69"/>
      <c r="N189" s="69"/>
      <c r="O189" s="24">
        <f t="shared" si="57"/>
        <v>124.11764705882354</v>
      </c>
      <c r="P189" s="28">
        <f t="shared" si="55"/>
        <v>65.9375</v>
      </c>
      <c r="Q189" s="25">
        <f t="shared" si="56"/>
        <v>32.46153846153846</v>
      </c>
    </row>
    <row r="190" spans="1:17" ht="12.75" hidden="1">
      <c r="A190" s="37" t="s">
        <v>18</v>
      </c>
      <c r="B190" s="37"/>
      <c r="C190" s="36" t="s">
        <v>15</v>
      </c>
      <c r="D190" s="49">
        <f t="shared" si="74"/>
        <v>0</v>
      </c>
      <c r="E190" s="76">
        <f t="shared" si="73"/>
        <v>0</v>
      </c>
      <c r="F190" s="49"/>
      <c r="G190" s="49"/>
      <c r="H190" s="24"/>
      <c r="I190" s="24"/>
      <c r="J190" s="25"/>
      <c r="K190" s="28" t="e">
        <f>J190/#REF!*100</f>
        <v>#REF!</v>
      </c>
      <c r="L190" s="28" t="e">
        <f t="shared" si="72"/>
        <v>#DIV/0!</v>
      </c>
      <c r="M190" s="69"/>
      <c r="N190" s="69"/>
      <c r="O190" s="24" t="e">
        <f t="shared" si="57"/>
        <v>#DIV/0!</v>
      </c>
      <c r="P190" s="28"/>
      <c r="Q190" s="25"/>
    </row>
    <row r="191" spans="1:17" ht="15.75" customHeight="1" hidden="1">
      <c r="A191" s="37" t="s">
        <v>12</v>
      </c>
      <c r="B191" s="57"/>
      <c r="C191" s="36" t="s">
        <v>7</v>
      </c>
      <c r="D191" s="49">
        <f t="shared" si="74"/>
        <v>0</v>
      </c>
      <c r="E191" s="76">
        <f t="shared" si="73"/>
        <v>0</v>
      </c>
      <c r="F191" s="49"/>
      <c r="G191" s="49"/>
      <c r="H191" s="24"/>
      <c r="I191" s="24"/>
      <c r="J191" s="25"/>
      <c r="K191" s="28" t="e">
        <f>J191/#REF!*100</f>
        <v>#REF!</v>
      </c>
      <c r="L191" s="28"/>
      <c r="M191" s="69"/>
      <c r="N191" s="69"/>
      <c r="O191" s="24" t="e">
        <f t="shared" si="57"/>
        <v>#DIV/0!</v>
      </c>
      <c r="P191" s="28"/>
      <c r="Q191" s="25"/>
    </row>
    <row r="192" spans="1:17" ht="13.5" customHeight="1">
      <c r="A192" s="52" t="s">
        <v>39</v>
      </c>
      <c r="B192" s="40"/>
      <c r="C192" s="23" t="s">
        <v>40</v>
      </c>
      <c r="D192" s="49">
        <f t="shared" si="74"/>
        <v>0</v>
      </c>
      <c r="E192" s="76">
        <f t="shared" si="73"/>
        <v>0</v>
      </c>
      <c r="F192" s="49"/>
      <c r="G192" s="49"/>
      <c r="H192" s="24"/>
      <c r="I192" s="24"/>
      <c r="J192" s="25"/>
      <c r="K192" s="28" t="e">
        <f>J192/#REF!*100</f>
        <v>#REF!</v>
      </c>
      <c r="L192" s="28"/>
      <c r="M192" s="69"/>
      <c r="N192" s="69"/>
      <c r="O192" s="24"/>
      <c r="P192" s="28"/>
      <c r="Q192" s="25"/>
    </row>
    <row r="193" spans="1:17" ht="12.75">
      <c r="A193" s="33" t="s">
        <v>1</v>
      </c>
      <c r="B193" s="33"/>
      <c r="C193" s="41" t="s">
        <v>0</v>
      </c>
      <c r="D193" s="42">
        <f aca="true" t="shared" si="75" ref="D193:J193">D194</f>
        <v>21743.9</v>
      </c>
      <c r="E193" s="42">
        <f t="shared" si="75"/>
        <v>11219.7</v>
      </c>
      <c r="F193" s="42">
        <f t="shared" si="75"/>
        <v>4922.8</v>
      </c>
      <c r="G193" s="42">
        <f t="shared" si="75"/>
        <v>6296.9</v>
      </c>
      <c r="H193" s="42">
        <f t="shared" si="75"/>
        <v>6239.6</v>
      </c>
      <c r="I193" s="42">
        <f t="shared" si="75"/>
        <v>4284.6</v>
      </c>
      <c r="J193" s="42">
        <f t="shared" si="75"/>
        <v>6063.8</v>
      </c>
      <c r="K193" s="35" t="e">
        <f>J193/#REF!*100</f>
        <v>#REF!</v>
      </c>
      <c r="L193" s="35">
        <f>J193/H193*100</f>
        <v>97.18251169946791</v>
      </c>
      <c r="M193" s="69"/>
      <c r="N193" s="69"/>
      <c r="O193" s="46">
        <f t="shared" si="57"/>
        <v>141.5254632871213</v>
      </c>
      <c r="P193" s="35">
        <f t="shared" si="55"/>
        <v>54.046008360294834</v>
      </c>
      <c r="Q193" s="32">
        <f t="shared" si="56"/>
        <v>27.88736151288407</v>
      </c>
    </row>
    <row r="194" spans="1:17" ht="24">
      <c r="A194" s="21" t="s">
        <v>67</v>
      </c>
      <c r="B194" s="19"/>
      <c r="C194" s="43" t="s">
        <v>20</v>
      </c>
      <c r="D194" s="49">
        <f t="shared" si="74"/>
        <v>21743.9</v>
      </c>
      <c r="E194" s="76">
        <f t="shared" si="73"/>
        <v>11219.7</v>
      </c>
      <c r="F194" s="49">
        <f>4815.9+83.1+23.8</f>
        <v>4922.8</v>
      </c>
      <c r="G194" s="49">
        <v>6296.9</v>
      </c>
      <c r="H194" s="24">
        <v>6239.6</v>
      </c>
      <c r="I194" s="24">
        <v>4284.6</v>
      </c>
      <c r="J194" s="25">
        <v>6063.8</v>
      </c>
      <c r="K194" s="28" t="e">
        <f>J194/#REF!*100</f>
        <v>#REF!</v>
      </c>
      <c r="L194" s="28">
        <f>J194/H194*100</f>
        <v>97.18251169946791</v>
      </c>
      <c r="M194" s="69"/>
      <c r="N194" s="69"/>
      <c r="O194" s="24">
        <f t="shared" si="57"/>
        <v>141.5254632871213</v>
      </c>
      <c r="P194" s="28">
        <f t="shared" si="55"/>
        <v>54.046008360294834</v>
      </c>
      <c r="Q194" s="25">
        <f t="shared" si="56"/>
        <v>27.88736151288407</v>
      </c>
    </row>
    <row r="195" spans="1:17" ht="12.75">
      <c r="A195" s="29"/>
      <c r="B195" s="30"/>
      <c r="C195" s="31" t="s">
        <v>4</v>
      </c>
      <c r="D195" s="32">
        <f aca="true" t="shared" si="76" ref="D195:J195">D193+D184</f>
        <v>22937.7</v>
      </c>
      <c r="E195" s="32">
        <f t="shared" si="76"/>
        <v>11749.6</v>
      </c>
      <c r="F195" s="46">
        <f t="shared" si="76"/>
        <v>5133.8</v>
      </c>
      <c r="G195" s="46">
        <f t="shared" si="76"/>
        <v>6615.799999999999</v>
      </c>
      <c r="H195" s="46">
        <f t="shared" si="76"/>
        <v>6515.5</v>
      </c>
      <c r="I195" s="46">
        <f t="shared" si="76"/>
        <v>4672.6</v>
      </c>
      <c r="J195" s="32">
        <f t="shared" si="76"/>
        <v>6520.2</v>
      </c>
      <c r="K195" s="35" t="e">
        <f>J195/#REF!*100</f>
        <v>#REF!</v>
      </c>
      <c r="L195" s="35">
        <f>J195/H195*100</f>
        <v>100.07213567646383</v>
      </c>
      <c r="M195" s="69"/>
      <c r="N195" s="70" t="e">
        <f>I195+#REF!+#REF!</f>
        <v>#REF!</v>
      </c>
      <c r="O195" s="46">
        <f t="shared" si="57"/>
        <v>139.54115481744637</v>
      </c>
      <c r="P195" s="35">
        <f t="shared" si="55"/>
        <v>55.49295295158984</v>
      </c>
      <c r="Q195" s="32">
        <f t="shared" si="56"/>
        <v>28.42569220104893</v>
      </c>
    </row>
    <row r="196" spans="1:17" ht="12.75">
      <c r="A196" s="85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7"/>
      <c r="M196" s="69"/>
      <c r="N196" s="69"/>
      <c r="O196" s="67"/>
      <c r="P196" s="35"/>
      <c r="Q196" s="32"/>
    </row>
    <row r="197" spans="1:17" ht="12.75">
      <c r="A197" s="103" t="s">
        <v>36</v>
      </c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5"/>
    </row>
    <row r="198" spans="1:17" ht="12.75">
      <c r="A198" s="33" t="s">
        <v>3</v>
      </c>
      <c r="B198" s="59"/>
      <c r="C198" s="34" t="s">
        <v>68</v>
      </c>
      <c r="D198" s="35">
        <f aca="true" t="shared" si="77" ref="D198:J198">D199+D201+D202+D203+D205+D206+D208+D210+D207+D204+D211+D209+D200</f>
        <v>807237.8999999999</v>
      </c>
      <c r="E198" s="35">
        <f t="shared" si="77"/>
        <v>390582.8999999999</v>
      </c>
      <c r="F198" s="35">
        <f t="shared" si="77"/>
        <v>183635.1</v>
      </c>
      <c r="G198" s="35">
        <f t="shared" si="77"/>
        <v>206947.8</v>
      </c>
      <c r="H198" s="35">
        <f t="shared" si="77"/>
        <v>187925.59999999998</v>
      </c>
      <c r="I198" s="35">
        <f t="shared" si="77"/>
        <v>228729.4</v>
      </c>
      <c r="J198" s="35">
        <f t="shared" si="77"/>
        <v>308675.10000000003</v>
      </c>
      <c r="K198" s="35" t="e">
        <f>J198/#REF!*100</f>
        <v>#REF!</v>
      </c>
      <c r="L198" s="35">
        <f aca="true" t="shared" si="78" ref="L198:L209">J198/H198*100</f>
        <v>164.25388558025094</v>
      </c>
      <c r="M198" s="69"/>
      <c r="N198" s="69"/>
      <c r="O198" s="35">
        <f t="shared" si="57"/>
        <v>134.95208748853452</v>
      </c>
      <c r="P198" s="35">
        <f t="shared" si="55"/>
        <v>79.02934306647836</v>
      </c>
      <c r="Q198" s="32">
        <f t="shared" si="56"/>
        <v>38.2384300836222</v>
      </c>
    </row>
    <row r="199" spans="1:17" ht="12.75">
      <c r="A199" s="29" t="s">
        <v>23</v>
      </c>
      <c r="B199" s="60" t="s">
        <v>54</v>
      </c>
      <c r="C199" s="36" t="s">
        <v>22</v>
      </c>
      <c r="D199" s="49">
        <f>F199+G199+H199+I199</f>
        <v>577347.7</v>
      </c>
      <c r="E199" s="76">
        <f aca="true" t="shared" si="79" ref="E199:E215">F199+G199</f>
        <v>285310.39999999997</v>
      </c>
      <c r="F199" s="25">
        <f>F9+F31+F45+F61+F77+F94+F109+F124+F139+F155+F170+F185</f>
        <v>134110.09999999998</v>
      </c>
      <c r="G199" s="25">
        <f>G9+G31+G45+G61+G77+G94+G109+G124+G139+G155+G170+G185</f>
        <v>151200.3</v>
      </c>
      <c r="H199" s="25">
        <f>H9+H31+H45+H61+H77+H94+H109+H124+H139+H155+H170+H185</f>
        <v>134481.9</v>
      </c>
      <c r="I199" s="25">
        <f>I9+I31+I45+I61+I77+I94+I109+I124+I139+I155+I170+I185</f>
        <v>157555.4</v>
      </c>
      <c r="J199" s="25">
        <f>J9+J31+J45+J61+J77+J94+J109+J124+J139+J155+J170+J185</f>
        <v>197699.1</v>
      </c>
      <c r="K199" s="28" t="e">
        <f>J199/#REF!*100</f>
        <v>#REF!</v>
      </c>
      <c r="L199" s="28">
        <f t="shared" si="78"/>
        <v>147.0079616662168</v>
      </c>
      <c r="M199" s="69"/>
      <c r="N199" s="69"/>
      <c r="O199" s="24">
        <f t="shared" si="57"/>
        <v>125.47910131928198</v>
      </c>
      <c r="P199" s="28">
        <f t="shared" si="55"/>
        <v>69.29263707176466</v>
      </c>
      <c r="Q199" s="25">
        <f t="shared" si="56"/>
        <v>34.242640959685126</v>
      </c>
    </row>
    <row r="200" spans="1:17" ht="12.75">
      <c r="A200" s="19" t="s">
        <v>70</v>
      </c>
      <c r="B200" s="19"/>
      <c r="C200" s="36" t="s">
        <v>71</v>
      </c>
      <c r="D200" s="49">
        <f aca="true" t="shared" si="80" ref="D200:D215">F200+G200+H200+I200</f>
        <v>35821</v>
      </c>
      <c r="E200" s="76">
        <f t="shared" si="79"/>
        <v>18239</v>
      </c>
      <c r="F200" s="25">
        <f aca="true" t="shared" si="81" ref="F200:O200">F10</f>
        <v>9590</v>
      </c>
      <c r="G200" s="25">
        <f t="shared" si="81"/>
        <v>8649</v>
      </c>
      <c r="H200" s="25">
        <f t="shared" si="81"/>
        <v>8649</v>
      </c>
      <c r="I200" s="25">
        <f t="shared" si="81"/>
        <v>8933</v>
      </c>
      <c r="J200" s="25">
        <f>J10</f>
        <v>14097.6</v>
      </c>
      <c r="K200" s="25">
        <f t="shared" si="81"/>
        <v>0</v>
      </c>
      <c r="L200" s="25">
        <f t="shared" si="81"/>
        <v>0</v>
      </c>
      <c r="M200" s="25">
        <f t="shared" si="81"/>
        <v>0</v>
      </c>
      <c r="N200" s="25">
        <f t="shared" si="81"/>
        <v>0</v>
      </c>
      <c r="O200" s="25">
        <f t="shared" si="81"/>
        <v>0</v>
      </c>
      <c r="P200" s="28">
        <f t="shared" si="55"/>
        <v>77.2937112780306</v>
      </c>
      <c r="Q200" s="25">
        <f t="shared" si="56"/>
        <v>39.355685212584795</v>
      </c>
    </row>
    <row r="201" spans="1:17" ht="12.75">
      <c r="A201" s="19" t="s">
        <v>8</v>
      </c>
      <c r="B201" s="58" t="s">
        <v>55</v>
      </c>
      <c r="C201" s="36" t="s">
        <v>5</v>
      </c>
      <c r="D201" s="49">
        <f t="shared" si="80"/>
        <v>36204</v>
      </c>
      <c r="E201" s="76">
        <f t="shared" si="79"/>
        <v>18009.800000000003</v>
      </c>
      <c r="F201" s="25">
        <f>F11+F46+F62+F186+F140+F110+F171+F78+F95</f>
        <v>9129.6</v>
      </c>
      <c r="G201" s="25">
        <f>G11+G46+G62+G186+G140+G110+G171+G78</f>
        <v>8880.2</v>
      </c>
      <c r="H201" s="25">
        <f>H11+H46+H62+H186+H140+H110+H171+H78</f>
        <v>8912.7</v>
      </c>
      <c r="I201" s="25">
        <f>I11+I46+I62+I186+I140+I110+I171+I78</f>
        <v>9281.5</v>
      </c>
      <c r="J201" s="25">
        <f>J11+J46+J62+J186+J140+J110+J171+J78+0.1</f>
        <v>21613.499999999996</v>
      </c>
      <c r="K201" s="28" t="e">
        <f>J201/#REF!*100</f>
        <v>#REF!</v>
      </c>
      <c r="L201" s="28">
        <f t="shared" si="78"/>
        <v>242.50227203877608</v>
      </c>
      <c r="M201" s="69"/>
      <c r="N201" s="69"/>
      <c r="O201" s="24">
        <f t="shared" si="57"/>
        <v>232.86645477562888</v>
      </c>
      <c r="P201" s="28">
        <f t="shared" si="55"/>
        <v>120.00966140656749</v>
      </c>
      <c r="Q201" s="25">
        <f t="shared" si="56"/>
        <v>59.69920450778918</v>
      </c>
    </row>
    <row r="202" spans="1:17" ht="12.75">
      <c r="A202" s="19" t="s">
        <v>9</v>
      </c>
      <c r="B202" s="58" t="s">
        <v>56</v>
      </c>
      <c r="C202" s="36" t="s">
        <v>6</v>
      </c>
      <c r="D202" s="49">
        <f t="shared" si="80"/>
        <v>15701.100000000002</v>
      </c>
      <c r="E202" s="76">
        <f t="shared" si="79"/>
        <v>7300.8</v>
      </c>
      <c r="F202" s="25">
        <f>F12+F32+F47+F63+F79+F96+F111+F125+F141+F156+F172+F187</f>
        <v>3411.2000000000003</v>
      </c>
      <c r="G202" s="25">
        <f>G12+G32+G47+G63+G79+G96+G111+G125+G141+G156+G172+G187</f>
        <v>3889.6</v>
      </c>
      <c r="H202" s="25">
        <f>H12+H32+H47+H63+H79+H96+H111+H125+H141+H156+H172+H187</f>
        <v>4003.1000000000004</v>
      </c>
      <c r="I202" s="25">
        <f>I12+I32+I47+I63+I79+I96+I111+I125+I141+I156+I172+I187</f>
        <v>4397.2</v>
      </c>
      <c r="J202" s="25">
        <f>J12+J32+J47+J63+J79+J96+J111+J125+J141+J156+J172+J187+0.1</f>
        <v>8725.099999999999</v>
      </c>
      <c r="K202" s="28" t="e">
        <f>J202/#REF!*100</f>
        <v>#REF!</v>
      </c>
      <c r="L202" s="28">
        <f t="shared" si="78"/>
        <v>217.95858209887334</v>
      </c>
      <c r="M202" s="69"/>
      <c r="N202" s="69"/>
      <c r="O202" s="24">
        <f t="shared" si="57"/>
        <v>198.42399708905666</v>
      </c>
      <c r="P202" s="28">
        <f t="shared" si="55"/>
        <v>119.50882095112863</v>
      </c>
      <c r="Q202" s="25">
        <f t="shared" si="56"/>
        <v>55.56999191139473</v>
      </c>
    </row>
    <row r="203" spans="1:17" ht="12.75">
      <c r="A203" s="19" t="s">
        <v>10</v>
      </c>
      <c r="B203" s="58" t="s">
        <v>49</v>
      </c>
      <c r="C203" s="36" t="s">
        <v>21</v>
      </c>
      <c r="D203" s="49">
        <f t="shared" si="80"/>
        <v>3814</v>
      </c>
      <c r="E203" s="76">
        <f t="shared" si="79"/>
        <v>1887</v>
      </c>
      <c r="F203" s="25">
        <f>F13+F33+F64+F80+F97+F112+F126+F142+F157+F173+F188</f>
        <v>921</v>
      </c>
      <c r="G203" s="25">
        <f>G13+G33+G64+G80+G97+G112+G126+G142+G157+G173+G188</f>
        <v>966</v>
      </c>
      <c r="H203" s="25">
        <f>H13+H33+H64+H80+H97+H112+H126+H142+H157+H173+H188</f>
        <v>957</v>
      </c>
      <c r="I203" s="25">
        <f>I13+I33+I64+I80+I97+I112+I126+I142+I157+I173+I188</f>
        <v>970</v>
      </c>
      <c r="J203" s="25">
        <f>J13+J33+J48+J64+J80+J97+J112+J126+J142+J157+J173+J188-0.1</f>
        <v>1554.1000000000004</v>
      </c>
      <c r="K203" s="28" t="e">
        <f>J203/#REF!*100</f>
        <v>#REF!</v>
      </c>
      <c r="L203" s="28">
        <f t="shared" si="78"/>
        <v>162.39289446186004</v>
      </c>
      <c r="M203" s="69"/>
      <c r="N203" s="69"/>
      <c r="O203" s="24">
        <f t="shared" si="57"/>
        <v>160.21649484536084</v>
      </c>
      <c r="P203" s="28">
        <f t="shared" si="55"/>
        <v>82.35824059353473</v>
      </c>
      <c r="Q203" s="25">
        <f t="shared" si="56"/>
        <v>40.74724698479287</v>
      </c>
    </row>
    <row r="204" spans="1:17" ht="24" hidden="1">
      <c r="A204" s="19" t="s">
        <v>37</v>
      </c>
      <c r="B204" s="58" t="s">
        <v>57</v>
      </c>
      <c r="C204" s="36" t="s">
        <v>38</v>
      </c>
      <c r="D204" s="49">
        <f t="shared" si="80"/>
        <v>0</v>
      </c>
      <c r="E204" s="76">
        <f t="shared" si="79"/>
        <v>0</v>
      </c>
      <c r="F204" s="61">
        <f>F14</f>
        <v>0</v>
      </c>
      <c r="G204" s="61">
        <f>G14</f>
        <v>0</v>
      </c>
      <c r="H204" s="61">
        <f>H14</f>
        <v>0</v>
      </c>
      <c r="I204" s="61">
        <f>I14</f>
        <v>0</v>
      </c>
      <c r="J204" s="61">
        <f>J14</f>
        <v>0</v>
      </c>
      <c r="K204" s="28" t="e">
        <f>J204/#REF!*100</f>
        <v>#REF!</v>
      </c>
      <c r="L204" s="28"/>
      <c r="M204" s="69"/>
      <c r="N204" s="69"/>
      <c r="O204" s="24" t="e">
        <f t="shared" si="57"/>
        <v>#DIV/0!</v>
      </c>
      <c r="P204" s="28"/>
      <c r="Q204" s="25"/>
    </row>
    <row r="205" spans="1:17" ht="24">
      <c r="A205" s="20" t="s">
        <v>11</v>
      </c>
      <c r="B205" s="62" t="s">
        <v>48</v>
      </c>
      <c r="C205" s="36" t="s">
        <v>17</v>
      </c>
      <c r="D205" s="49">
        <f t="shared" si="80"/>
        <v>101702.29999999999</v>
      </c>
      <c r="E205" s="76">
        <f t="shared" si="79"/>
        <v>38070.6</v>
      </c>
      <c r="F205" s="25">
        <f>F15+F34+F49+F65+F81+F98+F113+F127+F143+F158+F174+F189</f>
        <v>12701.499999999998</v>
      </c>
      <c r="G205" s="25">
        <f>G15+G34+G49+G65+G81+G98+G113+G127+G143+G158+G174+G189</f>
        <v>25369.100000000002</v>
      </c>
      <c r="H205" s="25">
        <f>H15+H34+H49+H65+H81+H98+H113+H127+H143+H158+H174+H189</f>
        <v>25349.899999999998</v>
      </c>
      <c r="I205" s="25">
        <f>I15+I34+I49+I65+I81+I98+I113+I127+I143+I158+I174+I189</f>
        <v>38281.799999999996</v>
      </c>
      <c r="J205" s="25">
        <f>J15+J34+J49+J65+J81+J98+J113+J127+J143+J158+J174+J189-0.1</f>
        <v>38142.600000000006</v>
      </c>
      <c r="K205" s="28" t="e">
        <f>J205/#REF!*100</f>
        <v>#REF!</v>
      </c>
      <c r="L205" s="28">
        <f t="shared" si="78"/>
        <v>150.46449887376286</v>
      </c>
      <c r="M205" s="69"/>
      <c r="N205" s="69"/>
      <c r="O205" s="24">
        <f t="shared" si="57"/>
        <v>99.63638073444825</v>
      </c>
      <c r="P205" s="28">
        <f aca="true" t="shared" si="82" ref="P205:P216">J205*100/E205</f>
        <v>100.18912231485714</v>
      </c>
      <c r="Q205" s="25">
        <f aca="true" t="shared" si="83" ref="Q205:Q216">J205*100/D205</f>
        <v>37.504166572437406</v>
      </c>
    </row>
    <row r="206" spans="1:17" ht="12.75">
      <c r="A206" s="37" t="s">
        <v>14</v>
      </c>
      <c r="B206" s="63" t="s">
        <v>47</v>
      </c>
      <c r="C206" s="36" t="s">
        <v>13</v>
      </c>
      <c r="D206" s="49">
        <f t="shared" si="80"/>
        <v>6290.5</v>
      </c>
      <c r="E206" s="76">
        <f t="shared" si="79"/>
        <v>6290.5</v>
      </c>
      <c r="F206" s="25">
        <f>F16</f>
        <v>6290.5</v>
      </c>
      <c r="G206" s="25">
        <f>G16</f>
        <v>0</v>
      </c>
      <c r="H206" s="25">
        <f>H16</f>
        <v>0</v>
      </c>
      <c r="I206" s="25">
        <f>I16</f>
        <v>0</v>
      </c>
      <c r="J206" s="25">
        <f>J16</f>
        <v>9188.7</v>
      </c>
      <c r="K206" s="28" t="e">
        <f>J206/#REF!*100</f>
        <v>#REF!</v>
      </c>
      <c r="L206" s="28" t="e">
        <f t="shared" si="78"/>
        <v>#DIV/0!</v>
      </c>
      <c r="M206" s="69"/>
      <c r="N206" s="69"/>
      <c r="O206" s="24" t="e">
        <f t="shared" si="57"/>
        <v>#DIV/0!</v>
      </c>
      <c r="P206" s="28">
        <f t="shared" si="82"/>
        <v>146.07264923297038</v>
      </c>
      <c r="Q206" s="25">
        <f t="shared" si="83"/>
        <v>146.07264923297038</v>
      </c>
    </row>
    <row r="207" spans="1:17" ht="12.75">
      <c r="A207" s="38" t="s">
        <v>42</v>
      </c>
      <c r="B207" s="64" t="s">
        <v>58</v>
      </c>
      <c r="C207" s="36" t="s">
        <v>43</v>
      </c>
      <c r="D207" s="49">
        <f t="shared" si="80"/>
        <v>7637</v>
      </c>
      <c r="E207" s="76">
        <f t="shared" si="79"/>
        <v>3596.3999999999996</v>
      </c>
      <c r="F207" s="65">
        <f>F17+F82+F99+F128+F144+F159+F175+F114+F66+F35</f>
        <v>1559.5</v>
      </c>
      <c r="G207" s="65">
        <f>G17+G82+G99+G128+G144+G159+G175+G114+G66+G35</f>
        <v>2036.8999999999999</v>
      </c>
      <c r="H207" s="65">
        <f>H17+H82+H99+H128+H144+H159+H175+H114+H66+H35</f>
        <v>1917.3</v>
      </c>
      <c r="I207" s="65">
        <f>I17+I82+I99+I128+I144+I159+I175+I114+I66+I35</f>
        <v>2123.3</v>
      </c>
      <c r="J207" s="65">
        <f>J17+J82+J99+J128+J144+J159+J175+J114+J66+J35+0.1</f>
        <v>4409.6</v>
      </c>
      <c r="K207" s="28" t="e">
        <f>J207/#REF!*100</f>
        <v>#REF!</v>
      </c>
      <c r="L207" s="28">
        <f t="shared" si="78"/>
        <v>229.9900902310541</v>
      </c>
      <c r="M207" s="69"/>
      <c r="N207" s="69"/>
      <c r="O207" s="24">
        <f t="shared" si="57"/>
        <v>207.67672961898933</v>
      </c>
      <c r="P207" s="28">
        <f t="shared" si="82"/>
        <v>122.61150038927819</v>
      </c>
      <c r="Q207" s="25">
        <f t="shared" si="83"/>
        <v>57.739950242241726</v>
      </c>
    </row>
    <row r="208" spans="1:17" ht="12.75">
      <c r="A208" s="38" t="s">
        <v>18</v>
      </c>
      <c r="B208" s="64" t="s">
        <v>53</v>
      </c>
      <c r="C208" s="36" t="s">
        <v>15</v>
      </c>
      <c r="D208" s="49">
        <f t="shared" si="80"/>
        <v>21583.3</v>
      </c>
      <c r="E208" s="76">
        <f t="shared" si="79"/>
        <v>11289.8</v>
      </c>
      <c r="F208" s="25">
        <f>F18+F36+F50+F67+F83+F100+F115+F145+F160+F176+F190+F129</f>
        <v>5609.499999999999</v>
      </c>
      <c r="G208" s="25">
        <f>G18+G36+G50+G67+G83+G100+G115+G145+G160+G176+G190+G129</f>
        <v>5680.3</v>
      </c>
      <c r="H208" s="25">
        <f>H18+H36+H50+H67+H83+H100+H115+H145+H160+H176+H190+H129</f>
        <v>3382.9</v>
      </c>
      <c r="I208" s="25">
        <f>I18+I36+I50+I67+I83+I100+I115+I145+I160+I176+I190+I129</f>
        <v>6910.6</v>
      </c>
      <c r="J208" s="25">
        <f>J18+J36+J50+J67+J83+J100+J115+J145+J160+J176+J190+J129</f>
        <v>7766.5</v>
      </c>
      <c r="K208" s="28" t="e">
        <f>J208/#REF!*100</f>
        <v>#REF!</v>
      </c>
      <c r="L208" s="28">
        <f t="shared" si="78"/>
        <v>229.5811286174584</v>
      </c>
      <c r="M208" s="69"/>
      <c r="N208" s="69"/>
      <c r="O208" s="24">
        <f aca="true" t="shared" si="84" ref="O208:O216">J208*100/I208</f>
        <v>112.38532110091742</v>
      </c>
      <c r="P208" s="28">
        <f t="shared" si="82"/>
        <v>68.79218409537813</v>
      </c>
      <c r="Q208" s="25">
        <f t="shared" si="83"/>
        <v>35.983839357280864</v>
      </c>
    </row>
    <row r="209" spans="1:17" ht="12.75">
      <c r="A209" s="38" t="s">
        <v>60</v>
      </c>
      <c r="B209" s="38"/>
      <c r="C209" s="36" t="s">
        <v>61</v>
      </c>
      <c r="D209" s="49">
        <f t="shared" si="80"/>
        <v>3</v>
      </c>
      <c r="E209" s="76">
        <f t="shared" si="79"/>
        <v>1</v>
      </c>
      <c r="F209" s="25">
        <f>F19</f>
        <v>1</v>
      </c>
      <c r="G209" s="25">
        <f>G19</f>
        <v>0</v>
      </c>
      <c r="H209" s="25">
        <f>H19</f>
        <v>1</v>
      </c>
      <c r="I209" s="25">
        <f>I19</f>
        <v>1</v>
      </c>
      <c r="J209" s="25">
        <f>J19</f>
        <v>5</v>
      </c>
      <c r="K209" s="28" t="e">
        <f>J209/#REF!*100</f>
        <v>#REF!</v>
      </c>
      <c r="L209" s="28">
        <f t="shared" si="78"/>
        <v>500</v>
      </c>
      <c r="M209" s="69"/>
      <c r="N209" s="69"/>
      <c r="O209" s="24">
        <f t="shared" si="84"/>
        <v>500</v>
      </c>
      <c r="P209" s="28">
        <f t="shared" si="82"/>
        <v>500</v>
      </c>
      <c r="Q209" s="25">
        <f t="shared" si="83"/>
        <v>166.66666666666666</v>
      </c>
    </row>
    <row r="210" spans="1:17" ht="12.75">
      <c r="A210" s="29" t="s">
        <v>12</v>
      </c>
      <c r="B210" s="60" t="s">
        <v>50</v>
      </c>
      <c r="C210" s="36" t="s">
        <v>7</v>
      </c>
      <c r="D210" s="49">
        <f t="shared" si="80"/>
        <v>1134</v>
      </c>
      <c r="E210" s="76">
        <f t="shared" si="79"/>
        <v>587.6</v>
      </c>
      <c r="F210" s="25">
        <f aca="true" t="shared" si="85" ref="F210:O210">F20+F177+F191+F68+F130+F51+F146+F84</f>
        <v>311.2</v>
      </c>
      <c r="G210" s="25">
        <f t="shared" si="85"/>
        <v>276.40000000000003</v>
      </c>
      <c r="H210" s="25">
        <f t="shared" si="85"/>
        <v>270.8</v>
      </c>
      <c r="I210" s="25">
        <f t="shared" si="85"/>
        <v>275.6</v>
      </c>
      <c r="J210" s="25">
        <f>J20+J177+J191+J68+J130+J51+J146+J84+0.1</f>
        <v>5292.400000000001</v>
      </c>
      <c r="K210" s="25" t="e">
        <f t="shared" si="85"/>
        <v>#REF!</v>
      </c>
      <c r="L210" s="25">
        <f t="shared" si="85"/>
        <v>1941.5805022156571</v>
      </c>
      <c r="M210" s="25">
        <f t="shared" si="85"/>
        <v>0</v>
      </c>
      <c r="N210" s="25">
        <f t="shared" si="85"/>
        <v>0</v>
      </c>
      <c r="O210" s="25" t="e">
        <f t="shared" si="85"/>
        <v>#DIV/0!</v>
      </c>
      <c r="P210" s="28">
        <f t="shared" si="82"/>
        <v>900.6807351940095</v>
      </c>
      <c r="Q210" s="25">
        <f t="shared" si="83"/>
        <v>466.70194003527337</v>
      </c>
    </row>
    <row r="211" spans="1:17" ht="12.75">
      <c r="A211" s="39" t="s">
        <v>39</v>
      </c>
      <c r="B211" s="66" t="s">
        <v>57</v>
      </c>
      <c r="C211" s="23" t="s">
        <v>40</v>
      </c>
      <c r="D211" s="49">
        <f t="shared" si="80"/>
        <v>0</v>
      </c>
      <c r="E211" s="76">
        <f t="shared" si="79"/>
        <v>0</v>
      </c>
      <c r="F211" s="25">
        <f>F21+F37+F52+F69+F85+F101+F117+F131+F147+F162+F178+F192</f>
        <v>0</v>
      </c>
      <c r="G211" s="25">
        <f>G21+G37+G52+G69+G85+G101+G117+G131+G147+G162+G178+G192</f>
        <v>0</v>
      </c>
      <c r="H211" s="25">
        <f>H21+H37+H52+H69+H85+H101+H117+H131+H147+H162+H178+H192</f>
        <v>0</v>
      </c>
      <c r="I211" s="25">
        <f>I21+I37+I52+I69+I85+I101+I117+I131+I147+I162+I178+I192</f>
        <v>0</v>
      </c>
      <c r="J211" s="25">
        <f>J21+J37+J52+J69+J85+J101+J117+J131+J147+J162+J178+J192</f>
        <v>180.89999999999998</v>
      </c>
      <c r="K211" s="28"/>
      <c r="L211" s="28"/>
      <c r="M211" s="69"/>
      <c r="N211" s="69"/>
      <c r="O211" s="24" t="e">
        <f t="shared" si="84"/>
        <v>#DIV/0!</v>
      </c>
      <c r="P211" s="28"/>
      <c r="Q211" s="25"/>
    </row>
    <row r="212" spans="1:17" ht="12.75">
      <c r="A212" s="33" t="s">
        <v>1</v>
      </c>
      <c r="B212" s="59"/>
      <c r="C212" s="41" t="s">
        <v>0</v>
      </c>
      <c r="D212" s="42">
        <f aca="true" t="shared" si="86" ref="D212:J212">D213+D214+D215</f>
        <v>3008579.6999999997</v>
      </c>
      <c r="E212" s="42">
        <f t="shared" si="86"/>
        <v>1356669.7999999998</v>
      </c>
      <c r="F212" s="42">
        <f t="shared" si="86"/>
        <v>641119.3</v>
      </c>
      <c r="G212" s="42">
        <f t="shared" si="86"/>
        <v>715550.5</v>
      </c>
      <c r="H212" s="42">
        <f t="shared" si="86"/>
        <v>892561.1</v>
      </c>
      <c r="I212" s="42">
        <f t="shared" si="86"/>
        <v>759348.7999999999</v>
      </c>
      <c r="J212" s="42">
        <f t="shared" si="86"/>
        <v>904704</v>
      </c>
      <c r="K212" s="35" t="e">
        <f>J212/#REF!*100</f>
        <v>#REF!</v>
      </c>
      <c r="L212" s="35">
        <f>J212/H212*100</f>
        <v>101.36045588363642</v>
      </c>
      <c r="M212" s="69"/>
      <c r="N212" s="69"/>
      <c r="O212" s="46">
        <f t="shared" si="84"/>
        <v>119.14208595575579</v>
      </c>
      <c r="P212" s="35">
        <f t="shared" si="82"/>
        <v>66.68564450981367</v>
      </c>
      <c r="Q212" s="32">
        <f t="shared" si="83"/>
        <v>30.070800517599718</v>
      </c>
    </row>
    <row r="213" spans="1:17" ht="24">
      <c r="A213" s="21" t="s">
        <v>67</v>
      </c>
      <c r="B213" s="58" t="s">
        <v>51</v>
      </c>
      <c r="C213" s="43" t="s">
        <v>20</v>
      </c>
      <c r="D213" s="49">
        <f t="shared" si="80"/>
        <v>3050082.8</v>
      </c>
      <c r="E213" s="76">
        <f>F213+G213</f>
        <v>1408172.9</v>
      </c>
      <c r="F213" s="24">
        <f>F23-623.3</f>
        <v>698622.4</v>
      </c>
      <c r="G213" s="24">
        <f>G23-935</f>
        <v>709550.5</v>
      </c>
      <c r="H213" s="24">
        <f>H23-716.8</f>
        <v>887561.1</v>
      </c>
      <c r="I213" s="24">
        <f>I23-841.6-168.8-50.6</f>
        <v>754348.7999999999</v>
      </c>
      <c r="J213" s="24">
        <f>J23-727.9</f>
        <v>903246.4</v>
      </c>
      <c r="K213" s="28" t="e">
        <f>J213/#REF!*100</f>
        <v>#REF!</v>
      </c>
      <c r="L213" s="28">
        <f>J213/H213*100</f>
        <v>101.76723608098644</v>
      </c>
      <c r="M213" s="69"/>
      <c r="N213" s="69"/>
      <c r="O213" s="24">
        <f t="shared" si="84"/>
        <v>119.73856125972496</v>
      </c>
      <c r="P213" s="28">
        <f t="shared" si="82"/>
        <v>64.14314605827168</v>
      </c>
      <c r="Q213" s="25">
        <f t="shared" si="83"/>
        <v>29.613832122852536</v>
      </c>
    </row>
    <row r="214" spans="1:17" ht="12.75">
      <c r="A214" s="21" t="s">
        <v>2</v>
      </c>
      <c r="B214" s="21" t="s">
        <v>52</v>
      </c>
      <c r="C214" s="44" t="s">
        <v>19</v>
      </c>
      <c r="D214" s="49">
        <f t="shared" si="80"/>
        <v>21010</v>
      </c>
      <c r="E214" s="76">
        <f t="shared" si="79"/>
        <v>11010</v>
      </c>
      <c r="F214" s="25">
        <f>F24+F89+F104+F165+F134+F55+F40+F150+F72</f>
        <v>5010</v>
      </c>
      <c r="G214" s="25">
        <f>G24+G89+G104+G165+G134+G55+G40+G150+G72</f>
        <v>6000</v>
      </c>
      <c r="H214" s="25">
        <f>H24+H89+H104+H165+H134+H55+H40+H150+H72</f>
        <v>5000</v>
      </c>
      <c r="I214" s="25">
        <f>I24+I89+I104+I165+I134+I55+I40+I150+I72</f>
        <v>5000</v>
      </c>
      <c r="J214" s="25">
        <f>J24+J89+J104+J165+J134+J55+J40+J150+J72</f>
        <v>10443.2</v>
      </c>
      <c r="K214" s="28" t="e">
        <f>J214/#REF!*100</f>
        <v>#REF!</v>
      </c>
      <c r="L214" s="28">
        <f>J214/H214*100</f>
        <v>208.86400000000003</v>
      </c>
      <c r="M214" s="69"/>
      <c r="N214" s="69"/>
      <c r="O214" s="24">
        <f t="shared" si="84"/>
        <v>208.86400000000003</v>
      </c>
      <c r="P214" s="28">
        <f t="shared" si="82"/>
        <v>94.85195277020891</v>
      </c>
      <c r="Q214" s="25">
        <f t="shared" si="83"/>
        <v>49.70585435506902</v>
      </c>
    </row>
    <row r="215" spans="1:17" ht="24">
      <c r="A215" s="21" t="s">
        <v>66</v>
      </c>
      <c r="B215" s="22"/>
      <c r="C215" s="27" t="s">
        <v>63</v>
      </c>
      <c r="D215" s="49">
        <f t="shared" si="80"/>
        <v>-62513.1</v>
      </c>
      <c r="E215" s="76">
        <f t="shared" si="79"/>
        <v>-62513.1</v>
      </c>
      <c r="F215" s="25">
        <f>F26</f>
        <v>-62513.1</v>
      </c>
      <c r="G215" s="25">
        <f>G26</f>
        <v>0</v>
      </c>
      <c r="H215" s="25">
        <f>H26</f>
        <v>0</v>
      </c>
      <c r="I215" s="25">
        <f>I26</f>
        <v>0</v>
      </c>
      <c r="J215" s="25">
        <f>J26</f>
        <v>-8985.6</v>
      </c>
      <c r="K215" s="28" t="e">
        <f>J215/#REF!*100</f>
        <v>#REF!</v>
      </c>
      <c r="L215" s="28"/>
      <c r="M215" s="69"/>
      <c r="N215" s="69"/>
      <c r="O215" s="24" t="e">
        <f t="shared" si="84"/>
        <v>#DIV/0!</v>
      </c>
      <c r="P215" s="28"/>
      <c r="Q215" s="25"/>
    </row>
    <row r="216" spans="1:17" ht="12.75">
      <c r="A216" s="29"/>
      <c r="B216" s="30"/>
      <c r="C216" s="31" t="s">
        <v>4</v>
      </c>
      <c r="D216" s="32">
        <f aca="true" t="shared" si="87" ref="D216:J216">D212+D198</f>
        <v>3815817.5999999996</v>
      </c>
      <c r="E216" s="32">
        <f t="shared" si="87"/>
        <v>1747252.6999999997</v>
      </c>
      <c r="F216" s="32">
        <f t="shared" si="87"/>
        <v>824754.4</v>
      </c>
      <c r="G216" s="32">
        <f t="shared" si="87"/>
        <v>922498.3</v>
      </c>
      <c r="H216" s="32">
        <f t="shared" si="87"/>
        <v>1080486.7</v>
      </c>
      <c r="I216" s="32">
        <f t="shared" si="87"/>
        <v>988078.2</v>
      </c>
      <c r="J216" s="32">
        <f t="shared" si="87"/>
        <v>1213379.1</v>
      </c>
      <c r="K216" s="35" t="e">
        <f>J216/#REF!*100</f>
        <v>#REF!</v>
      </c>
      <c r="L216" s="35">
        <f>J216/H216*100</f>
        <v>112.29930919094147</v>
      </c>
      <c r="M216" s="69"/>
      <c r="N216" s="70" t="e">
        <f>I216+#REF!+#REF!</f>
        <v>#REF!</v>
      </c>
      <c r="O216" s="46">
        <f t="shared" si="84"/>
        <v>122.80193004966613</v>
      </c>
      <c r="P216" s="35">
        <f t="shared" si="82"/>
        <v>69.44496923656209</v>
      </c>
      <c r="Q216" s="32">
        <f t="shared" si="83"/>
        <v>31.798666162659355</v>
      </c>
    </row>
    <row r="217" spans="3:8" ht="12.75">
      <c r="C217" s="8"/>
      <c r="D217" s="8"/>
      <c r="E217" s="8"/>
      <c r="F217" s="8"/>
      <c r="G217" s="8"/>
      <c r="H217" s="2"/>
    </row>
    <row r="218" spans="3:11" ht="12.75">
      <c r="C218" s="9" t="s">
        <v>59</v>
      </c>
      <c r="D218" s="9"/>
      <c r="E218" s="9"/>
      <c r="F218" s="9"/>
      <c r="G218" s="9"/>
      <c r="H218" s="3"/>
      <c r="I218" s="3"/>
      <c r="J218" s="5"/>
      <c r="K218" s="5"/>
    </row>
    <row r="219" spans="3:12" ht="12.75" hidden="1">
      <c r="C219" s="9"/>
      <c r="D219" s="9"/>
      <c r="E219" s="9"/>
      <c r="F219" s="9"/>
      <c r="G219" s="9"/>
      <c r="H219" s="3" t="s">
        <v>62</v>
      </c>
      <c r="I219" s="3">
        <f>I218-I198</f>
        <v>-228729.4</v>
      </c>
      <c r="J219" s="4"/>
      <c r="K219" s="5"/>
      <c r="L219" s="2" t="e">
        <f>N27+N41+N57+N73+N90+N105+N120+N135+N151+N166+N181+N195-#REF!-#REF!-#REF!-#REF!-#REF!-#REF!-#REF!-#REF!-#REF!-#REF!-#REF!-#REF!-5301.3-7951.9-535.1-7243.1</f>
        <v>#REF!</v>
      </c>
    </row>
    <row r="220" spans="1:12" ht="12.75" hidden="1">
      <c r="A220" s="2"/>
      <c r="C220" s="9"/>
      <c r="D220" s="9"/>
      <c r="E220" s="9"/>
      <c r="F220" s="9"/>
      <c r="G220" s="9"/>
      <c r="H220" s="6"/>
      <c r="I220" s="3"/>
      <c r="J220" s="5"/>
      <c r="K220" s="5"/>
      <c r="L220" s="2" t="e">
        <f>N216-L219</f>
        <v>#REF!</v>
      </c>
    </row>
    <row r="221" spans="3:11" ht="12.75" hidden="1">
      <c r="C221" s="10"/>
      <c r="D221" s="10"/>
      <c r="E221" s="10"/>
      <c r="F221" s="10"/>
      <c r="G221" s="10"/>
      <c r="H221" s="3"/>
      <c r="I221" s="3">
        <f>I220-I212</f>
        <v>-759348.7999999999</v>
      </c>
      <c r="J221" s="5"/>
      <c r="K221" s="5"/>
    </row>
    <row r="222" spans="3:11" ht="12.75" hidden="1">
      <c r="C222" s="10"/>
      <c r="D222" s="10"/>
      <c r="E222" s="10"/>
      <c r="F222" s="10"/>
      <c r="G222" s="10"/>
      <c r="H222" s="6"/>
      <c r="I222" s="3" t="e">
        <f>#REF!+#REF!+#REF!+#REF!+#REF!+#REF!+#REF!+#REF!+#REF!+#REF!</f>
        <v>#REF!</v>
      </c>
      <c r="J222" s="5"/>
      <c r="K222" s="5"/>
    </row>
    <row r="223" spans="1:11" ht="12.75" hidden="1">
      <c r="A223" s="2">
        <f>I198+I212</f>
        <v>988078.2</v>
      </c>
      <c r="C223" s="18"/>
      <c r="D223" s="18"/>
      <c r="E223" s="18"/>
      <c r="F223" s="18"/>
      <c r="G223" s="18"/>
      <c r="H223" s="6"/>
      <c r="I223" s="3" t="e">
        <f>I222-#REF!</f>
        <v>#REF!</v>
      </c>
      <c r="J223" s="5"/>
      <c r="K223" s="5"/>
    </row>
    <row r="224" spans="1:11" ht="12.75" hidden="1">
      <c r="A224" s="2" t="e">
        <f>#REF!+#REF!</f>
        <v>#REF!</v>
      </c>
      <c r="C224" s="10"/>
      <c r="D224" s="10"/>
      <c r="E224" s="10"/>
      <c r="F224" s="10"/>
      <c r="G224" s="10"/>
      <c r="H224" s="6"/>
      <c r="I224" s="3" t="e">
        <f>I218+I220+I222</f>
        <v>#REF!</v>
      </c>
      <c r="J224" s="5"/>
      <c r="K224" s="5"/>
    </row>
    <row r="225" spans="1:11" ht="12.75" hidden="1">
      <c r="A225" s="2" t="e">
        <f>I198+#REF!</f>
        <v>#REF!</v>
      </c>
      <c r="C225" s="9"/>
      <c r="D225" s="9"/>
      <c r="E225" s="9"/>
      <c r="F225" s="9"/>
      <c r="G225" s="9"/>
      <c r="H225" s="6"/>
      <c r="I225" s="3">
        <f>I27+I41+I57+I73+I90+I105+I120+I135+I151+I166+I181+I195-I193-I179-I163-I148-I132-I118-I102-I87-I70-I38-I53</f>
        <v>989139.2000000002</v>
      </c>
      <c r="J225" s="5"/>
      <c r="K225" s="5"/>
    </row>
    <row r="226" spans="1:11" ht="12.75" hidden="1">
      <c r="A226" s="2" t="e">
        <f>I212+#REF!</f>
        <v>#REF!</v>
      </c>
      <c r="C226" s="9"/>
      <c r="D226" s="9"/>
      <c r="E226" s="9"/>
      <c r="F226" s="9"/>
      <c r="G226" s="9"/>
      <c r="H226" s="6"/>
      <c r="I226" s="3">
        <f>I225-I216</f>
        <v>1061.0000000002328</v>
      </c>
      <c r="J226" s="5"/>
      <c r="K226" s="5"/>
    </row>
    <row r="227" spans="3:11" ht="12.75" hidden="1">
      <c r="C227" s="9"/>
      <c r="D227" s="9"/>
      <c r="E227" s="9"/>
      <c r="F227" s="9"/>
      <c r="G227" s="9"/>
      <c r="H227" s="6"/>
      <c r="I227" s="3"/>
      <c r="J227" s="5"/>
      <c r="K227" s="5"/>
    </row>
    <row r="228" spans="3:11" ht="12.75" hidden="1">
      <c r="C228" s="8"/>
      <c r="D228" s="8"/>
      <c r="E228" s="8"/>
      <c r="F228" s="8"/>
      <c r="G228" s="8"/>
      <c r="H228" s="5"/>
      <c r="I228" s="4"/>
      <c r="J228" s="5"/>
      <c r="K228" s="5"/>
    </row>
    <row r="229" spans="3:11" ht="12.75">
      <c r="C229" s="8"/>
      <c r="D229" s="8"/>
      <c r="E229" s="8"/>
      <c r="F229" s="83">
        <f>F8+F30+F44+F60+F76+F93+F108+F123+F138+F154+F169+F184</f>
        <v>183635.1</v>
      </c>
      <c r="G229" s="83">
        <f>G8+G30+G44+G60+G76+G93+G108+G123+G138+G154+G169+G184</f>
        <v>206947.79999999993</v>
      </c>
      <c r="H229" s="83">
        <f>H8+H30+H44+H60+H76+H93+H108+H123+H138+H154+H169+H184</f>
        <v>187925.59999999995</v>
      </c>
      <c r="I229" s="83">
        <f>I8+I30+I44+I60+I76+I93+I108+I123+I138+I154+I169+I184</f>
        <v>228729.40000000005</v>
      </c>
      <c r="J229" s="83"/>
      <c r="K229" s="5"/>
    </row>
    <row r="230" spans="3:11" ht="12.75">
      <c r="C230" s="8"/>
      <c r="D230" s="8"/>
      <c r="E230" s="8"/>
      <c r="F230" s="8"/>
      <c r="G230" s="8"/>
      <c r="H230" s="5"/>
      <c r="I230" s="4"/>
      <c r="J230" s="5"/>
      <c r="K230" s="5"/>
    </row>
    <row r="231" spans="3:11" ht="12.75">
      <c r="C231" s="8"/>
      <c r="D231" s="8"/>
      <c r="E231" s="8"/>
      <c r="F231" s="83">
        <f>F193+F179+F163+F148+F132+F118+F102+F87+F70+F53+F38</f>
        <v>86042.4</v>
      </c>
      <c r="G231" s="83">
        <f>G193+G179+G163+G148+G132+G118+G102+G87+G70+G53+G38</f>
        <v>105364.49999999999</v>
      </c>
      <c r="H231" s="83">
        <f>H193+H179+H163+H148+H132+H118+H102+H87+H70+H53+H38</f>
        <v>115098.00000000001</v>
      </c>
      <c r="I231" s="83">
        <f>I193+I179+I163+I148+I132+I118+I102+I87+I70+I53+I38</f>
        <v>85004.40000000001</v>
      </c>
      <c r="J231" s="83"/>
      <c r="K231" s="5"/>
    </row>
    <row r="232" spans="8:11" ht="12.75">
      <c r="H232" s="5"/>
      <c r="I232" s="4"/>
      <c r="J232" s="5"/>
      <c r="K232" s="5"/>
    </row>
    <row r="233" spans="8:11" ht="12.75">
      <c r="H233" s="5"/>
      <c r="I233" s="4"/>
      <c r="J233" s="5"/>
      <c r="K233" s="5"/>
    </row>
    <row r="234" spans="8:11" ht="12.75">
      <c r="H234" s="5"/>
      <c r="I234" s="4"/>
      <c r="J234" s="5"/>
      <c r="K234" s="5"/>
    </row>
    <row r="235" spans="3:11" ht="12.75">
      <c r="C235" s="8"/>
      <c r="D235" s="8"/>
      <c r="E235" s="8"/>
      <c r="F235" s="8"/>
      <c r="G235" s="8"/>
      <c r="H235" s="5"/>
      <c r="I235" s="4"/>
      <c r="J235" s="5"/>
      <c r="K235" s="5"/>
    </row>
    <row r="236" spans="3:11" ht="12.75">
      <c r="C236" s="8"/>
      <c r="D236" s="8"/>
      <c r="E236" s="8"/>
      <c r="F236" s="8"/>
      <c r="G236" s="8"/>
      <c r="H236" s="5"/>
      <c r="I236" s="4"/>
      <c r="J236" s="5"/>
      <c r="K236" s="5"/>
    </row>
    <row r="237" spans="3:11" ht="12.75">
      <c r="C237" s="8"/>
      <c r="D237" s="8"/>
      <c r="E237" s="8"/>
      <c r="F237" s="8"/>
      <c r="G237" s="8"/>
      <c r="H237" s="5"/>
      <c r="I237" s="4"/>
      <c r="J237" s="5"/>
      <c r="K237" s="5"/>
    </row>
    <row r="238" spans="3:11" ht="12.75">
      <c r="C238" s="8"/>
      <c r="D238" s="8"/>
      <c r="E238" s="8"/>
      <c r="F238" s="8"/>
      <c r="G238" s="8"/>
      <c r="H238" s="5"/>
      <c r="I238" s="4"/>
      <c r="J238" s="5"/>
      <c r="K238" s="5"/>
    </row>
    <row r="239" spans="3:11" ht="12.75">
      <c r="C239" s="8"/>
      <c r="D239" s="8"/>
      <c r="E239" s="8"/>
      <c r="F239" s="8"/>
      <c r="G239" s="8"/>
      <c r="H239" s="4"/>
      <c r="I239" s="4"/>
      <c r="J239" s="4"/>
      <c r="K239" s="5"/>
    </row>
    <row r="240" spans="3:11" ht="12.75">
      <c r="C240" s="8"/>
      <c r="D240" s="8"/>
      <c r="E240" s="8"/>
      <c r="F240" s="8"/>
      <c r="G240" s="8"/>
      <c r="H240" s="5"/>
      <c r="I240" s="5"/>
      <c r="J240" s="5"/>
      <c r="K240" s="5"/>
    </row>
    <row r="241" spans="3:11" ht="12.75">
      <c r="C241" s="8"/>
      <c r="D241" s="8"/>
      <c r="E241" s="8"/>
      <c r="F241" s="8"/>
      <c r="G241" s="8"/>
      <c r="H241" s="7"/>
      <c r="I241" s="4"/>
      <c r="J241" s="5"/>
      <c r="K241" s="5"/>
    </row>
  </sheetData>
  <sheetProtection/>
  <mergeCells count="41">
    <mergeCell ref="A1:Q1"/>
    <mergeCell ref="A197:Q197"/>
    <mergeCell ref="P4:P6"/>
    <mergeCell ref="J4:J6"/>
    <mergeCell ref="K4:K6"/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Q4:Q6"/>
    <mergeCell ref="A153:O153"/>
    <mergeCell ref="A183:O183"/>
    <mergeCell ref="A59:O59"/>
    <mergeCell ref="A75:O75"/>
    <mergeCell ref="A92:O92"/>
    <mergeCell ref="A107:O107"/>
    <mergeCell ref="A122:O122"/>
    <mergeCell ref="A137:O137"/>
    <mergeCell ref="A74:L74"/>
    <mergeCell ref="C42:L42"/>
    <mergeCell ref="A28:L28"/>
    <mergeCell ref="A136:L136"/>
    <mergeCell ref="A121:L121"/>
    <mergeCell ref="A58:L58"/>
    <mergeCell ref="A7:O7"/>
    <mergeCell ref="A196:L196"/>
    <mergeCell ref="A182:L182"/>
    <mergeCell ref="A152:L152"/>
    <mergeCell ref="A167:L167"/>
    <mergeCell ref="A168:O168"/>
    <mergeCell ref="A2:L2"/>
    <mergeCell ref="A91:L91"/>
    <mergeCell ref="A106:L106"/>
    <mergeCell ref="A29:O29"/>
    <mergeCell ref="A43:O43"/>
  </mergeCells>
  <printOptions/>
  <pageMargins left="0" right="0" top="0.15748031496062992" bottom="0.15748031496062992" header="0.15748031496062992" footer="0.1968503937007874"/>
  <pageSetup fitToHeight="7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1" sqref="A1:K119"/>
    </sheetView>
  </sheetViews>
  <sheetFormatPr defaultColWidth="9.00390625" defaultRowHeight="12.75"/>
  <cols>
    <col min="2" max="2" width="63.125" style="0" customWidth="1"/>
    <col min="3" max="3" width="14.625" style="0" customWidth="1"/>
    <col min="4" max="4" width="14.375" style="0" customWidth="1"/>
    <col min="6" max="7" width="14.375" style="0" customWidth="1"/>
    <col min="9" max="10" width="14.75390625" style="0" customWidth="1"/>
  </cols>
  <sheetData>
    <row r="1" spans="1:11" ht="15.75">
      <c r="A1" s="106" t="s">
        <v>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thickBot="1">
      <c r="A2" s="107"/>
      <c r="B2" s="108"/>
      <c r="C2" s="109"/>
      <c r="D2" s="110"/>
      <c r="E2" s="111"/>
      <c r="F2" s="112"/>
      <c r="G2" s="113"/>
      <c r="H2" s="113"/>
      <c r="I2" s="114"/>
      <c r="J2" s="115"/>
      <c r="K2" s="115"/>
    </row>
    <row r="3" spans="1:11" ht="15">
      <c r="A3" s="116" t="s">
        <v>88</v>
      </c>
      <c r="B3" s="117" t="s">
        <v>89</v>
      </c>
      <c r="C3" s="118" t="s">
        <v>90</v>
      </c>
      <c r="D3" s="118"/>
      <c r="E3" s="118"/>
      <c r="F3" s="119" t="s">
        <v>91</v>
      </c>
      <c r="G3" s="119"/>
      <c r="H3" s="119"/>
      <c r="I3" s="120" t="s">
        <v>92</v>
      </c>
      <c r="J3" s="120"/>
      <c r="K3" s="121"/>
    </row>
    <row r="4" spans="1:11" ht="12.75">
      <c r="A4" s="122"/>
      <c r="B4" s="123"/>
      <c r="C4" s="124" t="s">
        <v>93</v>
      </c>
      <c r="D4" s="124" t="s">
        <v>94</v>
      </c>
      <c r="E4" s="124" t="s">
        <v>95</v>
      </c>
      <c r="F4" s="124" t="s">
        <v>93</v>
      </c>
      <c r="G4" s="125" t="s">
        <v>94</v>
      </c>
      <c r="H4" s="125" t="s">
        <v>95</v>
      </c>
      <c r="I4" s="126" t="s">
        <v>93</v>
      </c>
      <c r="J4" s="127" t="s">
        <v>96</v>
      </c>
      <c r="K4" s="128" t="s">
        <v>95</v>
      </c>
    </row>
    <row r="5" spans="1:11" ht="12.75">
      <c r="A5" s="122"/>
      <c r="B5" s="123"/>
      <c r="C5" s="129"/>
      <c r="D5" s="124"/>
      <c r="E5" s="130"/>
      <c r="F5" s="129"/>
      <c r="G5" s="125"/>
      <c r="H5" s="129"/>
      <c r="I5" s="131"/>
      <c r="J5" s="127"/>
      <c r="K5" s="132"/>
    </row>
    <row r="6" spans="1:11" ht="12.75">
      <c r="A6" s="122"/>
      <c r="B6" s="133" t="s">
        <v>97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1:11" ht="12.75">
      <c r="A7" s="122"/>
      <c r="B7" s="133"/>
      <c r="C7" s="133"/>
      <c r="D7" s="133"/>
      <c r="E7" s="133"/>
      <c r="F7" s="133"/>
      <c r="G7" s="133"/>
      <c r="H7" s="133"/>
      <c r="I7" s="133"/>
      <c r="J7" s="133"/>
      <c r="K7" s="134"/>
    </row>
    <row r="8" spans="1:11" ht="12.75">
      <c r="A8" s="122"/>
      <c r="B8" s="133"/>
      <c r="C8" s="133"/>
      <c r="D8" s="133"/>
      <c r="E8" s="133"/>
      <c r="F8" s="133"/>
      <c r="G8" s="133"/>
      <c r="H8" s="133"/>
      <c r="I8" s="133"/>
      <c r="J8" s="133"/>
      <c r="K8" s="134"/>
    </row>
    <row r="9" spans="1:11" ht="15">
      <c r="A9" s="135" t="s">
        <v>98</v>
      </c>
      <c r="B9" s="136" t="s">
        <v>99</v>
      </c>
      <c r="C9" s="137">
        <f>SUM(C10:C17)</f>
        <v>316929.6</v>
      </c>
      <c r="D9" s="137">
        <f>SUM(D10:D17)</f>
        <v>88912.5</v>
      </c>
      <c r="E9" s="137">
        <f>D9/C9*100</f>
        <v>28.054337619458707</v>
      </c>
      <c r="F9" s="137">
        <f>F10+F11+F12+F13+F14+F16+F17+F15</f>
        <v>190427.90000000002</v>
      </c>
      <c r="G9" s="137">
        <f>SUM(G10:G17)</f>
        <v>68667.1</v>
      </c>
      <c r="H9" s="138">
        <f>G9/F9*100</f>
        <v>36.05936945164023</v>
      </c>
      <c r="I9" s="137">
        <f>SUM(I10:I17)</f>
        <v>505451.3</v>
      </c>
      <c r="J9" s="137">
        <f>SUM(J10:J17)</f>
        <v>156781.7</v>
      </c>
      <c r="K9" s="139">
        <f>J9/I9*100</f>
        <v>31.018161393590244</v>
      </c>
    </row>
    <row r="10" spans="1:11" ht="15">
      <c r="A10" s="140" t="s">
        <v>100</v>
      </c>
      <c r="B10" s="141" t="s">
        <v>101</v>
      </c>
      <c r="C10" s="142">
        <v>3567</v>
      </c>
      <c r="D10" s="142">
        <v>1698.1</v>
      </c>
      <c r="E10" s="142">
        <f>D10/C10*100</f>
        <v>47.605831230726096</v>
      </c>
      <c r="F10" s="143">
        <v>38565.9</v>
      </c>
      <c r="G10" s="143">
        <v>14966.8</v>
      </c>
      <c r="H10" s="143">
        <f>G10/F10*100</f>
        <v>38.80837734890149</v>
      </c>
      <c r="I10" s="144">
        <f aca="true" t="shared" si="0" ref="I10:J79">C10+F10</f>
        <v>42132.9</v>
      </c>
      <c r="J10" s="145">
        <f t="shared" si="0"/>
        <v>16664.899999999998</v>
      </c>
      <c r="K10" s="146">
        <f aca="true" t="shared" si="1" ref="K10:K81">J10/I10*100</f>
        <v>39.55317578424461</v>
      </c>
    </row>
    <row r="11" spans="1:11" ht="30">
      <c r="A11" s="140" t="s">
        <v>102</v>
      </c>
      <c r="B11" s="141" t="s">
        <v>103</v>
      </c>
      <c r="C11" s="142">
        <v>12259.6</v>
      </c>
      <c r="D11" s="142">
        <v>6560.7</v>
      </c>
      <c r="E11" s="142">
        <f aca="true" t="shared" si="2" ref="E11:E19">D11/C11*100</f>
        <v>53.514796567587844</v>
      </c>
      <c r="F11" s="143">
        <v>0</v>
      </c>
      <c r="G11" s="143"/>
      <c r="H11" s="143">
        <v>0</v>
      </c>
      <c r="I11" s="144">
        <f t="shared" si="0"/>
        <v>12259.6</v>
      </c>
      <c r="J11" s="145">
        <f t="shared" si="0"/>
        <v>6560.7</v>
      </c>
      <c r="K11" s="146">
        <f t="shared" si="1"/>
        <v>53.514796567587844</v>
      </c>
    </row>
    <row r="12" spans="1:11" ht="15">
      <c r="A12" s="140" t="s">
        <v>104</v>
      </c>
      <c r="B12" s="141" t="s">
        <v>105</v>
      </c>
      <c r="C12" s="142">
        <v>134080</v>
      </c>
      <c r="D12" s="142">
        <v>49116.1</v>
      </c>
      <c r="E12" s="142">
        <f t="shared" si="2"/>
        <v>36.6319361575179</v>
      </c>
      <c r="F12" s="143">
        <v>117076.8</v>
      </c>
      <c r="G12" s="143">
        <v>43737</v>
      </c>
      <c r="H12" s="143">
        <f aca="true" t="shared" si="3" ref="H12:H19">G12/F12*100</f>
        <v>37.357529416588086</v>
      </c>
      <c r="I12" s="144">
        <f t="shared" si="0"/>
        <v>251156.8</v>
      </c>
      <c r="J12" s="145">
        <f t="shared" si="0"/>
        <v>92853.1</v>
      </c>
      <c r="K12" s="146">
        <f t="shared" si="1"/>
        <v>36.97017162187129</v>
      </c>
    </row>
    <row r="13" spans="1:11" ht="15">
      <c r="A13" s="140" t="s">
        <v>106</v>
      </c>
      <c r="B13" s="141" t="s">
        <v>107</v>
      </c>
      <c r="C13" s="142">
        <v>24.7</v>
      </c>
      <c r="D13" s="142"/>
      <c r="E13" s="142">
        <v>0</v>
      </c>
      <c r="F13" s="143">
        <v>0</v>
      </c>
      <c r="G13" s="143"/>
      <c r="H13" s="143">
        <v>0</v>
      </c>
      <c r="I13" s="144">
        <f t="shared" si="0"/>
        <v>24.7</v>
      </c>
      <c r="J13" s="145">
        <f t="shared" si="0"/>
        <v>0</v>
      </c>
      <c r="K13" s="146"/>
    </row>
    <row r="14" spans="1:11" ht="15">
      <c r="A14" s="140" t="s">
        <v>108</v>
      </c>
      <c r="B14" s="141" t="s">
        <v>109</v>
      </c>
      <c r="C14" s="142">
        <v>28515.8</v>
      </c>
      <c r="D14" s="142">
        <v>11915.1</v>
      </c>
      <c r="E14" s="142">
        <f t="shared" si="2"/>
        <v>41.784203844886</v>
      </c>
      <c r="F14" s="143">
        <v>0</v>
      </c>
      <c r="G14" s="143"/>
      <c r="H14" s="143">
        <v>0</v>
      </c>
      <c r="I14" s="144">
        <f>C14+F14</f>
        <v>28515.8</v>
      </c>
      <c r="J14" s="145">
        <f>D14+G14</f>
        <v>11915.1</v>
      </c>
      <c r="K14" s="146">
        <f t="shared" si="1"/>
        <v>41.784203844886</v>
      </c>
    </row>
    <row r="15" spans="1:11" ht="15">
      <c r="A15" s="147" t="s">
        <v>110</v>
      </c>
      <c r="B15" s="141" t="s">
        <v>111</v>
      </c>
      <c r="C15" s="142">
        <v>0</v>
      </c>
      <c r="D15" s="142"/>
      <c r="E15" s="142"/>
      <c r="F15" s="143">
        <v>0</v>
      </c>
      <c r="G15" s="143"/>
      <c r="H15" s="143">
        <v>0</v>
      </c>
      <c r="I15" s="144">
        <f>C15+F15</f>
        <v>0</v>
      </c>
      <c r="J15" s="145">
        <f t="shared" si="0"/>
        <v>0</v>
      </c>
      <c r="K15" s="146" t="e">
        <f t="shared" si="1"/>
        <v>#DIV/0!</v>
      </c>
    </row>
    <row r="16" spans="1:11" ht="15">
      <c r="A16" s="147" t="s">
        <v>112</v>
      </c>
      <c r="B16" s="141" t="s">
        <v>113</v>
      </c>
      <c r="C16" s="142">
        <v>4036</v>
      </c>
      <c r="D16" s="142"/>
      <c r="E16" s="142">
        <f t="shared" si="2"/>
        <v>0</v>
      </c>
      <c r="F16" s="143">
        <v>1072.2</v>
      </c>
      <c r="G16" s="143"/>
      <c r="H16" s="143">
        <f t="shared" si="3"/>
        <v>0</v>
      </c>
      <c r="I16" s="144">
        <f t="shared" si="0"/>
        <v>5108.2</v>
      </c>
      <c r="J16" s="145">
        <f t="shared" si="0"/>
        <v>0</v>
      </c>
      <c r="K16" s="146">
        <f t="shared" si="1"/>
        <v>0</v>
      </c>
    </row>
    <row r="17" spans="1:11" ht="15">
      <c r="A17" s="140" t="s">
        <v>114</v>
      </c>
      <c r="B17" s="141" t="s">
        <v>115</v>
      </c>
      <c r="C17" s="142">
        <v>134446.5</v>
      </c>
      <c r="D17" s="142">
        <v>19622.5</v>
      </c>
      <c r="E17" s="142">
        <f t="shared" si="2"/>
        <v>14.595024786811111</v>
      </c>
      <c r="F17" s="143">
        <v>33713</v>
      </c>
      <c r="G17" s="143">
        <v>9963.3</v>
      </c>
      <c r="H17" s="143">
        <f t="shared" si="3"/>
        <v>29.553288049120514</v>
      </c>
      <c r="I17" s="144">
        <f>C17+F17-70-3336.2+1500</f>
        <v>166253.3</v>
      </c>
      <c r="J17" s="145">
        <f>D17+G17-70-727.9</f>
        <v>28787.899999999998</v>
      </c>
      <c r="K17" s="146">
        <f t="shared" si="1"/>
        <v>17.315686365323273</v>
      </c>
    </row>
    <row r="18" spans="1:11" ht="15">
      <c r="A18" s="135" t="s">
        <v>116</v>
      </c>
      <c r="B18" s="136" t="s">
        <v>117</v>
      </c>
      <c r="C18" s="137">
        <f aca="true" t="shared" si="4" ref="C18:J18">C19</f>
        <v>4840</v>
      </c>
      <c r="D18" s="137">
        <f t="shared" si="4"/>
        <v>4114</v>
      </c>
      <c r="E18" s="137">
        <f t="shared" si="4"/>
        <v>85</v>
      </c>
      <c r="F18" s="137">
        <f t="shared" si="4"/>
        <v>4840</v>
      </c>
      <c r="G18" s="137">
        <f t="shared" si="4"/>
        <v>1038</v>
      </c>
      <c r="H18" s="148">
        <f t="shared" si="4"/>
        <v>21.446280991735538</v>
      </c>
      <c r="I18" s="137">
        <f t="shared" si="4"/>
        <v>4840</v>
      </c>
      <c r="J18" s="137">
        <f t="shared" si="4"/>
        <v>1038</v>
      </c>
      <c r="K18" s="149">
        <f t="shared" si="1"/>
        <v>21.446280991735538</v>
      </c>
    </row>
    <row r="19" spans="1:11" ht="15">
      <c r="A19" s="140" t="s">
        <v>118</v>
      </c>
      <c r="B19" s="141" t="s">
        <v>119</v>
      </c>
      <c r="C19" s="142">
        <v>4840</v>
      </c>
      <c r="D19" s="142">
        <v>4114</v>
      </c>
      <c r="E19" s="142">
        <f t="shared" si="2"/>
        <v>85</v>
      </c>
      <c r="F19" s="143">
        <v>4840</v>
      </c>
      <c r="G19" s="143">
        <v>1038</v>
      </c>
      <c r="H19" s="143">
        <f t="shared" si="3"/>
        <v>21.446280991735538</v>
      </c>
      <c r="I19" s="144">
        <f>C19+F19-4840</f>
        <v>4840</v>
      </c>
      <c r="J19" s="145">
        <f>D19+G19-4114</f>
        <v>1038</v>
      </c>
      <c r="K19" s="146">
        <f t="shared" si="1"/>
        <v>21.446280991735538</v>
      </c>
    </row>
    <row r="20" spans="1:11" ht="12.75">
      <c r="A20" s="150" t="s">
        <v>120</v>
      </c>
      <c r="B20" s="151" t="s">
        <v>121</v>
      </c>
      <c r="C20" s="152">
        <f>C23+C24+C22</f>
        <v>13521.7</v>
      </c>
      <c r="D20" s="152">
        <f>D23+D24+D22</f>
        <v>1652.3999999999999</v>
      </c>
      <c r="E20" s="152">
        <f>D20/C20*100</f>
        <v>12.220356907785263</v>
      </c>
      <c r="F20" s="152">
        <f>F23+F24+F22</f>
        <v>6343.7</v>
      </c>
      <c r="G20" s="152">
        <f>G23+G24+G22</f>
        <v>1255.7</v>
      </c>
      <c r="H20" s="152">
        <f>G20/F20*100</f>
        <v>19.794441729589987</v>
      </c>
      <c r="I20" s="152">
        <f>I23+I24+I22</f>
        <v>18875.699999999997</v>
      </c>
      <c r="J20" s="152">
        <f>SUM(J22:J24)</f>
        <v>2470.3999999999996</v>
      </c>
      <c r="K20" s="152">
        <f>J20/I20*100</f>
        <v>13.087726547889615</v>
      </c>
    </row>
    <row r="21" spans="1:11" ht="12.75">
      <c r="A21" s="150"/>
      <c r="B21" s="151"/>
      <c r="C21" s="152"/>
      <c r="D21" s="152"/>
      <c r="E21" s="152"/>
      <c r="F21" s="152"/>
      <c r="G21" s="152"/>
      <c r="H21" s="152"/>
      <c r="I21" s="152"/>
      <c r="J21" s="152"/>
      <c r="K21" s="152"/>
    </row>
    <row r="22" spans="1:11" ht="15">
      <c r="A22" s="147" t="s">
        <v>122</v>
      </c>
      <c r="B22" s="141" t="s">
        <v>123</v>
      </c>
      <c r="C22" s="142">
        <v>4442.7</v>
      </c>
      <c r="D22" s="142">
        <v>1308.1</v>
      </c>
      <c r="E22" s="142">
        <f aca="true" t="shared" si="5" ref="E22:E92">D22/C22*100</f>
        <v>29.443806694127446</v>
      </c>
      <c r="F22" s="143">
        <v>759</v>
      </c>
      <c r="G22" s="143">
        <v>170.5</v>
      </c>
      <c r="H22" s="143">
        <f>G22/F22*100</f>
        <v>22.463768115942027</v>
      </c>
      <c r="I22" s="144">
        <f>C22+F22-759</f>
        <v>4442.7</v>
      </c>
      <c r="J22" s="145">
        <f>D22+G22-207</f>
        <v>1271.6</v>
      </c>
      <c r="K22" s="146">
        <f>J22/I22*100</f>
        <v>28.622234226934072</v>
      </c>
    </row>
    <row r="23" spans="1:11" ht="15">
      <c r="A23" s="140" t="s">
        <v>124</v>
      </c>
      <c r="B23" s="141" t="s">
        <v>125</v>
      </c>
      <c r="C23" s="142">
        <v>8678.3</v>
      </c>
      <c r="D23" s="142">
        <v>113.6</v>
      </c>
      <c r="E23" s="142">
        <f t="shared" si="5"/>
        <v>1.309012133712824</v>
      </c>
      <c r="F23" s="143">
        <v>5276.9</v>
      </c>
      <c r="G23" s="143">
        <v>1042.7</v>
      </c>
      <c r="H23" s="143">
        <f>G23/F23*100</f>
        <v>19.759707403968243</v>
      </c>
      <c r="I23" s="144">
        <f>C23+F23</f>
        <v>13955.199999999999</v>
      </c>
      <c r="J23" s="145">
        <f>D23+G23</f>
        <v>1156.3</v>
      </c>
      <c r="K23" s="146">
        <f>J23/I23*100</f>
        <v>8.285800275166247</v>
      </c>
    </row>
    <row r="24" spans="1:11" ht="30">
      <c r="A24" s="147" t="s">
        <v>126</v>
      </c>
      <c r="B24" s="141" t="s">
        <v>127</v>
      </c>
      <c r="C24" s="142">
        <v>400.7</v>
      </c>
      <c r="D24" s="142">
        <v>230.7</v>
      </c>
      <c r="E24" s="142">
        <f t="shared" si="5"/>
        <v>57.57424507112553</v>
      </c>
      <c r="F24" s="143">
        <v>307.8</v>
      </c>
      <c r="G24" s="143">
        <v>42.5</v>
      </c>
      <c r="H24" s="143">
        <f>G24/F24*100</f>
        <v>13.807667316439245</v>
      </c>
      <c r="I24" s="144">
        <f>C24+F24-230.7</f>
        <v>477.8</v>
      </c>
      <c r="J24" s="145">
        <f>D24+G24-230.7</f>
        <v>42.5</v>
      </c>
      <c r="K24" s="146">
        <f>J24/I24*100</f>
        <v>8.894935119296775</v>
      </c>
    </row>
    <row r="25" spans="1:11" ht="15">
      <c r="A25" s="135" t="s">
        <v>128</v>
      </c>
      <c r="B25" s="136" t="s">
        <v>129</v>
      </c>
      <c r="C25" s="137">
        <f>SUM(C26:C45)</f>
        <v>187306.69999999998</v>
      </c>
      <c r="D25" s="137">
        <f>SUM(D26:D45)</f>
        <v>74763.20000000001</v>
      </c>
      <c r="E25" s="137">
        <f>D25/C25*100</f>
        <v>39.9148562224416</v>
      </c>
      <c r="F25" s="137">
        <f>SUM(F26:F45)</f>
        <v>73092.50000000001</v>
      </c>
      <c r="G25" s="137">
        <f>SUM(G26:G45)</f>
        <v>16535.499999999996</v>
      </c>
      <c r="H25" s="138">
        <f>G25/F25*100</f>
        <v>22.622704107808588</v>
      </c>
      <c r="I25" s="137">
        <f>SUM(I26:I45)</f>
        <v>208672.1</v>
      </c>
      <c r="J25" s="137">
        <f>SUM(J26:J45)</f>
        <v>71373.40000000002</v>
      </c>
      <c r="K25" s="139">
        <f t="shared" si="1"/>
        <v>34.20361418704274</v>
      </c>
    </row>
    <row r="26" spans="1:11" ht="45">
      <c r="A26" s="147" t="s">
        <v>130</v>
      </c>
      <c r="B26" s="153" t="s">
        <v>131</v>
      </c>
      <c r="C26" s="142">
        <v>15902.4</v>
      </c>
      <c r="D26" s="142">
        <v>3710.2</v>
      </c>
      <c r="E26" s="142">
        <f t="shared" si="5"/>
        <v>23.331069524096993</v>
      </c>
      <c r="F26" s="142">
        <v>4218.4</v>
      </c>
      <c r="G26" s="143">
        <v>3154.9</v>
      </c>
      <c r="H26" s="143">
        <f>G26/F26*100</f>
        <v>74.78901953347241</v>
      </c>
      <c r="I26" s="144">
        <f>C26+F26-3306</f>
        <v>16814.8</v>
      </c>
      <c r="J26" s="144">
        <f>D26+G26-3306</f>
        <v>3559.1000000000004</v>
      </c>
      <c r="K26" s="146">
        <f t="shared" si="1"/>
        <v>21.166472393367748</v>
      </c>
    </row>
    <row r="27" spans="1:11" ht="15">
      <c r="A27" s="140" t="s">
        <v>132</v>
      </c>
      <c r="B27" s="141" t="s">
        <v>133</v>
      </c>
      <c r="C27" s="142">
        <v>30954</v>
      </c>
      <c r="D27" s="142">
        <v>25491.9</v>
      </c>
      <c r="E27" s="142">
        <f t="shared" si="5"/>
        <v>82.35413839891453</v>
      </c>
      <c r="F27" s="143">
        <v>0</v>
      </c>
      <c r="G27" s="143">
        <v>0</v>
      </c>
      <c r="H27" s="143">
        <v>0</v>
      </c>
      <c r="I27" s="144">
        <f t="shared" si="0"/>
        <v>30954</v>
      </c>
      <c r="J27" s="145">
        <f t="shared" si="0"/>
        <v>25491.9</v>
      </c>
      <c r="K27" s="146">
        <f t="shared" si="1"/>
        <v>82.35413839891453</v>
      </c>
    </row>
    <row r="28" spans="1:11" ht="15">
      <c r="A28" s="140" t="s">
        <v>134</v>
      </c>
      <c r="B28" s="141" t="s">
        <v>135</v>
      </c>
      <c r="C28" s="142">
        <v>11150</v>
      </c>
      <c r="D28" s="142">
        <v>5634.8</v>
      </c>
      <c r="E28" s="142">
        <f t="shared" si="5"/>
        <v>50.536322869955164</v>
      </c>
      <c r="F28" s="143">
        <v>0</v>
      </c>
      <c r="G28" s="143">
        <v>0</v>
      </c>
      <c r="H28" s="143">
        <v>0</v>
      </c>
      <c r="I28" s="144">
        <f t="shared" si="0"/>
        <v>11150</v>
      </c>
      <c r="J28" s="145">
        <f t="shared" si="0"/>
        <v>5634.8</v>
      </c>
      <c r="K28" s="146">
        <f t="shared" si="1"/>
        <v>50.536322869955164</v>
      </c>
    </row>
    <row r="29" spans="1:11" ht="30">
      <c r="A29" s="140" t="s">
        <v>134</v>
      </c>
      <c r="B29" s="141" t="s">
        <v>136</v>
      </c>
      <c r="C29" s="142">
        <v>16096</v>
      </c>
      <c r="D29" s="142">
        <v>8708</v>
      </c>
      <c r="E29" s="142">
        <f t="shared" si="5"/>
        <v>54.10039761431411</v>
      </c>
      <c r="F29" s="143">
        <v>14076.5</v>
      </c>
      <c r="G29" s="143">
        <v>2116.8</v>
      </c>
      <c r="H29" s="143">
        <f>G29/F29*100</f>
        <v>15.037829005789794</v>
      </c>
      <c r="I29" s="144">
        <f t="shared" si="0"/>
        <v>30172.5</v>
      </c>
      <c r="J29" s="145">
        <f t="shared" si="0"/>
        <v>10824.8</v>
      </c>
      <c r="K29" s="146">
        <f t="shared" si="1"/>
        <v>35.87637749606429</v>
      </c>
    </row>
    <row r="30" spans="1:11" ht="15">
      <c r="A30" s="140" t="s">
        <v>134</v>
      </c>
      <c r="B30" s="141" t="s">
        <v>137</v>
      </c>
      <c r="C30" s="142">
        <v>7931</v>
      </c>
      <c r="D30" s="142">
        <v>773.4</v>
      </c>
      <c r="E30" s="142">
        <f t="shared" si="5"/>
        <v>9.751607615685286</v>
      </c>
      <c r="F30" s="143">
        <v>0</v>
      </c>
      <c r="G30" s="143">
        <v>0</v>
      </c>
      <c r="H30" s="143">
        <v>0</v>
      </c>
      <c r="I30" s="144">
        <f t="shared" si="0"/>
        <v>7931</v>
      </c>
      <c r="J30" s="145">
        <f t="shared" si="0"/>
        <v>773.4</v>
      </c>
      <c r="K30" s="146">
        <f t="shared" si="1"/>
        <v>9.751607615685286</v>
      </c>
    </row>
    <row r="31" spans="1:11" ht="45">
      <c r="A31" s="140" t="s">
        <v>138</v>
      </c>
      <c r="B31" s="154" t="s">
        <v>139</v>
      </c>
      <c r="C31" s="142">
        <v>5347.1</v>
      </c>
      <c r="D31" s="142">
        <v>3770</v>
      </c>
      <c r="E31" s="142">
        <f t="shared" si="5"/>
        <v>70.50550765835686</v>
      </c>
      <c r="F31" s="143">
        <v>543.7</v>
      </c>
      <c r="G31" s="143">
        <v>0</v>
      </c>
      <c r="H31" s="143">
        <v>0</v>
      </c>
      <c r="I31" s="144">
        <f t="shared" si="0"/>
        <v>5890.8</v>
      </c>
      <c r="J31" s="145">
        <f t="shared" si="0"/>
        <v>3770</v>
      </c>
      <c r="K31" s="146">
        <f t="shared" si="1"/>
        <v>63.9980987302234</v>
      </c>
    </row>
    <row r="32" spans="1:11" ht="45">
      <c r="A32" s="147" t="s">
        <v>138</v>
      </c>
      <c r="B32" s="154" t="s">
        <v>140</v>
      </c>
      <c r="C32" s="142">
        <v>15582.7</v>
      </c>
      <c r="D32" s="142">
        <v>0</v>
      </c>
      <c r="E32" s="142">
        <f t="shared" si="5"/>
        <v>0</v>
      </c>
      <c r="F32" s="143">
        <v>10310.7</v>
      </c>
      <c r="G32" s="143">
        <v>0</v>
      </c>
      <c r="H32" s="143">
        <f aca="true" t="shared" si="6" ref="H32:H37">G32/F32*100</f>
        <v>0</v>
      </c>
      <c r="I32" s="144">
        <f>C32+F32-10310.7</f>
        <v>15582.7</v>
      </c>
      <c r="J32" s="145">
        <f>D32+G32</f>
        <v>0</v>
      </c>
      <c r="K32" s="146">
        <f>J32/I32*100</f>
        <v>0</v>
      </c>
    </row>
    <row r="33" spans="1:11" ht="75">
      <c r="A33" s="147" t="s">
        <v>138</v>
      </c>
      <c r="B33" s="141" t="s">
        <v>141</v>
      </c>
      <c r="C33" s="142">
        <v>3000</v>
      </c>
      <c r="D33" s="142">
        <v>545.9</v>
      </c>
      <c r="E33" s="142">
        <f t="shared" si="5"/>
        <v>18.196666666666665</v>
      </c>
      <c r="F33" s="143">
        <v>3000</v>
      </c>
      <c r="G33" s="143">
        <v>545.9</v>
      </c>
      <c r="H33" s="143">
        <f t="shared" si="6"/>
        <v>18.196666666666665</v>
      </c>
      <c r="I33" s="144">
        <f>C33+F33-3000</f>
        <v>3000</v>
      </c>
      <c r="J33" s="145">
        <f>D33+G33-545.9</f>
        <v>545.9</v>
      </c>
      <c r="K33" s="146">
        <f>J33/I33*100</f>
        <v>18.196666666666665</v>
      </c>
    </row>
    <row r="34" spans="1:11" ht="30">
      <c r="A34" s="147" t="s">
        <v>138</v>
      </c>
      <c r="B34" s="141" t="s">
        <v>142</v>
      </c>
      <c r="C34" s="142">
        <v>34367.3</v>
      </c>
      <c r="D34" s="142">
        <v>14079.8</v>
      </c>
      <c r="E34" s="142">
        <f t="shared" si="5"/>
        <v>40.96859514713113</v>
      </c>
      <c r="F34" s="143">
        <v>31877.4</v>
      </c>
      <c r="G34" s="143">
        <v>7972.7</v>
      </c>
      <c r="H34" s="143">
        <f t="shared" si="6"/>
        <v>25.01050901265473</v>
      </c>
      <c r="I34" s="144">
        <f>C34+F34-31877.4</f>
        <v>34367.30000000001</v>
      </c>
      <c r="J34" s="145">
        <f>D34+G34-13192.6</f>
        <v>8859.9</v>
      </c>
      <c r="K34" s="146">
        <f>J34/I34*100</f>
        <v>25.78002927201147</v>
      </c>
    </row>
    <row r="35" spans="1:11" ht="30">
      <c r="A35" s="147" t="s">
        <v>138</v>
      </c>
      <c r="B35" s="141" t="s">
        <v>143</v>
      </c>
      <c r="C35" s="142"/>
      <c r="D35" s="142"/>
      <c r="E35" s="142"/>
      <c r="F35" s="143">
        <v>836.6</v>
      </c>
      <c r="G35" s="143">
        <v>294</v>
      </c>
      <c r="H35" s="143">
        <f t="shared" si="6"/>
        <v>35.14224240975376</v>
      </c>
      <c r="I35" s="144">
        <f>C35+F35</f>
        <v>836.6</v>
      </c>
      <c r="J35" s="145">
        <f t="shared" si="0"/>
        <v>294</v>
      </c>
      <c r="K35" s="146">
        <f t="shared" si="1"/>
        <v>35.14224240975376</v>
      </c>
    </row>
    <row r="36" spans="1:11" ht="15">
      <c r="A36" s="140" t="s">
        <v>144</v>
      </c>
      <c r="B36" s="141" t="s">
        <v>145</v>
      </c>
      <c r="C36" s="142">
        <v>4829.6</v>
      </c>
      <c r="D36" s="142">
        <v>1126.6</v>
      </c>
      <c r="E36" s="142">
        <f t="shared" si="5"/>
        <v>23.326983601126383</v>
      </c>
      <c r="F36" s="143">
        <v>4640.1</v>
      </c>
      <c r="G36" s="143">
        <v>1558.9</v>
      </c>
      <c r="H36" s="143">
        <f t="shared" si="6"/>
        <v>33.59625870132109</v>
      </c>
      <c r="I36" s="144">
        <f t="shared" si="0"/>
        <v>9469.7</v>
      </c>
      <c r="J36" s="145">
        <f t="shared" si="0"/>
        <v>2685.5</v>
      </c>
      <c r="K36" s="146">
        <f t="shared" si="1"/>
        <v>28.358870925161302</v>
      </c>
    </row>
    <row r="37" spans="1:11" ht="45">
      <c r="A37" s="140" t="s">
        <v>146</v>
      </c>
      <c r="B37" s="154" t="s">
        <v>147</v>
      </c>
      <c r="C37" s="155">
        <v>3500</v>
      </c>
      <c r="D37" s="142">
        <v>2733</v>
      </c>
      <c r="E37" s="155">
        <f t="shared" si="5"/>
        <v>78.08571428571427</v>
      </c>
      <c r="F37" s="143">
        <v>2883</v>
      </c>
      <c r="G37" s="143">
        <v>744.5</v>
      </c>
      <c r="H37" s="143">
        <f t="shared" si="6"/>
        <v>25.823794658342003</v>
      </c>
      <c r="I37" s="144">
        <f>C37+F37-2733</f>
        <v>3650</v>
      </c>
      <c r="J37" s="145">
        <f>D37+G37-2733</f>
        <v>744.5</v>
      </c>
      <c r="K37" s="146">
        <f t="shared" si="1"/>
        <v>20.397260273972602</v>
      </c>
    </row>
    <row r="38" spans="1:11" ht="45">
      <c r="A38" s="140" t="s">
        <v>146</v>
      </c>
      <c r="B38" s="154" t="s">
        <v>148</v>
      </c>
      <c r="C38" s="155">
        <v>4500</v>
      </c>
      <c r="D38" s="143">
        <v>0</v>
      </c>
      <c r="E38" s="155">
        <f t="shared" si="5"/>
        <v>0</v>
      </c>
      <c r="F38" s="143">
        <v>0</v>
      </c>
      <c r="G38" s="143">
        <v>0</v>
      </c>
      <c r="H38" s="143">
        <v>0</v>
      </c>
      <c r="I38" s="144">
        <f t="shared" si="0"/>
        <v>4500</v>
      </c>
      <c r="J38" s="145">
        <f t="shared" si="0"/>
        <v>0</v>
      </c>
      <c r="K38" s="146">
        <f t="shared" si="1"/>
        <v>0</v>
      </c>
    </row>
    <row r="39" spans="1:11" ht="105">
      <c r="A39" s="140" t="s">
        <v>146</v>
      </c>
      <c r="B39" s="154" t="s">
        <v>149</v>
      </c>
      <c r="C39" s="155">
        <v>11133.9</v>
      </c>
      <c r="D39" s="143">
        <v>7632.4</v>
      </c>
      <c r="E39" s="155">
        <f t="shared" si="5"/>
        <v>68.55100189511312</v>
      </c>
      <c r="F39" s="143"/>
      <c r="G39" s="143"/>
      <c r="H39" s="143"/>
      <c r="I39" s="144">
        <f t="shared" si="0"/>
        <v>11133.9</v>
      </c>
      <c r="J39" s="145">
        <f t="shared" si="0"/>
        <v>7632.4</v>
      </c>
      <c r="K39" s="146">
        <f t="shared" si="1"/>
        <v>68.55100189511312</v>
      </c>
    </row>
    <row r="40" spans="1:11" ht="60">
      <c r="A40" s="147" t="s">
        <v>146</v>
      </c>
      <c r="B40" s="154" t="s">
        <v>150</v>
      </c>
      <c r="C40" s="155">
        <v>18058.4</v>
      </c>
      <c r="D40" s="143">
        <v>0</v>
      </c>
      <c r="E40" s="155">
        <f t="shared" si="5"/>
        <v>0</v>
      </c>
      <c r="F40" s="143"/>
      <c r="G40" s="143"/>
      <c r="H40" s="143"/>
      <c r="I40" s="144">
        <f t="shared" si="0"/>
        <v>18058.4</v>
      </c>
      <c r="J40" s="145">
        <f t="shared" si="0"/>
        <v>0</v>
      </c>
      <c r="K40" s="146">
        <f t="shared" si="1"/>
        <v>0</v>
      </c>
    </row>
    <row r="41" spans="1:11" ht="75">
      <c r="A41" s="147" t="s">
        <v>146</v>
      </c>
      <c r="B41" s="154" t="s">
        <v>151</v>
      </c>
      <c r="C41" s="155">
        <v>2800</v>
      </c>
      <c r="D41" s="143"/>
      <c r="E41" s="155">
        <f t="shared" si="5"/>
        <v>0</v>
      </c>
      <c r="F41" s="143"/>
      <c r="G41" s="143"/>
      <c r="H41" s="143"/>
      <c r="I41" s="144">
        <f t="shared" si="0"/>
        <v>2800</v>
      </c>
      <c r="J41" s="145">
        <f t="shared" si="0"/>
        <v>0</v>
      </c>
      <c r="K41" s="146">
        <f t="shared" si="1"/>
        <v>0</v>
      </c>
    </row>
    <row r="42" spans="1:11" ht="30">
      <c r="A42" s="147" t="s">
        <v>146</v>
      </c>
      <c r="B42" s="154" t="s">
        <v>152</v>
      </c>
      <c r="C42" s="155">
        <v>1455.8</v>
      </c>
      <c r="D42" s="143">
        <v>301.1</v>
      </c>
      <c r="E42" s="155">
        <f t="shared" si="5"/>
        <v>20.68278609699135</v>
      </c>
      <c r="F42" s="143">
        <v>0</v>
      </c>
      <c r="G42" s="143">
        <v>0</v>
      </c>
      <c r="H42" s="143">
        <v>0</v>
      </c>
      <c r="I42" s="144">
        <f t="shared" si="0"/>
        <v>1455.8</v>
      </c>
      <c r="J42" s="145">
        <f t="shared" si="0"/>
        <v>301.1</v>
      </c>
      <c r="K42" s="146">
        <f t="shared" si="1"/>
        <v>20.68278609699135</v>
      </c>
    </row>
    <row r="43" spans="1:11" ht="30">
      <c r="A43" s="147" t="s">
        <v>146</v>
      </c>
      <c r="B43" s="154" t="s">
        <v>153</v>
      </c>
      <c r="C43" s="155">
        <v>198.5</v>
      </c>
      <c r="D43" s="143">
        <v>108.3</v>
      </c>
      <c r="E43" s="155">
        <f t="shared" si="5"/>
        <v>54.559193954659946</v>
      </c>
      <c r="F43" s="143"/>
      <c r="G43" s="143"/>
      <c r="H43" s="143">
        <v>0</v>
      </c>
      <c r="I43" s="144">
        <f t="shared" si="0"/>
        <v>198.5</v>
      </c>
      <c r="J43" s="145">
        <f t="shared" si="0"/>
        <v>108.3</v>
      </c>
      <c r="K43" s="146">
        <f t="shared" si="1"/>
        <v>54.559193954659946</v>
      </c>
    </row>
    <row r="44" spans="1:11" ht="30">
      <c r="A44" s="147" t="s">
        <v>146</v>
      </c>
      <c r="B44" s="154" t="s">
        <v>154</v>
      </c>
      <c r="C44" s="155"/>
      <c r="D44" s="143"/>
      <c r="E44" s="155"/>
      <c r="F44" s="143">
        <v>206.1</v>
      </c>
      <c r="G44" s="143"/>
      <c r="H44" s="143">
        <v>0</v>
      </c>
      <c r="I44" s="144">
        <f t="shared" si="0"/>
        <v>206.1</v>
      </c>
      <c r="J44" s="145">
        <f t="shared" si="0"/>
        <v>0</v>
      </c>
      <c r="K44" s="146">
        <f t="shared" si="1"/>
        <v>0</v>
      </c>
    </row>
    <row r="45" spans="1:11" ht="60">
      <c r="A45" s="147" t="s">
        <v>146</v>
      </c>
      <c r="B45" s="154" t="s">
        <v>155</v>
      </c>
      <c r="C45" s="155">
        <v>500</v>
      </c>
      <c r="D45" s="143">
        <v>147.8</v>
      </c>
      <c r="E45" s="155">
        <f t="shared" si="5"/>
        <v>29.560000000000002</v>
      </c>
      <c r="F45" s="143">
        <v>500</v>
      </c>
      <c r="G45" s="143">
        <v>147.8</v>
      </c>
      <c r="H45" s="143">
        <f>G45/F45*100</f>
        <v>29.560000000000002</v>
      </c>
      <c r="I45" s="144">
        <f>C45+F45-500</f>
        <v>500</v>
      </c>
      <c r="J45" s="145">
        <f>D45+G45-147.8</f>
        <v>147.8</v>
      </c>
      <c r="K45" s="146">
        <f t="shared" si="1"/>
        <v>29.560000000000002</v>
      </c>
    </row>
    <row r="46" spans="1:11" ht="14.25">
      <c r="A46" s="135" t="s">
        <v>156</v>
      </c>
      <c r="B46" s="136" t="s">
        <v>157</v>
      </c>
      <c r="C46" s="156">
        <f>SUM(C47:C69)</f>
        <v>188931.1</v>
      </c>
      <c r="D46" s="156">
        <f>SUM(D47:D69)</f>
        <v>78010.19999999998</v>
      </c>
      <c r="E46" s="137">
        <f t="shared" si="5"/>
        <v>41.29029048155649</v>
      </c>
      <c r="F46" s="157">
        <f>SUM(F47:F69)</f>
        <v>145269.6</v>
      </c>
      <c r="G46" s="157">
        <f>SUM(G47:G69)</f>
        <v>20417.1</v>
      </c>
      <c r="H46" s="157">
        <f>G46/F46*100</f>
        <v>14.054626707859041</v>
      </c>
      <c r="I46" s="156">
        <f>SUM(I47:I69)</f>
        <v>283319.1</v>
      </c>
      <c r="J46" s="156">
        <f>SUM(J47:J69)</f>
        <v>96627.29999999997</v>
      </c>
      <c r="K46" s="139">
        <f t="shared" si="1"/>
        <v>34.105466239304015</v>
      </c>
    </row>
    <row r="47" spans="1:11" ht="75">
      <c r="A47" s="140" t="s">
        <v>158</v>
      </c>
      <c r="B47" s="141" t="s">
        <v>159</v>
      </c>
      <c r="C47" s="142">
        <v>64451.2</v>
      </c>
      <c r="D47" s="142">
        <v>50790</v>
      </c>
      <c r="E47" s="155">
        <f t="shared" si="5"/>
        <v>78.8038081525247</v>
      </c>
      <c r="F47" s="143">
        <v>0</v>
      </c>
      <c r="G47" s="143">
        <v>0</v>
      </c>
      <c r="H47" s="143">
        <v>0</v>
      </c>
      <c r="I47" s="144">
        <f t="shared" si="0"/>
        <v>64451.2</v>
      </c>
      <c r="J47" s="145">
        <f t="shared" si="0"/>
        <v>50790</v>
      </c>
      <c r="K47" s="146">
        <f t="shared" si="1"/>
        <v>78.8038081525247</v>
      </c>
    </row>
    <row r="48" spans="1:11" ht="90">
      <c r="A48" s="140" t="s">
        <v>158</v>
      </c>
      <c r="B48" s="141" t="s">
        <v>160</v>
      </c>
      <c r="C48" s="142">
        <v>544.3</v>
      </c>
      <c r="D48" s="142">
        <v>0</v>
      </c>
      <c r="E48" s="155">
        <v>0</v>
      </c>
      <c r="F48" s="143"/>
      <c r="G48" s="143"/>
      <c r="H48" s="143">
        <v>0</v>
      </c>
      <c r="I48" s="144">
        <f t="shared" si="0"/>
        <v>544.3</v>
      </c>
      <c r="J48" s="145">
        <f t="shared" si="0"/>
        <v>0</v>
      </c>
      <c r="K48" s="146">
        <f t="shared" si="1"/>
        <v>0</v>
      </c>
    </row>
    <row r="49" spans="1:11" ht="45">
      <c r="A49" s="147" t="s">
        <v>158</v>
      </c>
      <c r="B49" s="141" t="s">
        <v>161</v>
      </c>
      <c r="C49" s="142">
        <f>2140.1+21.6</f>
        <v>2161.7</v>
      </c>
      <c r="D49" s="142">
        <v>1303.2</v>
      </c>
      <c r="E49" s="155">
        <v>0</v>
      </c>
      <c r="F49" s="143"/>
      <c r="G49" s="143"/>
      <c r="H49" s="143"/>
      <c r="I49" s="144">
        <f t="shared" si="0"/>
        <v>2161.7</v>
      </c>
      <c r="J49" s="145">
        <f t="shared" si="0"/>
        <v>1303.2</v>
      </c>
      <c r="K49" s="146">
        <f t="shared" si="1"/>
        <v>60.28588610815563</v>
      </c>
    </row>
    <row r="50" spans="1:11" ht="30">
      <c r="A50" s="147" t="s">
        <v>158</v>
      </c>
      <c r="B50" s="154" t="s">
        <v>162</v>
      </c>
      <c r="C50" s="142">
        <v>50</v>
      </c>
      <c r="D50" s="142"/>
      <c r="E50" s="155"/>
      <c r="F50" s="143">
        <v>50</v>
      </c>
      <c r="G50" s="143"/>
      <c r="H50" s="143"/>
      <c r="I50" s="144">
        <f>C50+F50-50</f>
        <v>50</v>
      </c>
      <c r="J50" s="145">
        <f t="shared" si="0"/>
        <v>0</v>
      </c>
      <c r="K50" s="146">
        <f t="shared" si="1"/>
        <v>0</v>
      </c>
    </row>
    <row r="51" spans="1:11" ht="45">
      <c r="A51" s="147" t="s">
        <v>158</v>
      </c>
      <c r="B51" s="141" t="s">
        <v>163</v>
      </c>
      <c r="C51" s="142"/>
      <c r="D51" s="142"/>
      <c r="E51" s="155"/>
      <c r="F51" s="143">
        <v>26482</v>
      </c>
      <c r="G51" s="143">
        <v>410.5</v>
      </c>
      <c r="H51" s="143">
        <f>G51/F51*100</f>
        <v>1.5501095083452912</v>
      </c>
      <c r="I51" s="144">
        <f t="shared" si="0"/>
        <v>26482</v>
      </c>
      <c r="J51" s="145">
        <f t="shared" si="0"/>
        <v>410.5</v>
      </c>
      <c r="K51" s="146">
        <f t="shared" si="1"/>
        <v>1.5501095083452912</v>
      </c>
    </row>
    <row r="52" spans="1:11" ht="30">
      <c r="A52" s="147" t="s">
        <v>158</v>
      </c>
      <c r="B52" s="141" t="s">
        <v>164</v>
      </c>
      <c r="C52" s="142"/>
      <c r="D52" s="142"/>
      <c r="E52" s="155"/>
      <c r="F52" s="143">
        <f>4000.8+9.2</f>
        <v>4010</v>
      </c>
      <c r="G52" s="143">
        <v>1515.6</v>
      </c>
      <c r="H52" s="143">
        <f>G52/F52*100</f>
        <v>37.795511221945134</v>
      </c>
      <c r="I52" s="144">
        <f t="shared" si="0"/>
        <v>4010</v>
      </c>
      <c r="J52" s="145">
        <f t="shared" si="0"/>
        <v>1515.6</v>
      </c>
      <c r="K52" s="146">
        <f t="shared" si="1"/>
        <v>37.795511221945134</v>
      </c>
    </row>
    <row r="53" spans="1:11" ht="60">
      <c r="A53" s="147" t="s">
        <v>158</v>
      </c>
      <c r="B53" s="141" t="s">
        <v>165</v>
      </c>
      <c r="C53" s="142"/>
      <c r="D53" s="142"/>
      <c r="E53" s="155"/>
      <c r="F53" s="143">
        <v>1377.8</v>
      </c>
      <c r="G53" s="143">
        <v>143.9</v>
      </c>
      <c r="H53" s="143">
        <f>G53/F53*100</f>
        <v>10.44418638409058</v>
      </c>
      <c r="I53" s="144">
        <f t="shared" si="0"/>
        <v>1377.8</v>
      </c>
      <c r="J53" s="145">
        <f t="shared" si="0"/>
        <v>143.9</v>
      </c>
      <c r="K53" s="146">
        <f t="shared" si="1"/>
        <v>10.44418638409058</v>
      </c>
    </row>
    <row r="54" spans="1:11" ht="105">
      <c r="A54" s="140" t="s">
        <v>166</v>
      </c>
      <c r="B54" s="141" t="s">
        <v>167</v>
      </c>
      <c r="C54" s="155">
        <v>4603.6</v>
      </c>
      <c r="D54" s="142">
        <v>1686.1</v>
      </c>
      <c r="E54" s="155">
        <f t="shared" si="5"/>
        <v>36.625684247110954</v>
      </c>
      <c r="F54" s="143"/>
      <c r="G54" s="158"/>
      <c r="H54" s="143"/>
      <c r="I54" s="144">
        <f t="shared" si="0"/>
        <v>4603.6</v>
      </c>
      <c r="J54" s="145">
        <f t="shared" si="0"/>
        <v>1686.1</v>
      </c>
      <c r="K54" s="146">
        <f t="shared" si="1"/>
        <v>36.625684247110954</v>
      </c>
    </row>
    <row r="55" spans="1:11" ht="105">
      <c r="A55" s="140" t="s">
        <v>166</v>
      </c>
      <c r="B55" s="141" t="s">
        <v>168</v>
      </c>
      <c r="C55" s="155">
        <v>8165.9</v>
      </c>
      <c r="D55" s="159">
        <v>3305.6</v>
      </c>
      <c r="E55" s="155">
        <f t="shared" si="5"/>
        <v>40.48053490735865</v>
      </c>
      <c r="F55" s="143"/>
      <c r="G55" s="143"/>
      <c r="H55" s="143"/>
      <c r="I55" s="144">
        <f t="shared" si="0"/>
        <v>8165.9</v>
      </c>
      <c r="J55" s="145">
        <f t="shared" si="0"/>
        <v>3305.6</v>
      </c>
      <c r="K55" s="146">
        <f t="shared" si="1"/>
        <v>40.48053490735865</v>
      </c>
    </row>
    <row r="56" spans="1:11" ht="105">
      <c r="A56" s="147" t="s">
        <v>166</v>
      </c>
      <c r="B56" s="141" t="s">
        <v>169</v>
      </c>
      <c r="C56" s="155">
        <v>3292.4</v>
      </c>
      <c r="D56" s="159">
        <v>1781.6</v>
      </c>
      <c r="E56" s="155">
        <f t="shared" si="5"/>
        <v>54.112501518649005</v>
      </c>
      <c r="F56" s="143"/>
      <c r="G56" s="143"/>
      <c r="H56" s="143"/>
      <c r="I56" s="144">
        <f t="shared" si="0"/>
        <v>3292.4</v>
      </c>
      <c r="J56" s="145">
        <f t="shared" si="0"/>
        <v>1781.6</v>
      </c>
      <c r="K56" s="146">
        <f t="shared" si="1"/>
        <v>54.112501518649005</v>
      </c>
    </row>
    <row r="57" spans="1:11" ht="105">
      <c r="A57" s="147" t="s">
        <v>166</v>
      </c>
      <c r="B57" s="141" t="s">
        <v>170</v>
      </c>
      <c r="C57" s="155">
        <v>4938.7</v>
      </c>
      <c r="D57" s="159">
        <v>1416</v>
      </c>
      <c r="E57" s="155">
        <f t="shared" si="5"/>
        <v>28.67151274626926</v>
      </c>
      <c r="F57" s="143"/>
      <c r="G57" s="143"/>
      <c r="H57" s="143"/>
      <c r="I57" s="144">
        <f t="shared" si="0"/>
        <v>4938.7</v>
      </c>
      <c r="J57" s="145">
        <f t="shared" si="0"/>
        <v>1416</v>
      </c>
      <c r="K57" s="146">
        <f t="shared" si="1"/>
        <v>28.67151274626926</v>
      </c>
    </row>
    <row r="58" spans="1:11" ht="140.25">
      <c r="A58" s="140" t="s">
        <v>166</v>
      </c>
      <c r="B58" s="160" t="s">
        <v>171</v>
      </c>
      <c r="C58" s="155">
        <v>43047.3</v>
      </c>
      <c r="D58" s="159">
        <v>12229.9</v>
      </c>
      <c r="E58" s="155">
        <f>D58/C58*100</f>
        <v>28.410376492834622</v>
      </c>
      <c r="F58" s="143"/>
      <c r="G58" s="143"/>
      <c r="H58" s="143"/>
      <c r="I58" s="144">
        <f>C58+F58</f>
        <v>43047.3</v>
      </c>
      <c r="J58" s="145">
        <f>D58+G58</f>
        <v>12229.9</v>
      </c>
      <c r="K58" s="146">
        <f>J58/I58*100</f>
        <v>28.410376492834622</v>
      </c>
    </row>
    <row r="59" spans="1:11" ht="135">
      <c r="A59" s="147" t="s">
        <v>166</v>
      </c>
      <c r="B59" s="154" t="s">
        <v>172</v>
      </c>
      <c r="C59" s="155">
        <v>48097.5</v>
      </c>
      <c r="D59" s="159">
        <v>0</v>
      </c>
      <c r="E59" s="155">
        <f t="shared" si="5"/>
        <v>0</v>
      </c>
      <c r="F59" s="143">
        <f>47831.6+6335.9</f>
        <v>54167.5</v>
      </c>
      <c r="G59" s="143">
        <v>3434.9</v>
      </c>
      <c r="H59" s="143">
        <f>G59/F59*100</f>
        <v>6.341256288364796</v>
      </c>
      <c r="I59" s="144">
        <f>C59+F59-47831.6</f>
        <v>54433.4</v>
      </c>
      <c r="J59" s="145">
        <f aca="true" t="shared" si="7" ref="J59:J64">D59+G59</f>
        <v>3434.9</v>
      </c>
      <c r="K59" s="146">
        <f t="shared" si="1"/>
        <v>6.31028008538875</v>
      </c>
    </row>
    <row r="60" spans="1:11" ht="30">
      <c r="A60" s="147" t="s">
        <v>166</v>
      </c>
      <c r="B60" s="154" t="s">
        <v>173</v>
      </c>
      <c r="C60" s="155">
        <v>2188.2</v>
      </c>
      <c r="D60" s="159">
        <v>1351.7</v>
      </c>
      <c r="E60" s="155">
        <f t="shared" si="5"/>
        <v>61.772232885476654</v>
      </c>
      <c r="F60" s="143"/>
      <c r="G60" s="143"/>
      <c r="H60" s="143"/>
      <c r="I60" s="144">
        <f>C60+F60</f>
        <v>2188.2</v>
      </c>
      <c r="J60" s="145">
        <f t="shared" si="7"/>
        <v>1351.7</v>
      </c>
      <c r="K60" s="146">
        <f t="shared" si="1"/>
        <v>61.772232885476654</v>
      </c>
    </row>
    <row r="61" spans="1:11" ht="45">
      <c r="A61" s="147" t="s">
        <v>166</v>
      </c>
      <c r="B61" s="154" t="s">
        <v>174</v>
      </c>
      <c r="C61" s="155"/>
      <c r="D61" s="159"/>
      <c r="E61" s="155"/>
      <c r="F61" s="143">
        <v>2564</v>
      </c>
      <c r="G61" s="143">
        <v>2564</v>
      </c>
      <c r="H61" s="143">
        <f aca="true" t="shared" si="8" ref="H61:H68">G61/F61*100</f>
        <v>100</v>
      </c>
      <c r="I61" s="144">
        <f t="shared" si="0"/>
        <v>2564</v>
      </c>
      <c r="J61" s="145">
        <f t="shared" si="7"/>
        <v>2564</v>
      </c>
      <c r="K61" s="146">
        <f t="shared" si="1"/>
        <v>100</v>
      </c>
    </row>
    <row r="62" spans="1:11" ht="15">
      <c r="A62" s="147" t="s">
        <v>166</v>
      </c>
      <c r="B62" s="154" t="s">
        <v>175</v>
      </c>
      <c r="C62" s="155"/>
      <c r="D62" s="159"/>
      <c r="E62" s="155"/>
      <c r="F62" s="143">
        <v>9207.9</v>
      </c>
      <c r="G62" s="143">
        <v>517.7</v>
      </c>
      <c r="H62" s="143">
        <v>0</v>
      </c>
      <c r="I62" s="144">
        <f t="shared" si="0"/>
        <v>9207.9</v>
      </c>
      <c r="J62" s="145">
        <f t="shared" si="7"/>
        <v>517.7</v>
      </c>
      <c r="K62" s="146">
        <v>0</v>
      </c>
    </row>
    <row r="63" spans="1:11" ht="45">
      <c r="A63" s="147" t="s">
        <v>166</v>
      </c>
      <c r="B63" s="154" t="s">
        <v>176</v>
      </c>
      <c r="C63" s="155">
        <v>363.2</v>
      </c>
      <c r="D63" s="159">
        <v>363.2</v>
      </c>
      <c r="E63" s="155">
        <f>D63/C63*100</f>
        <v>100</v>
      </c>
      <c r="F63" s="143"/>
      <c r="G63" s="143"/>
      <c r="H63" s="143"/>
      <c r="I63" s="144">
        <f>C63+F63</f>
        <v>363.2</v>
      </c>
      <c r="J63" s="145">
        <f t="shared" si="7"/>
        <v>363.2</v>
      </c>
      <c r="K63" s="146">
        <f t="shared" si="1"/>
        <v>100</v>
      </c>
    </row>
    <row r="64" spans="1:11" ht="45">
      <c r="A64" s="147" t="s">
        <v>177</v>
      </c>
      <c r="B64" s="154" t="s">
        <v>178</v>
      </c>
      <c r="C64" s="155">
        <v>4000</v>
      </c>
      <c r="D64" s="159">
        <v>1982.9</v>
      </c>
      <c r="E64" s="155">
        <f>D64/C64*100</f>
        <v>49.572500000000005</v>
      </c>
      <c r="F64" s="143">
        <v>0</v>
      </c>
      <c r="G64" s="143">
        <v>0</v>
      </c>
      <c r="H64" s="143">
        <v>0</v>
      </c>
      <c r="I64" s="144">
        <f>C64+F64</f>
        <v>4000</v>
      </c>
      <c r="J64" s="145">
        <f t="shared" si="7"/>
        <v>1982.9</v>
      </c>
      <c r="K64" s="146">
        <f t="shared" si="1"/>
        <v>49.572500000000005</v>
      </c>
    </row>
    <row r="65" spans="1:11" ht="30">
      <c r="A65" s="147" t="s">
        <v>177</v>
      </c>
      <c r="B65" s="154" t="s">
        <v>162</v>
      </c>
      <c r="C65" s="155">
        <v>1500</v>
      </c>
      <c r="D65" s="159">
        <v>1300</v>
      </c>
      <c r="E65" s="155">
        <f>D65/C65*100</f>
        <v>86.66666666666667</v>
      </c>
      <c r="F65" s="143">
        <v>1300</v>
      </c>
      <c r="G65" s="143">
        <v>1000</v>
      </c>
      <c r="H65" s="143">
        <f t="shared" si="8"/>
        <v>76.92307692307693</v>
      </c>
      <c r="I65" s="144">
        <f>C65+F65-1500</f>
        <v>1300</v>
      </c>
      <c r="J65" s="145">
        <f>D65+G65-1300</f>
        <v>1000</v>
      </c>
      <c r="K65" s="146">
        <f t="shared" si="1"/>
        <v>76.92307692307693</v>
      </c>
    </row>
    <row r="66" spans="1:11" ht="60">
      <c r="A66" s="147" t="s">
        <v>177</v>
      </c>
      <c r="B66" s="141" t="s">
        <v>179</v>
      </c>
      <c r="C66" s="155">
        <v>1500</v>
      </c>
      <c r="D66" s="142">
        <v>500</v>
      </c>
      <c r="E66" s="142">
        <f t="shared" si="5"/>
        <v>33.33333333333333</v>
      </c>
      <c r="F66" s="142">
        <v>1500</v>
      </c>
      <c r="G66" s="143">
        <v>500</v>
      </c>
      <c r="H66" s="143">
        <f t="shared" si="8"/>
        <v>33.33333333333333</v>
      </c>
      <c r="I66" s="144">
        <f>C66+F66-1500</f>
        <v>1500</v>
      </c>
      <c r="J66" s="145">
        <f>D66+G66-500</f>
        <v>500</v>
      </c>
      <c r="K66" s="146">
        <f t="shared" si="1"/>
        <v>33.33333333333333</v>
      </c>
    </row>
    <row r="67" spans="1:11" ht="60">
      <c r="A67" s="147" t="s">
        <v>177</v>
      </c>
      <c r="B67" s="141" t="s">
        <v>180</v>
      </c>
      <c r="C67" s="155"/>
      <c r="D67" s="142"/>
      <c r="E67" s="142"/>
      <c r="F67" s="142">
        <f>600+6.1+8.1+800+300-0.1</f>
        <v>1714.1000000000001</v>
      </c>
      <c r="G67" s="143">
        <v>349.1</v>
      </c>
      <c r="H67" s="143">
        <f t="shared" si="8"/>
        <v>20.366373023744238</v>
      </c>
      <c r="I67" s="144">
        <f aca="true" t="shared" si="9" ref="I67:J69">C67+F67</f>
        <v>1714.1000000000001</v>
      </c>
      <c r="J67" s="145">
        <f t="shared" si="9"/>
        <v>349.1</v>
      </c>
      <c r="K67" s="146">
        <f t="shared" si="1"/>
        <v>20.366373023744238</v>
      </c>
    </row>
    <row r="68" spans="1:11" ht="15">
      <c r="A68" s="140" t="s">
        <v>177</v>
      </c>
      <c r="B68" s="141" t="s">
        <v>181</v>
      </c>
      <c r="C68" s="155">
        <v>0</v>
      </c>
      <c r="D68" s="142">
        <v>0</v>
      </c>
      <c r="E68" s="155">
        <v>0</v>
      </c>
      <c r="F68" s="142">
        <f>42546.3+350</f>
        <v>42896.3</v>
      </c>
      <c r="G68" s="143">
        <v>9981.4</v>
      </c>
      <c r="H68" s="143">
        <f t="shared" si="8"/>
        <v>23.268673521958767</v>
      </c>
      <c r="I68" s="144">
        <f t="shared" si="9"/>
        <v>42896.3</v>
      </c>
      <c r="J68" s="145">
        <f t="shared" si="9"/>
        <v>9981.4</v>
      </c>
      <c r="K68" s="146">
        <f t="shared" si="1"/>
        <v>23.268673521958767</v>
      </c>
    </row>
    <row r="69" spans="1:11" ht="15">
      <c r="A69" s="147" t="s">
        <v>182</v>
      </c>
      <c r="B69" s="141" t="s">
        <v>183</v>
      </c>
      <c r="C69" s="155">
        <v>27.1</v>
      </c>
      <c r="D69" s="142">
        <v>0</v>
      </c>
      <c r="E69" s="155">
        <f>D69/C69*100</f>
        <v>0</v>
      </c>
      <c r="F69" s="142">
        <v>0</v>
      </c>
      <c r="G69" s="143">
        <v>0</v>
      </c>
      <c r="H69" s="143">
        <v>0</v>
      </c>
      <c r="I69" s="144">
        <f t="shared" si="9"/>
        <v>27.1</v>
      </c>
      <c r="J69" s="145">
        <f t="shared" si="9"/>
        <v>0</v>
      </c>
      <c r="K69" s="146">
        <f t="shared" si="1"/>
        <v>0</v>
      </c>
    </row>
    <row r="70" spans="1:11" ht="15">
      <c r="A70" s="161" t="s">
        <v>184</v>
      </c>
      <c r="B70" s="162" t="s">
        <v>185</v>
      </c>
      <c r="C70" s="157">
        <f aca="true" t="shared" si="10" ref="C70:H70">C71</f>
        <v>0</v>
      </c>
      <c r="D70" s="157">
        <f t="shared" si="10"/>
        <v>0</v>
      </c>
      <c r="E70" s="137">
        <v>0</v>
      </c>
      <c r="F70" s="157">
        <f t="shared" si="10"/>
        <v>0</v>
      </c>
      <c r="G70" s="157">
        <f t="shared" si="10"/>
        <v>0</v>
      </c>
      <c r="H70" s="138">
        <f t="shared" si="10"/>
        <v>0</v>
      </c>
      <c r="I70" s="157">
        <f t="shared" si="0"/>
        <v>0</v>
      </c>
      <c r="J70" s="157">
        <f t="shared" si="0"/>
        <v>0</v>
      </c>
      <c r="K70" s="139">
        <v>0</v>
      </c>
    </row>
    <row r="71" spans="1:11" ht="15">
      <c r="A71" s="147" t="s">
        <v>186</v>
      </c>
      <c r="B71" s="163" t="s">
        <v>187</v>
      </c>
      <c r="C71" s="158">
        <v>0</v>
      </c>
      <c r="D71" s="143">
        <v>0</v>
      </c>
      <c r="E71" s="142">
        <v>0</v>
      </c>
      <c r="F71" s="143">
        <v>0</v>
      </c>
      <c r="G71" s="143">
        <v>0</v>
      </c>
      <c r="H71" s="143">
        <v>0</v>
      </c>
      <c r="I71" s="144">
        <f t="shared" si="0"/>
        <v>0</v>
      </c>
      <c r="J71" s="145">
        <f t="shared" si="0"/>
        <v>0</v>
      </c>
      <c r="K71" s="146">
        <v>0</v>
      </c>
    </row>
    <row r="72" spans="1:11" ht="15">
      <c r="A72" s="135" t="s">
        <v>188</v>
      </c>
      <c r="B72" s="136" t="s">
        <v>189</v>
      </c>
      <c r="C72" s="137">
        <f>SUM(C73:C79)</f>
        <v>2134368.2</v>
      </c>
      <c r="D72" s="137">
        <f>SUM(D73:D79)</f>
        <v>589386.2999999999</v>
      </c>
      <c r="E72" s="137">
        <f>D72/C72*100</f>
        <v>27.61408739129452</v>
      </c>
      <c r="F72" s="157">
        <f>F73+F75+F76+F78+F79</f>
        <v>0</v>
      </c>
      <c r="G72" s="157">
        <f>SUM(G73:G79)</f>
        <v>0</v>
      </c>
      <c r="H72" s="138">
        <v>0</v>
      </c>
      <c r="I72" s="137">
        <f>SUM(I73:I79)</f>
        <v>2134368.2</v>
      </c>
      <c r="J72" s="137">
        <f>SUM(J73:J79)</f>
        <v>589386.2999999999</v>
      </c>
      <c r="K72" s="139">
        <f t="shared" si="1"/>
        <v>27.61408739129452</v>
      </c>
    </row>
    <row r="73" spans="1:11" ht="15">
      <c r="A73" s="140" t="s">
        <v>190</v>
      </c>
      <c r="B73" s="141" t="s">
        <v>191</v>
      </c>
      <c r="C73" s="142">
        <f>585460.7-C74</f>
        <v>346351.49999999994</v>
      </c>
      <c r="D73" s="142">
        <f>151880.5-D74</f>
        <v>151516.2</v>
      </c>
      <c r="E73" s="142">
        <f t="shared" si="5"/>
        <v>43.746367490829414</v>
      </c>
      <c r="F73" s="143">
        <v>0</v>
      </c>
      <c r="G73" s="143">
        <v>0</v>
      </c>
      <c r="H73" s="143">
        <v>0</v>
      </c>
      <c r="I73" s="144">
        <f t="shared" si="0"/>
        <v>346351.49999999994</v>
      </c>
      <c r="J73" s="145">
        <f t="shared" si="0"/>
        <v>151516.2</v>
      </c>
      <c r="K73" s="146">
        <f t="shared" si="1"/>
        <v>43.746367490829414</v>
      </c>
    </row>
    <row r="74" spans="1:11" ht="90">
      <c r="A74" s="140" t="s">
        <v>190</v>
      </c>
      <c r="B74" s="141" t="s">
        <v>192</v>
      </c>
      <c r="C74" s="142">
        <v>239109.2</v>
      </c>
      <c r="D74" s="142">
        <v>364.3</v>
      </c>
      <c r="E74" s="142">
        <f t="shared" si="5"/>
        <v>0.15235716567994875</v>
      </c>
      <c r="F74" s="143"/>
      <c r="G74" s="143"/>
      <c r="H74" s="143"/>
      <c r="I74" s="144">
        <f t="shared" si="0"/>
        <v>239109.2</v>
      </c>
      <c r="J74" s="145">
        <f t="shared" si="0"/>
        <v>364.3</v>
      </c>
      <c r="K74" s="146">
        <f t="shared" si="1"/>
        <v>0.15235716567994875</v>
      </c>
    </row>
    <row r="75" spans="1:11" ht="15">
      <c r="A75" s="140" t="s">
        <v>193</v>
      </c>
      <c r="B75" s="141" t="s">
        <v>194</v>
      </c>
      <c r="C75" s="142">
        <f>1480833-C76-C77</f>
        <v>1150357.7</v>
      </c>
      <c r="D75" s="142">
        <f>415742.7-D76-D77</f>
        <v>335477.2</v>
      </c>
      <c r="E75" s="142">
        <f t="shared" si="5"/>
        <v>29.16285951752225</v>
      </c>
      <c r="F75" s="143">
        <v>0</v>
      </c>
      <c r="G75" s="143">
        <v>0</v>
      </c>
      <c r="H75" s="143">
        <v>0</v>
      </c>
      <c r="I75" s="144">
        <f t="shared" si="0"/>
        <v>1150357.7</v>
      </c>
      <c r="J75" s="145">
        <f t="shared" si="0"/>
        <v>335477.2</v>
      </c>
      <c r="K75" s="146">
        <f t="shared" si="1"/>
        <v>29.16285951752225</v>
      </c>
    </row>
    <row r="76" spans="1:11" ht="15">
      <c r="A76" s="140" t="s">
        <v>193</v>
      </c>
      <c r="B76" s="141" t="s">
        <v>195</v>
      </c>
      <c r="C76" s="142">
        <f>19373.8+23724.8</f>
        <v>43098.6</v>
      </c>
      <c r="D76" s="142">
        <v>12655.5</v>
      </c>
      <c r="E76" s="142">
        <f t="shared" si="5"/>
        <v>29.364062869791596</v>
      </c>
      <c r="F76" s="143">
        <v>0</v>
      </c>
      <c r="G76" s="143">
        <v>0</v>
      </c>
      <c r="H76" s="143">
        <v>0</v>
      </c>
      <c r="I76" s="144">
        <f t="shared" si="0"/>
        <v>43098.6</v>
      </c>
      <c r="J76" s="145">
        <f t="shared" si="0"/>
        <v>12655.5</v>
      </c>
      <c r="K76" s="146">
        <f t="shared" si="1"/>
        <v>29.364062869791596</v>
      </c>
    </row>
    <row r="77" spans="1:11" ht="90">
      <c r="A77" s="140" t="s">
        <v>193</v>
      </c>
      <c r="B77" s="141" t="s">
        <v>196</v>
      </c>
      <c r="C77" s="142">
        <v>287376.7</v>
      </c>
      <c r="D77" s="142">
        <v>67610</v>
      </c>
      <c r="E77" s="142">
        <v>0</v>
      </c>
      <c r="F77" s="143">
        <v>0</v>
      </c>
      <c r="G77" s="143">
        <v>0</v>
      </c>
      <c r="H77" s="143">
        <v>0</v>
      </c>
      <c r="I77" s="144">
        <f t="shared" si="0"/>
        <v>287376.7</v>
      </c>
      <c r="J77" s="145">
        <f t="shared" si="0"/>
        <v>67610</v>
      </c>
      <c r="K77" s="146">
        <f t="shared" si="1"/>
        <v>23.52661158681271</v>
      </c>
    </row>
    <row r="78" spans="1:11" ht="15">
      <c r="A78" s="140" t="s">
        <v>197</v>
      </c>
      <c r="B78" s="141" t="s">
        <v>198</v>
      </c>
      <c r="C78" s="142">
        <v>21517.6</v>
      </c>
      <c r="D78" s="142">
        <v>3599.2</v>
      </c>
      <c r="E78" s="142">
        <f t="shared" si="5"/>
        <v>16.726772502509572</v>
      </c>
      <c r="F78" s="143">
        <v>0</v>
      </c>
      <c r="G78" s="143">
        <v>0</v>
      </c>
      <c r="H78" s="143">
        <v>0</v>
      </c>
      <c r="I78" s="144">
        <f t="shared" si="0"/>
        <v>21517.6</v>
      </c>
      <c r="J78" s="145">
        <f t="shared" si="0"/>
        <v>3599.2</v>
      </c>
      <c r="K78" s="146">
        <f t="shared" si="1"/>
        <v>16.726772502509572</v>
      </c>
    </row>
    <row r="79" spans="1:11" ht="15">
      <c r="A79" s="140" t="s">
        <v>199</v>
      </c>
      <c r="B79" s="141" t="s">
        <v>200</v>
      </c>
      <c r="C79" s="142">
        <v>46556.9</v>
      </c>
      <c r="D79" s="142">
        <v>18163.9</v>
      </c>
      <c r="E79" s="142">
        <f t="shared" si="5"/>
        <v>39.01441032371142</v>
      </c>
      <c r="F79" s="143">
        <v>0</v>
      </c>
      <c r="G79" s="143">
        <v>0</v>
      </c>
      <c r="H79" s="143">
        <v>0</v>
      </c>
      <c r="I79" s="144">
        <f t="shared" si="0"/>
        <v>46556.9</v>
      </c>
      <c r="J79" s="145">
        <f t="shared" si="0"/>
        <v>18163.9</v>
      </c>
      <c r="K79" s="146">
        <f t="shared" si="1"/>
        <v>39.01441032371142</v>
      </c>
    </row>
    <row r="80" spans="1:11" ht="15">
      <c r="A80" s="135" t="s">
        <v>201</v>
      </c>
      <c r="B80" s="136" t="s">
        <v>202</v>
      </c>
      <c r="C80" s="137">
        <f>SUM(C81:C85)</f>
        <v>236287.09999999998</v>
      </c>
      <c r="D80" s="137">
        <f>SUM(D81:D85)</f>
        <v>64239.1</v>
      </c>
      <c r="E80" s="137">
        <f>D80/C80*100</f>
        <v>27.18688409142945</v>
      </c>
      <c r="F80" s="157">
        <f>SUM(F81:F85)</f>
        <v>93682.4</v>
      </c>
      <c r="G80" s="157">
        <f>SUM(G81:G85)</f>
        <v>29094.8</v>
      </c>
      <c r="H80" s="138">
        <f>G80/F80*100</f>
        <v>31.056847390758563</v>
      </c>
      <c r="I80" s="157">
        <f>SUM(I81:I85)</f>
        <v>329073.8</v>
      </c>
      <c r="J80" s="157">
        <f>SUM(J81:J85)</f>
        <v>92896.2</v>
      </c>
      <c r="K80" s="139">
        <f t="shared" si="1"/>
        <v>28.22959469881832</v>
      </c>
    </row>
    <row r="81" spans="1:11" ht="15">
      <c r="A81" s="140" t="s">
        <v>203</v>
      </c>
      <c r="B81" s="141" t="s">
        <v>204</v>
      </c>
      <c r="C81" s="142">
        <f>228491.8-C82-C83</f>
        <v>90211.6</v>
      </c>
      <c r="D81" s="142">
        <f>61661.5-D82-D83</f>
        <v>11230</v>
      </c>
      <c r="E81" s="142">
        <f t="shared" si="5"/>
        <v>12.448509947722908</v>
      </c>
      <c r="F81" s="143">
        <f>93174.4-F83</f>
        <v>92732</v>
      </c>
      <c r="G81" s="143">
        <f>29039.1-G82-G83</f>
        <v>29019.5</v>
      </c>
      <c r="H81" s="143">
        <f>G81/F81*100</f>
        <v>31.29394383815727</v>
      </c>
      <c r="I81" s="144">
        <f>C81+F81-498</f>
        <v>182445.6</v>
      </c>
      <c r="J81" s="145">
        <f>D81+G81-40</f>
        <v>40209.5</v>
      </c>
      <c r="K81" s="146">
        <f t="shared" si="1"/>
        <v>22.03917222448774</v>
      </c>
    </row>
    <row r="82" spans="1:11" ht="60">
      <c r="A82" s="164" t="s">
        <v>203</v>
      </c>
      <c r="B82" s="165" t="s">
        <v>205</v>
      </c>
      <c r="C82" s="142">
        <v>136892.3</v>
      </c>
      <c r="D82" s="142">
        <v>49628</v>
      </c>
      <c r="E82" s="142">
        <f t="shared" si="5"/>
        <v>36.25331738892546</v>
      </c>
      <c r="F82" s="143">
        <v>0</v>
      </c>
      <c r="G82" s="143">
        <v>0</v>
      </c>
      <c r="H82" s="143">
        <v>0</v>
      </c>
      <c r="I82" s="144">
        <f aca="true" t="shared" si="11" ref="I82:J94">C82+F82</f>
        <v>136892.3</v>
      </c>
      <c r="J82" s="145">
        <f t="shared" si="11"/>
        <v>49628</v>
      </c>
      <c r="K82" s="146">
        <f>J82/I82*100</f>
        <v>36.25331738892546</v>
      </c>
    </row>
    <row r="83" spans="1:11" ht="15">
      <c r="A83" s="164" t="s">
        <v>203</v>
      </c>
      <c r="B83" s="165" t="s">
        <v>206</v>
      </c>
      <c r="C83" s="142">
        <v>1387.9</v>
      </c>
      <c r="D83" s="142">
        <v>803.5</v>
      </c>
      <c r="E83" s="142">
        <f t="shared" si="5"/>
        <v>57.8932199726205</v>
      </c>
      <c r="F83" s="143">
        <f>397.7+44.7</f>
        <v>442.4</v>
      </c>
      <c r="G83" s="143">
        <v>19.6</v>
      </c>
      <c r="H83" s="143">
        <f>G83/F83*100</f>
        <v>4.4303797468354436</v>
      </c>
      <c r="I83" s="144">
        <f>C83+F83-397.7</f>
        <v>1432.6000000000001</v>
      </c>
      <c r="J83" s="145">
        <f>D83+G83-397.7</f>
        <v>425.40000000000003</v>
      </c>
      <c r="K83" s="146">
        <f>J83/I83*100</f>
        <v>29.694262180650565</v>
      </c>
    </row>
    <row r="84" spans="1:11" ht="15">
      <c r="A84" s="140" t="s">
        <v>207</v>
      </c>
      <c r="B84" s="141" t="s">
        <v>208</v>
      </c>
      <c r="C84" s="142">
        <v>267</v>
      </c>
      <c r="D84" s="142">
        <v>0</v>
      </c>
      <c r="E84" s="142">
        <f t="shared" si="5"/>
        <v>0</v>
      </c>
      <c r="F84" s="143">
        <v>508</v>
      </c>
      <c r="G84" s="143">
        <v>55.7</v>
      </c>
      <c r="H84" s="143">
        <f>G84/F84*100</f>
        <v>10.96456692913386</v>
      </c>
      <c r="I84" s="144">
        <f t="shared" si="11"/>
        <v>775</v>
      </c>
      <c r="J84" s="145">
        <f t="shared" si="11"/>
        <v>55.7</v>
      </c>
      <c r="K84" s="146">
        <f aca="true" t="shared" si="12" ref="K84:K108">J84/I84*100</f>
        <v>7.18709677419355</v>
      </c>
    </row>
    <row r="85" spans="1:11" ht="15">
      <c r="A85" s="140" t="s">
        <v>209</v>
      </c>
      <c r="B85" s="141" t="s">
        <v>210</v>
      </c>
      <c r="C85" s="142">
        <v>7528.3</v>
      </c>
      <c r="D85" s="142">
        <v>2577.6</v>
      </c>
      <c r="E85" s="142">
        <f t="shared" si="5"/>
        <v>34.238805573635474</v>
      </c>
      <c r="F85" s="143"/>
      <c r="G85" s="143">
        <v>0</v>
      </c>
      <c r="H85" s="143"/>
      <c r="I85" s="144">
        <f>C85+F85</f>
        <v>7528.3</v>
      </c>
      <c r="J85" s="145">
        <f>D85+G85</f>
        <v>2577.6</v>
      </c>
      <c r="K85" s="146">
        <f t="shared" si="12"/>
        <v>34.238805573635474</v>
      </c>
    </row>
    <row r="86" spans="1:11" ht="15">
      <c r="A86" s="135" t="s">
        <v>211</v>
      </c>
      <c r="B86" s="136" t="s">
        <v>212</v>
      </c>
      <c r="C86" s="137">
        <f>C87</f>
        <v>139148.8</v>
      </c>
      <c r="D86" s="137">
        <f>D87</f>
        <v>21792.3</v>
      </c>
      <c r="E86" s="137">
        <f>D86/C86*100</f>
        <v>15.661148353417351</v>
      </c>
      <c r="F86" s="157">
        <v>0</v>
      </c>
      <c r="G86" s="157">
        <v>0</v>
      </c>
      <c r="H86" s="138"/>
      <c r="I86" s="157">
        <f>C86+F86</f>
        <v>139148.8</v>
      </c>
      <c r="J86" s="157">
        <f t="shared" si="11"/>
        <v>21792.3</v>
      </c>
      <c r="K86" s="139">
        <f t="shared" si="12"/>
        <v>15.661148353417351</v>
      </c>
    </row>
    <row r="87" spans="1:11" ht="30">
      <c r="A87" s="147" t="s">
        <v>213</v>
      </c>
      <c r="B87" s="165" t="s">
        <v>214</v>
      </c>
      <c r="C87" s="142">
        <v>139148.8</v>
      </c>
      <c r="D87" s="143">
        <v>21792.3</v>
      </c>
      <c r="E87" s="142">
        <f t="shared" si="5"/>
        <v>15.661148353417351</v>
      </c>
      <c r="F87" s="143">
        <v>0</v>
      </c>
      <c r="G87" s="143">
        <v>0</v>
      </c>
      <c r="H87" s="143">
        <v>0</v>
      </c>
      <c r="I87" s="144">
        <f t="shared" si="11"/>
        <v>139148.8</v>
      </c>
      <c r="J87" s="145">
        <f t="shared" si="11"/>
        <v>21792.3</v>
      </c>
      <c r="K87" s="146">
        <f t="shared" si="12"/>
        <v>15.661148353417351</v>
      </c>
    </row>
    <row r="88" spans="1:11" ht="15">
      <c r="A88" s="135">
        <v>10</v>
      </c>
      <c r="B88" s="136" t="s">
        <v>215</v>
      </c>
      <c r="C88" s="137">
        <f>SUM(C89:C96)</f>
        <v>104743.50000000001</v>
      </c>
      <c r="D88" s="137">
        <f>SUM(D89:D96)</f>
        <v>23748.5</v>
      </c>
      <c r="E88" s="137">
        <f>D88/C88*100</f>
        <v>22.673005962183808</v>
      </c>
      <c r="F88" s="137">
        <f>SUM(F89:F93)</f>
        <v>432.9</v>
      </c>
      <c r="G88" s="137">
        <f>SUM(G89:G93)</f>
        <v>123.2</v>
      </c>
      <c r="H88" s="138">
        <f>G88/F88*100</f>
        <v>28.459228459228463</v>
      </c>
      <c r="I88" s="137">
        <f>SUM(I89:I96)</f>
        <v>105176.40000000001</v>
      </c>
      <c r="J88" s="137">
        <f>SUM(J89:J96)</f>
        <v>23871.7</v>
      </c>
      <c r="K88" s="139">
        <f t="shared" si="12"/>
        <v>22.696821720462005</v>
      </c>
    </row>
    <row r="89" spans="1:11" ht="15">
      <c r="A89" s="147">
        <v>1001</v>
      </c>
      <c r="B89" s="141" t="s">
        <v>216</v>
      </c>
      <c r="C89" s="142">
        <v>3180</v>
      </c>
      <c r="D89" s="155">
        <v>1166</v>
      </c>
      <c r="E89" s="142">
        <f t="shared" si="5"/>
        <v>36.666666666666664</v>
      </c>
      <c r="F89" s="143">
        <v>432.9</v>
      </c>
      <c r="G89" s="143">
        <v>123.2</v>
      </c>
      <c r="H89" s="143">
        <f>G89/F89*100</f>
        <v>28.459228459228463</v>
      </c>
      <c r="I89" s="144">
        <f t="shared" si="11"/>
        <v>3612.9</v>
      </c>
      <c r="J89" s="145">
        <f t="shared" si="11"/>
        <v>1289.2</v>
      </c>
      <c r="K89" s="146">
        <f t="shared" si="12"/>
        <v>35.68324614575549</v>
      </c>
    </row>
    <row r="90" spans="1:11" ht="60">
      <c r="A90" s="147">
        <v>1003</v>
      </c>
      <c r="B90" s="141" t="s">
        <v>217</v>
      </c>
      <c r="C90" s="155">
        <v>3038.7</v>
      </c>
      <c r="D90" s="142">
        <v>0</v>
      </c>
      <c r="E90" s="142">
        <f t="shared" si="5"/>
        <v>0</v>
      </c>
      <c r="F90" s="143">
        <v>0</v>
      </c>
      <c r="G90" s="143">
        <v>0</v>
      </c>
      <c r="H90" s="143">
        <v>0</v>
      </c>
      <c r="I90" s="144">
        <f t="shared" si="11"/>
        <v>3038.7</v>
      </c>
      <c r="J90" s="145">
        <f t="shared" si="11"/>
        <v>0</v>
      </c>
      <c r="K90" s="146">
        <f t="shared" si="12"/>
        <v>0</v>
      </c>
    </row>
    <row r="91" spans="1:11" ht="120">
      <c r="A91" s="147" t="s">
        <v>218</v>
      </c>
      <c r="B91" s="141" t="s">
        <v>219</v>
      </c>
      <c r="C91" s="155">
        <v>1894.7</v>
      </c>
      <c r="D91" s="142">
        <v>0</v>
      </c>
      <c r="E91" s="142">
        <f t="shared" si="5"/>
        <v>0</v>
      </c>
      <c r="F91" s="143"/>
      <c r="G91" s="143"/>
      <c r="H91" s="143"/>
      <c r="I91" s="144">
        <f t="shared" si="11"/>
        <v>1894.7</v>
      </c>
      <c r="J91" s="145">
        <f t="shared" si="11"/>
        <v>0</v>
      </c>
      <c r="K91" s="146">
        <f t="shared" si="12"/>
        <v>0</v>
      </c>
    </row>
    <row r="92" spans="1:11" ht="60">
      <c r="A92" s="147">
        <v>1004</v>
      </c>
      <c r="B92" s="141" t="s">
        <v>220</v>
      </c>
      <c r="C92" s="142">
        <v>18704</v>
      </c>
      <c r="D92" s="142">
        <v>5225</v>
      </c>
      <c r="E92" s="142">
        <f t="shared" si="5"/>
        <v>27.935201026518392</v>
      </c>
      <c r="F92" s="143">
        <v>0</v>
      </c>
      <c r="G92" s="143">
        <v>0</v>
      </c>
      <c r="H92" s="143">
        <v>0</v>
      </c>
      <c r="I92" s="144">
        <f t="shared" si="11"/>
        <v>18704</v>
      </c>
      <c r="J92" s="145">
        <f t="shared" si="11"/>
        <v>5225</v>
      </c>
      <c r="K92" s="146">
        <f t="shared" si="12"/>
        <v>27.935201026518392</v>
      </c>
    </row>
    <row r="93" spans="1:11" ht="120">
      <c r="A93" s="147">
        <v>1004</v>
      </c>
      <c r="B93" s="141" t="s">
        <v>221</v>
      </c>
      <c r="C93" s="142">
        <v>44526.2</v>
      </c>
      <c r="D93" s="142">
        <v>13801.2</v>
      </c>
      <c r="E93" s="142">
        <f aca="true" t="shared" si="13" ref="E93:E107">D93/C93*100</f>
        <v>30.99568344031155</v>
      </c>
      <c r="F93" s="143">
        <v>0</v>
      </c>
      <c r="G93" s="143">
        <v>0</v>
      </c>
      <c r="H93" s="143">
        <v>0</v>
      </c>
      <c r="I93" s="144">
        <f t="shared" si="11"/>
        <v>44526.2</v>
      </c>
      <c r="J93" s="145">
        <f t="shared" si="11"/>
        <v>13801.2</v>
      </c>
      <c r="K93" s="146">
        <f t="shared" si="12"/>
        <v>30.99568344031155</v>
      </c>
    </row>
    <row r="94" spans="1:11" ht="60">
      <c r="A94" s="147">
        <v>1004</v>
      </c>
      <c r="B94" s="141" t="s">
        <v>222</v>
      </c>
      <c r="C94" s="142">
        <v>233.3</v>
      </c>
      <c r="D94" s="142"/>
      <c r="E94" s="142"/>
      <c r="F94" s="143"/>
      <c r="G94" s="143"/>
      <c r="H94" s="143"/>
      <c r="I94" s="144">
        <f t="shared" si="11"/>
        <v>233.3</v>
      </c>
      <c r="J94" s="145">
        <f t="shared" si="11"/>
        <v>0</v>
      </c>
      <c r="K94" s="146">
        <f t="shared" si="12"/>
        <v>0</v>
      </c>
    </row>
    <row r="95" spans="1:11" ht="120">
      <c r="A95" s="147" t="s">
        <v>223</v>
      </c>
      <c r="B95" s="141" t="s">
        <v>224</v>
      </c>
      <c r="C95" s="142">
        <v>16400.8</v>
      </c>
      <c r="D95" s="142">
        <v>0</v>
      </c>
      <c r="E95" s="142">
        <f>D95/C95*100</f>
        <v>0</v>
      </c>
      <c r="F95" s="143">
        <v>0</v>
      </c>
      <c r="G95" s="143">
        <v>0</v>
      </c>
      <c r="H95" s="143">
        <v>0</v>
      </c>
      <c r="I95" s="144">
        <f>C95+F95</f>
        <v>16400.8</v>
      </c>
      <c r="J95" s="145">
        <f>D95+G95</f>
        <v>0</v>
      </c>
      <c r="K95" s="146">
        <f>J95/I95*100</f>
        <v>0</v>
      </c>
    </row>
    <row r="96" spans="1:11" ht="15">
      <c r="A96" s="147">
        <v>1006</v>
      </c>
      <c r="B96" s="141" t="s">
        <v>225</v>
      </c>
      <c r="C96" s="142">
        <v>16765.8</v>
      </c>
      <c r="D96" s="142">
        <v>3556.3</v>
      </c>
      <c r="E96" s="142">
        <f t="shared" si="13"/>
        <v>21.211633205692543</v>
      </c>
      <c r="F96" s="143">
        <v>0</v>
      </c>
      <c r="G96" s="143">
        <v>0</v>
      </c>
      <c r="H96" s="143">
        <v>0</v>
      </c>
      <c r="I96" s="144">
        <f>C96+F96</f>
        <v>16765.8</v>
      </c>
      <c r="J96" s="145">
        <f>D96+G96</f>
        <v>3556.3</v>
      </c>
      <c r="K96" s="146">
        <f t="shared" si="12"/>
        <v>21.211633205692543</v>
      </c>
    </row>
    <row r="97" spans="1:11" ht="15">
      <c r="A97" s="161">
        <v>1100</v>
      </c>
      <c r="B97" s="136" t="s">
        <v>226</v>
      </c>
      <c r="C97" s="137">
        <f>SUM(C98:C99)</f>
        <v>250250.4</v>
      </c>
      <c r="D97" s="137">
        <f>SUM(D98:D99)</f>
        <v>34867.1</v>
      </c>
      <c r="E97" s="137">
        <f>D97/C97*100</f>
        <v>13.932884822561723</v>
      </c>
      <c r="F97" s="157">
        <f>F98+F99</f>
        <v>30313.3</v>
      </c>
      <c r="G97" s="157">
        <f>G98+G99</f>
        <v>7675.8</v>
      </c>
      <c r="H97" s="138">
        <f>G97/F97*100</f>
        <v>25.32155852381628</v>
      </c>
      <c r="I97" s="157">
        <f>SUM(I98:I99)</f>
        <v>279424.2</v>
      </c>
      <c r="J97" s="157">
        <f>SUM(J98:J99)</f>
        <v>42317.9</v>
      </c>
      <c r="K97" s="139">
        <f t="shared" si="12"/>
        <v>15.144679666256538</v>
      </c>
    </row>
    <row r="98" spans="1:11" ht="15">
      <c r="A98" s="147">
        <v>1101</v>
      </c>
      <c r="B98" s="141" t="s">
        <v>227</v>
      </c>
      <c r="C98" s="142">
        <v>18413.5</v>
      </c>
      <c r="D98" s="142">
        <v>6730.7</v>
      </c>
      <c r="E98" s="142">
        <f t="shared" si="13"/>
        <v>36.553072474000054</v>
      </c>
      <c r="F98" s="143">
        <f>30313.3</f>
        <v>30313.3</v>
      </c>
      <c r="G98" s="143">
        <v>7675.8</v>
      </c>
      <c r="H98" s="143">
        <f>G98/F98*100</f>
        <v>25.32155852381628</v>
      </c>
      <c r="I98" s="144">
        <f>C98+F98-1139.5</f>
        <v>47587.3</v>
      </c>
      <c r="J98" s="144">
        <f>D98+G98-225</f>
        <v>14181.5</v>
      </c>
      <c r="K98" s="146">
        <f t="shared" si="12"/>
        <v>29.80101833892656</v>
      </c>
    </row>
    <row r="99" spans="1:11" ht="15">
      <c r="A99" s="147">
        <v>1102</v>
      </c>
      <c r="B99" s="141" t="s">
        <v>228</v>
      </c>
      <c r="C99" s="142">
        <v>231836.9</v>
      </c>
      <c r="D99" s="142">
        <v>28136.4</v>
      </c>
      <c r="E99" s="142">
        <f t="shared" si="13"/>
        <v>12.136290642257554</v>
      </c>
      <c r="F99" s="143"/>
      <c r="G99" s="143">
        <v>0</v>
      </c>
      <c r="H99" s="143"/>
      <c r="I99" s="144">
        <f>C99+F99</f>
        <v>231836.9</v>
      </c>
      <c r="J99" s="144">
        <f>D99+G99</f>
        <v>28136.4</v>
      </c>
      <c r="K99" s="146">
        <f t="shared" si="12"/>
        <v>12.136290642257554</v>
      </c>
    </row>
    <row r="100" spans="1:11" ht="15">
      <c r="A100" s="161">
        <v>1200</v>
      </c>
      <c r="B100" s="136" t="s">
        <v>229</v>
      </c>
      <c r="C100" s="137">
        <f>C101</f>
        <v>4500</v>
      </c>
      <c r="D100" s="137">
        <f>D101</f>
        <v>950.2</v>
      </c>
      <c r="E100" s="166">
        <f>D100/C100*100</f>
        <v>21.115555555555556</v>
      </c>
      <c r="F100" s="137">
        <f>F101</f>
        <v>0</v>
      </c>
      <c r="G100" s="137">
        <f>G101</f>
        <v>0</v>
      </c>
      <c r="H100" s="167"/>
      <c r="I100" s="137">
        <f aca="true" t="shared" si="14" ref="I100:J103">C100+F100</f>
        <v>4500</v>
      </c>
      <c r="J100" s="137">
        <f t="shared" si="14"/>
        <v>950.2</v>
      </c>
      <c r="K100" s="149">
        <f t="shared" si="12"/>
        <v>21.115555555555556</v>
      </c>
    </row>
    <row r="101" spans="1:11" ht="15">
      <c r="A101" s="147" t="s">
        <v>230</v>
      </c>
      <c r="B101" s="141" t="s">
        <v>231</v>
      </c>
      <c r="C101" s="142">
        <v>4500</v>
      </c>
      <c r="D101" s="142">
        <v>950.2</v>
      </c>
      <c r="E101" s="142">
        <f>D101/C101*100</f>
        <v>21.115555555555556</v>
      </c>
      <c r="F101" s="143">
        <v>0</v>
      </c>
      <c r="G101" s="143">
        <v>0</v>
      </c>
      <c r="H101" s="143">
        <v>0</v>
      </c>
      <c r="I101" s="144">
        <f t="shared" si="14"/>
        <v>4500</v>
      </c>
      <c r="J101" s="144">
        <f t="shared" si="14"/>
        <v>950.2</v>
      </c>
      <c r="K101" s="146">
        <f>J101/I101*100</f>
        <v>21.115555555555556</v>
      </c>
    </row>
    <row r="102" spans="1:11" ht="15">
      <c r="A102" s="161">
        <v>1300</v>
      </c>
      <c r="B102" s="136" t="s">
        <v>232</v>
      </c>
      <c r="C102" s="137">
        <f aca="true" t="shared" si="15" ref="C102:H102">C103</f>
        <v>15</v>
      </c>
      <c r="D102" s="137">
        <f t="shared" si="15"/>
        <v>3.3</v>
      </c>
      <c r="E102" s="137">
        <f t="shared" si="15"/>
        <v>22</v>
      </c>
      <c r="F102" s="137">
        <f t="shared" si="15"/>
        <v>0</v>
      </c>
      <c r="G102" s="137">
        <f t="shared" si="15"/>
        <v>0</v>
      </c>
      <c r="H102" s="148">
        <f t="shared" si="15"/>
        <v>0</v>
      </c>
      <c r="I102" s="137">
        <f t="shared" si="14"/>
        <v>15</v>
      </c>
      <c r="J102" s="137">
        <f t="shared" si="14"/>
        <v>3.3</v>
      </c>
      <c r="K102" s="149">
        <f t="shared" si="12"/>
        <v>22</v>
      </c>
    </row>
    <row r="103" spans="1:11" ht="30">
      <c r="A103" s="147">
        <v>1301</v>
      </c>
      <c r="B103" s="141" t="s">
        <v>233</v>
      </c>
      <c r="C103" s="142">
        <v>15</v>
      </c>
      <c r="D103" s="142">
        <v>3.3</v>
      </c>
      <c r="E103" s="142">
        <f t="shared" si="13"/>
        <v>22</v>
      </c>
      <c r="F103" s="143"/>
      <c r="G103" s="143">
        <v>0</v>
      </c>
      <c r="H103" s="143">
        <v>0</v>
      </c>
      <c r="I103" s="144">
        <f t="shared" si="14"/>
        <v>15</v>
      </c>
      <c r="J103" s="144">
        <f t="shared" si="14"/>
        <v>3.3</v>
      </c>
      <c r="K103" s="146">
        <f t="shared" si="12"/>
        <v>22</v>
      </c>
    </row>
    <row r="104" spans="1:11" ht="14.25">
      <c r="A104" s="161">
        <v>1400</v>
      </c>
      <c r="B104" s="136" t="s">
        <v>234</v>
      </c>
      <c r="C104" s="137">
        <f>SUM(C105:C107)</f>
        <v>281465.7</v>
      </c>
      <c r="D104" s="137">
        <f>SUM(D105:D107)</f>
        <v>82693.5</v>
      </c>
      <c r="E104" s="137">
        <f>D104/C104*100</f>
        <v>29.37960113790064</v>
      </c>
      <c r="F104" s="157">
        <f>F105+F106+F107</f>
        <v>0</v>
      </c>
      <c r="G104" s="157">
        <f>SUM(G105:G107)</f>
        <v>0</v>
      </c>
      <c r="H104" s="157"/>
      <c r="I104" s="157">
        <v>0</v>
      </c>
      <c r="J104" s="157">
        <v>0</v>
      </c>
      <c r="K104" s="139">
        <v>0</v>
      </c>
    </row>
    <row r="105" spans="1:11" ht="30">
      <c r="A105" s="147">
        <v>1401</v>
      </c>
      <c r="B105" s="141" t="s">
        <v>235</v>
      </c>
      <c r="C105" s="142">
        <v>132924.2</v>
      </c>
      <c r="D105" s="142">
        <v>39877.2</v>
      </c>
      <c r="E105" s="142">
        <f t="shared" si="13"/>
        <v>29.999954861492483</v>
      </c>
      <c r="F105" s="143">
        <v>0</v>
      </c>
      <c r="G105" s="143">
        <v>0</v>
      </c>
      <c r="H105" s="143">
        <v>0</v>
      </c>
      <c r="I105" s="144">
        <v>0</v>
      </c>
      <c r="J105" s="145">
        <v>0</v>
      </c>
      <c r="K105" s="146">
        <v>0</v>
      </c>
    </row>
    <row r="106" spans="1:11" ht="15">
      <c r="A106" s="147">
        <v>1402</v>
      </c>
      <c r="B106" s="141" t="s">
        <v>236</v>
      </c>
      <c r="C106" s="142">
        <v>120359.5</v>
      </c>
      <c r="D106" s="142">
        <v>42356.4</v>
      </c>
      <c r="E106" s="142">
        <f t="shared" si="13"/>
        <v>35.19157191580224</v>
      </c>
      <c r="F106" s="143">
        <v>0</v>
      </c>
      <c r="G106" s="143">
        <v>0</v>
      </c>
      <c r="H106" s="143">
        <v>0</v>
      </c>
      <c r="I106" s="144">
        <v>0</v>
      </c>
      <c r="J106" s="145">
        <v>0</v>
      </c>
      <c r="K106" s="146">
        <v>0</v>
      </c>
    </row>
    <row r="107" spans="1:11" ht="15">
      <c r="A107" s="147">
        <v>1403</v>
      </c>
      <c r="B107" s="141" t="s">
        <v>237</v>
      </c>
      <c r="C107" s="142">
        <v>28182</v>
      </c>
      <c r="D107" s="142">
        <v>459.9</v>
      </c>
      <c r="E107" s="142">
        <f t="shared" si="13"/>
        <v>1.631892697466468</v>
      </c>
      <c r="F107" s="143">
        <v>0</v>
      </c>
      <c r="G107" s="143">
        <v>0</v>
      </c>
      <c r="H107" s="143">
        <v>0</v>
      </c>
      <c r="I107" s="144">
        <v>0</v>
      </c>
      <c r="J107" s="145">
        <v>0</v>
      </c>
      <c r="K107" s="146">
        <v>0</v>
      </c>
    </row>
    <row r="108" spans="1:11" ht="15" thickBot="1">
      <c r="A108" s="168" t="s">
        <v>238</v>
      </c>
      <c r="B108" s="169"/>
      <c r="C108" s="170">
        <f>C9+C18+C20+C25+C46+C70+C72+C80+C86+C88+C97+C100+C102+C104</f>
        <v>3862307.8000000003</v>
      </c>
      <c r="D108" s="170">
        <f>D104+D102+D100+D97+D88+D86+D80+D72+D70+D46+D25+D20+D18+D9</f>
        <v>1065132.6</v>
      </c>
      <c r="E108" s="170">
        <f>D108/C108*100</f>
        <v>27.577620820381014</v>
      </c>
      <c r="F108" s="170">
        <f>F9+F18+F20+F25+F46+F70+F72+F80+F86+F88+F97+F100+F102+F104</f>
        <v>544402.3000000002</v>
      </c>
      <c r="G108" s="170">
        <f>G104+G102+G100+G88+G86+G80+G72+G46+G25+G21+G18+G9+G20+G97</f>
        <v>144807.2</v>
      </c>
      <c r="H108" s="171">
        <f>G108/F108*100</f>
        <v>26.599299819269678</v>
      </c>
      <c r="I108" s="170">
        <f>I104+I102+I100+I97+I88+I86+I80+I72+I70+I46+I25+I20+I18+I9</f>
        <v>4012864.6000000006</v>
      </c>
      <c r="J108" s="170">
        <f>J104+J102+J100+J97+J88+J86+J80+J72+J70+J46+J25+J20+J18+J9</f>
        <v>1099508.7</v>
      </c>
      <c r="K108" s="172">
        <f t="shared" si="12"/>
        <v>27.399596288397067</v>
      </c>
    </row>
    <row r="109" spans="1:11" ht="12.75">
      <c r="A109" s="173"/>
      <c r="B109" s="174"/>
      <c r="C109" s="175"/>
      <c r="D109" s="110"/>
      <c r="E109" s="176"/>
      <c r="F109" s="112"/>
      <c r="G109" s="113"/>
      <c r="H109" s="113"/>
      <c r="I109" s="115"/>
      <c r="J109" s="115"/>
      <c r="K109" s="115"/>
    </row>
    <row r="110" spans="1:11" ht="12.75">
      <c r="A110" s="177"/>
      <c r="B110" s="178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2.75">
      <c r="A111" s="177"/>
      <c r="B111" s="178"/>
      <c r="C111" s="179"/>
      <c r="D111" s="180"/>
      <c r="E111" s="176"/>
      <c r="F111" s="112"/>
      <c r="G111" s="113"/>
      <c r="H111" s="113"/>
      <c r="I111" s="114"/>
      <c r="J111" s="114"/>
      <c r="K111" s="115"/>
    </row>
    <row r="112" spans="1:11" ht="12.75">
      <c r="A112" s="181" t="s">
        <v>239</v>
      </c>
      <c r="B112" s="181"/>
      <c r="C112" s="181"/>
      <c r="D112" s="182"/>
      <c r="E112" s="183"/>
      <c r="F112" s="183"/>
      <c r="G112" s="113"/>
      <c r="H112" s="113"/>
      <c r="I112" s="115"/>
      <c r="J112" s="115"/>
      <c r="K112" s="115"/>
    </row>
    <row r="113" spans="1:11" ht="12.75">
      <c r="A113" s="181" t="s">
        <v>240</v>
      </c>
      <c r="B113" s="181"/>
      <c r="C113" s="181"/>
      <c r="D113" s="184"/>
      <c r="E113" s="185" t="s">
        <v>241</v>
      </c>
      <c r="F113" s="185"/>
      <c r="G113" s="113"/>
      <c r="H113" s="113"/>
      <c r="I113" s="114"/>
      <c r="J113" s="115"/>
      <c r="K113" s="115"/>
    </row>
    <row r="114" spans="1:11" ht="12.75">
      <c r="A114" s="186"/>
      <c r="B114" s="187"/>
      <c r="C114" s="188"/>
      <c r="D114" s="189"/>
      <c r="E114" s="190"/>
      <c r="F114" s="191"/>
      <c r="G114" s="113"/>
      <c r="H114" s="113"/>
      <c r="I114" s="114"/>
      <c r="J114" s="115"/>
      <c r="K114" s="115"/>
    </row>
    <row r="115" spans="1:11" ht="12.75">
      <c r="A115" s="181" t="s">
        <v>242</v>
      </c>
      <c r="B115" s="181"/>
      <c r="C115" s="181"/>
      <c r="D115" s="192"/>
      <c r="E115" s="185" t="s">
        <v>243</v>
      </c>
      <c r="F115" s="185"/>
      <c r="G115" s="113"/>
      <c r="H115" s="113"/>
      <c r="I115" s="114"/>
      <c r="J115" s="115"/>
      <c r="K115" s="115"/>
    </row>
    <row r="116" spans="1:11" ht="12.75">
      <c r="A116" s="186"/>
      <c r="B116" s="193"/>
      <c r="C116" s="194"/>
      <c r="D116" s="195"/>
      <c r="E116" s="190"/>
      <c r="F116" s="191"/>
      <c r="G116" s="113"/>
      <c r="H116" s="113"/>
      <c r="I116" s="114"/>
      <c r="J116" s="115"/>
      <c r="K116" s="115"/>
    </row>
    <row r="117" spans="1:11" ht="12.75">
      <c r="A117" s="181" t="s">
        <v>244</v>
      </c>
      <c r="B117" s="181"/>
      <c r="C117" s="181"/>
      <c r="D117" s="192"/>
      <c r="E117" s="196" t="s">
        <v>245</v>
      </c>
      <c r="F117" s="196"/>
      <c r="G117" s="113"/>
      <c r="H117" s="113"/>
      <c r="I117" s="114"/>
      <c r="J117" s="115"/>
      <c r="K117" s="115"/>
    </row>
    <row r="118" spans="1:11" ht="12.75">
      <c r="A118" s="197"/>
      <c r="B118" s="198"/>
      <c r="C118" s="199"/>
      <c r="D118" s="182"/>
      <c r="E118" s="182"/>
      <c r="F118" s="183"/>
      <c r="G118" s="113"/>
      <c r="H118" s="113"/>
      <c r="I118" s="115"/>
      <c r="J118" s="115"/>
      <c r="K118" s="115"/>
    </row>
    <row r="119" spans="1:6" ht="12.75">
      <c r="A119" s="200"/>
      <c r="B119" s="200"/>
      <c r="C119" s="201" t="s">
        <v>246</v>
      </c>
      <c r="D119" s="200" t="s">
        <v>247</v>
      </c>
      <c r="E119" s="202" t="s">
        <v>248</v>
      </c>
      <c r="F119" s="200"/>
    </row>
  </sheetData>
  <sheetProtection/>
  <mergeCells count="35">
    <mergeCell ref="A112:C112"/>
    <mergeCell ref="A113:C113"/>
    <mergeCell ref="E113:F113"/>
    <mergeCell ref="A115:C115"/>
    <mergeCell ref="E115:F115"/>
    <mergeCell ref="A117:C117"/>
    <mergeCell ref="E117:F117"/>
    <mergeCell ref="G20:G21"/>
    <mergeCell ref="H20:H21"/>
    <mergeCell ref="I20:I21"/>
    <mergeCell ref="J20:J21"/>
    <mergeCell ref="K20:K21"/>
    <mergeCell ref="A108:B108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*</cp:lastModifiedBy>
  <cp:lastPrinted>2016-05-06T11:05:58Z</cp:lastPrinted>
  <dcterms:created xsi:type="dcterms:W3CDTF">2006-05-12T06:58:42Z</dcterms:created>
  <dcterms:modified xsi:type="dcterms:W3CDTF">2016-05-25T10:12:19Z</dcterms:modified>
  <cp:category/>
  <cp:version/>
  <cp:contentType/>
  <cp:contentStatus/>
</cp:coreProperties>
</file>