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</sheets>
  <definedNames>
    <definedName name="_xlnm.Print_Titles" localSheetId="0">'доходы'!$5:$7</definedName>
    <definedName name="_xlnm.Print_Area" localSheetId="0">'доходы'!$A$1:$L$204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48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49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<sst xmlns="http://schemas.openxmlformats.org/spreadsheetml/2006/main" count="612" uniqueCount="250">
  <si>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</si>
  <si>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</si>
  <si>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</si>
  <si>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</si>
  <si>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</si>
  <si>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</si>
  <si>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</si>
  <si>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</si>
  <si>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</si>
  <si>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</si>
  <si>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</si>
  <si>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</si>
  <si>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</si>
  <si>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</si>
  <si>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</si>
  <si>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</si>
  <si>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</si>
  <si>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</si>
  <si>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</si>
  <si>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</si>
  <si>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 xml:space="preserve">План </t>
  </si>
  <si>
    <t>Безвозмездные поступления от других бюджетов бюджетной системы Российской Федерации</t>
  </si>
  <si>
    <t>00020200000000000151</t>
  </si>
  <si>
    <t>Государственная пошлина</t>
  </si>
  <si>
    <t>3 кв.</t>
  </si>
  <si>
    <t>4 кв.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</si>
  <si>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</si>
  <si>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</si>
  <si>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</si>
  <si>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</si>
  <si>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</si>
  <si>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</si>
  <si>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</si>
  <si>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</si>
  <si>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</si>
  <si>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</si>
  <si>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</si>
  <si>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</si>
  <si>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</si>
  <si>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</si>
  <si>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</si>
  <si>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План</t>
  </si>
  <si>
    <t>% исп-ия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</si>
  <si>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</si>
  <si>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</si>
  <si>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</si>
  <si>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</si>
  <si>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</si>
  <si>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</si>
  <si>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</si>
  <si>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</si>
  <si>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</si>
  <si>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</si>
  <si>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Исп-ие на</t>
  </si>
  <si>
    <t>от плана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</si>
  <si>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</si>
  <si>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</si>
  <si>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</si>
  <si>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</si>
  <si>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</si>
  <si>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</si>
  <si>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</si>
  <si>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</si>
  <si>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</si>
  <si>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</si>
  <si>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</si>
  <si>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</si>
  <si>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1 кв.</t>
  </si>
  <si>
    <t>2кв.</t>
  </si>
  <si>
    <t>00011800000000000000</t>
  </si>
  <si>
    <t>Возврат остатков субсидий и субвенций прошлых лет из бюджетов поселений</t>
  </si>
  <si>
    <t>00011500000000000000</t>
  </si>
  <si>
    <t>Административные платежи и сборы</t>
  </si>
  <si>
    <t>2012</t>
  </si>
  <si>
    <t>00021900000000000180</t>
  </si>
  <si>
    <t>Возврат остатков субсидий, субвенций и иных межбюджетных трансфертов, имеющих целевое назначение, прошлых лет</t>
  </si>
  <si>
    <t>(тыс.руб.)</t>
  </si>
  <si>
    <t>НАЛОГОВЫЕ И НЕНАЛОГОВЫЕ ДОХОДЫ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</si>
  <si>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</si>
  <si>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</si>
  <si>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</si>
  <si>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</si>
  <si>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</si>
  <si>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</si>
  <si>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</si>
  <si>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</si>
  <si>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</si>
  <si>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</si>
  <si>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</si>
  <si>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</si>
  <si>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</si>
  <si>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</si>
  <si>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</si>
  <si>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</si>
  <si>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</si>
  <si>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</si>
  <si>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</si>
  <si>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</si>
  <si>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</si>
  <si>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</si>
  <si>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</si>
  <si>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</si>
  <si>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</si>
  <si>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</si>
  <si>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</si>
  <si>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</si>
  <si>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</si>
  <si>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</si>
  <si>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</si>
  <si>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</si>
  <si>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</si>
  <si>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</si>
  <si>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</si>
  <si>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</si>
  <si>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</si>
  <si>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</si>
  <si>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</si>
  <si>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</si>
  <si>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</si>
  <si>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</si>
  <si>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</si>
  <si>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</si>
  <si>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</si>
  <si>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</si>
  <si>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</si>
  <si>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</si>
  <si>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0410</t>
  </si>
  <si>
    <t>Связь и информатика</t>
  </si>
  <si>
    <t>0412</t>
  </si>
  <si>
    <t>Земельные  ресурсы (3400300)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</si>
  <si>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</si>
  <si>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</si>
  <si>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</si>
  <si>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</si>
  <si>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</si>
  <si>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</si>
  <si>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</si>
  <si>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</si>
  <si>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</si>
  <si>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</si>
  <si>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</si>
  <si>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</si>
  <si>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</si>
  <si>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</si>
  <si>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</si>
  <si>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</si>
  <si>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</si>
  <si>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</si>
  <si>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</si>
  <si>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</si>
  <si>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</si>
  <si>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</si>
  <si>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</si>
  <si>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Бесплатное питание (4219904)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</si>
  <si>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</si>
  <si>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</si>
  <si>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</si>
  <si>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</si>
  <si>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</si>
  <si>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</si>
  <si>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</si>
  <si>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</si>
  <si>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</si>
  <si>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</si>
  <si>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</si>
  <si>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</si>
  <si>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</si>
  <si>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</si>
  <si>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</si>
  <si>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</si>
  <si>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</si>
  <si>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</si>
  <si>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</si>
  <si>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</si>
  <si>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</si>
  <si>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</si>
  <si>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</si>
  <si>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</si>
  <si>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</si>
  <si>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</si>
  <si>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</si>
  <si>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</si>
  <si>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</si>
  <si>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</si>
  <si>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</si>
  <si>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</si>
  <si>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</si>
  <si>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</si>
  <si>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</si>
  <si>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</si>
  <si>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</si>
  <si>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</si>
  <si>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</si>
  <si>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</si>
  <si>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</si>
  <si>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</si>
  <si>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</si>
  <si>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</si>
  <si>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</si>
  <si>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</si>
  <si>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</si>
  <si>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</si>
  <si>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</si>
  <si>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</si>
  <si>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</si>
  <si>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Программа по капитальному ремонту многоквартирных домов "Наш дом" (5227000)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</si>
  <si>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</si>
  <si>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</si>
  <si>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</si>
  <si>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</si>
  <si>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Программа "Утилизация отходов на территории муниципального образования Октябрьский район" на 2011-2021 годы тс 01.03.35</t>
  </si>
  <si>
    <t>Содержание и строительство автомобильных дорог (6000200, 5226105)</t>
  </si>
  <si>
    <t>Субсидии на реализацию мероприятий подпрограммы "Обеспечение комплексной безопасности и комфортных условий образовательного процесса" на 2010-2013 годы тс 01.40.24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</si>
  <si>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</si>
  <si>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</si>
  <si>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</si>
  <si>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</si>
  <si>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Программа "Энергосбережения и повышения энергоэффективности в ХМАО-Югре" на 2010-2013гг на период до 2015г. (5226300, 0923400)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</si>
  <si>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</si>
  <si>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01.40.50, 01.00.00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</si>
  <si>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</si>
  <si>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</si>
  <si>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</si>
  <si>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01.60.00</t>
  </si>
  <si>
    <t>Подпрограмма "Библиотечное дело" 5222806</t>
  </si>
  <si>
    <t>исполнение на 01.09.2012</t>
  </si>
  <si>
    <t>исполнения на 01.09.2012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</si>
  <si>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</si>
  <si>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</si>
  <si>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"Развитие  малого и среднего предпринимательства  в Октябрьском  районе"  на 2011-2013 годы (7950400) тс 01.03.20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</si>
  <si>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</si>
  <si>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</si>
  <si>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</si>
  <si>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</si>
  <si>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</si>
  <si>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</si>
  <si>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</si>
  <si>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</si>
  <si>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</si>
  <si>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 "Новая школа Югры" 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7955600 мб, 310</t>
  </si>
  <si>
    <t>Программа "Наша новая школа" на 2011-2013гг. 7955600 тс 01.03.36</t>
  </si>
  <si>
    <t>Программа "Культура Октябрьского района на 2010-2012 гг." 7952800 тс 01.03.14</t>
  </si>
  <si>
    <t>Программа "Культура Октябрьского района на 2010-2012 гг" 7952800</t>
  </si>
  <si>
    <t>Заведующий  отделом учета  исполнения  бюджета</t>
  </si>
  <si>
    <t>Главный специалист  бюджетного отдела</t>
  </si>
  <si>
    <t>Колыгина Я.М.</t>
  </si>
  <si>
    <t>____ сентября  2012 года</t>
  </si>
  <si>
    <t>Отчет об исполнении консолидированного бюджета Октябрьского района по состоянию на 01.09.2012</t>
  </si>
  <si>
    <t>на 9 месяцев</t>
  </si>
  <si>
    <t>9 месяцев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</si>
</sst>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6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name val="Arial Cyr"/>
      <family val="0"/>
    </font>
    <font>
      <b/>
      <sz val="11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8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68" fontId="3" fillId="0" borderId="14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168" fontId="4" fillId="0" borderId="15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5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8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4" xfId="0" applyNumberFormat="1" applyFont="1" applyFill="1" applyBorder="1" applyAlignment="1">
      <alignment horizontal="right"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left" vertical="top"/>
    </xf>
    <xf numFmtId="168" fontId="2" fillId="0" borderId="10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10" fillId="0" borderId="0" xfId="53" applyNumberFormat="1" applyFont="1" applyAlignment="1">
      <alignment horizontal="center" vertical="center" wrapText="1"/>
      <protection/>
    </xf>
    <xf numFmtId="0" fontId="10" fillId="0" borderId="0" xfId="53" applyNumberFormat="1" applyFont="1" applyAlignment="1">
      <alignment horizontal="left" vertical="center" wrapText="1"/>
      <protection/>
    </xf>
    <xf numFmtId="171" fontId="54" fillId="0" borderId="0" xfId="53" applyNumberFormat="1" applyFont="1" applyFill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Alignment="1">
      <alignment horizontal="center" vertical="center" wrapText="1"/>
      <protection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1" fontId="11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 quotePrefix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left" vertical="center" wrapText="1"/>
      <protection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49" fontId="10" fillId="0" borderId="17" xfId="53" applyNumberFormat="1" applyFont="1" applyFill="1" applyBorder="1" applyAlignment="1">
      <alignment horizontal="center" vertical="center" wrapText="1"/>
      <protection/>
    </xf>
    <xf numFmtId="171" fontId="11" fillId="33" borderId="10" xfId="53" applyNumberFormat="1" applyFont="1" applyFill="1" applyBorder="1" applyAlignment="1">
      <alignment horizontal="center" vertical="center" wrapText="1"/>
      <protection/>
    </xf>
    <xf numFmtId="171" fontId="12" fillId="33" borderId="18" xfId="53" applyNumberFormat="1" applyFont="1" applyFill="1" applyBorder="1" applyAlignment="1">
      <alignment horizontal="center" vertical="center" wrapText="1"/>
      <protection/>
    </xf>
    <xf numFmtId="171" fontId="11" fillId="34" borderId="10" xfId="0" applyNumberFormat="1" applyFont="1" applyFill="1" applyBorder="1" applyAlignment="1">
      <alignment horizontal="center" vertical="center" wrapText="1"/>
    </xf>
    <xf numFmtId="0" fontId="10" fillId="34" borderId="10" xfId="53" applyNumberFormat="1" applyFont="1" applyFill="1" applyBorder="1" applyAlignment="1">
      <alignment horizontal="left" vertical="center" wrapText="1"/>
      <protection/>
    </xf>
    <xf numFmtId="171" fontId="11" fillId="35" borderId="10" xfId="53" applyNumberFormat="1" applyFont="1" applyFill="1" applyBorder="1" applyAlignment="1">
      <alignment horizontal="center" vertical="center" wrapText="1"/>
      <protection/>
    </xf>
    <xf numFmtId="171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2" applyNumberFormat="1" applyFont="1" applyFill="1" applyBorder="1" applyAlignment="1" applyProtection="1">
      <alignment horizontal="left" vertical="center" wrapText="1"/>
      <protection hidden="1"/>
    </xf>
    <xf numFmtId="43" fontId="12" fillId="0" borderId="10" xfId="0" applyNumberFormat="1" applyFont="1" applyBorder="1" applyAlignment="1">
      <alignment horizontal="center" vertical="center" wrapText="1"/>
    </xf>
    <xf numFmtId="49" fontId="13" fillId="33" borderId="17" xfId="5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left" vertical="center" wrapText="1"/>
      <protection/>
    </xf>
    <xf numFmtId="171" fontId="12" fillId="36" borderId="19" xfId="53" applyNumberFormat="1" applyFont="1" applyFill="1" applyBorder="1" applyAlignment="1">
      <alignment horizontal="center" vertical="center" wrapText="1"/>
      <protection/>
    </xf>
    <xf numFmtId="171" fontId="12" fillId="36" borderId="19" xfId="0" applyNumberFormat="1" applyFont="1" applyFill="1" applyBorder="1" applyAlignment="1">
      <alignment horizontal="center" vertical="center" wrapText="1"/>
    </xf>
    <xf numFmtId="171" fontId="12" fillId="36" borderId="20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left" vertical="center" wrapText="1"/>
      <protection/>
    </xf>
    <xf numFmtId="171" fontId="54" fillId="0" borderId="0" xfId="53" applyNumberFormat="1" applyFont="1" applyFill="1" applyBorder="1" applyAlignment="1">
      <alignment horizontal="center" vertical="center" wrapText="1"/>
      <protection/>
    </xf>
    <xf numFmtId="171" fontId="12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11" fillId="0" borderId="16" xfId="53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0" applyNumberFormat="1" applyFont="1" applyFill="1" applyAlignment="1">
      <alignment horizontal="left" vertical="center" wrapText="1"/>
    </xf>
    <xf numFmtId="171" fontId="11" fillId="0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1" fontId="54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4" fontId="2" fillId="0" borderId="21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right" vertical="center" wrapText="1"/>
      <protection/>
    </xf>
    <xf numFmtId="0" fontId="15" fillId="36" borderId="24" xfId="53" applyNumberFormat="1" applyFont="1" applyFill="1" applyBorder="1" applyAlignment="1">
      <alignment horizontal="center" vertical="center" wrapText="1"/>
      <protection/>
    </xf>
    <xf numFmtId="0" fontId="15" fillId="36" borderId="19" xfId="53" applyNumberFormat="1" applyFont="1" applyFill="1" applyBorder="1" applyAlignment="1">
      <alignment horizontal="center" vertical="center" wrapText="1"/>
      <protection/>
    </xf>
    <xf numFmtId="171" fontId="11" fillId="0" borderId="0" xfId="0" applyNumberFormat="1" applyFont="1" applyFill="1" applyBorder="1" applyAlignment="1">
      <alignment horizontal="left" vertical="center" wrapText="1"/>
    </xf>
    <xf numFmtId="171" fontId="11" fillId="0" borderId="0" xfId="53" applyNumberFormat="1" applyFont="1" applyFill="1" applyBorder="1" applyAlignment="1">
      <alignment horizontal="left" vertical="center" wrapText="1"/>
      <protection/>
    </xf>
    <xf numFmtId="171" fontId="12" fillId="33" borderId="10" xfId="53" applyNumberFormat="1" applyFont="1" applyFill="1" applyBorder="1" applyAlignment="1">
      <alignment horizontal="center" vertical="center" wrapText="1"/>
      <protection/>
    </xf>
    <xf numFmtId="171" fontId="12" fillId="0" borderId="18" xfId="53" applyNumberFormat="1" applyFont="1" applyBorder="1" applyAlignment="1">
      <alignment horizontal="center" vertical="center" wrapText="1"/>
      <protection/>
    </xf>
    <xf numFmtId="171" fontId="12" fillId="0" borderId="18" xfId="0" applyNumberFormat="1" applyFont="1" applyBorder="1" applyAlignment="1">
      <alignment horizontal="center" vertical="center" wrapText="1"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8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10" fillId="0" borderId="25" xfId="53" applyNumberFormat="1" applyFont="1" applyBorder="1" applyAlignment="1">
      <alignment horizontal="center" vertical="center" wrapText="1"/>
      <protection/>
    </xf>
    <xf numFmtId="49" fontId="10" fillId="0" borderId="17" xfId="53" applyNumberFormat="1" applyFont="1" applyBorder="1" applyAlignment="1">
      <alignment horizontal="center" vertical="center" wrapText="1"/>
      <protection/>
    </xf>
    <xf numFmtId="0" fontId="10" fillId="0" borderId="26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171" fontId="11" fillId="0" borderId="26" xfId="53" applyNumberFormat="1" applyFont="1" applyFill="1" applyBorder="1" applyAlignment="1">
      <alignment horizontal="center" vertical="center" wrapText="1"/>
      <protection/>
    </xf>
    <xf numFmtId="171" fontId="11" fillId="0" borderId="26" xfId="0" applyNumberFormat="1" applyFont="1" applyBorder="1" applyAlignment="1">
      <alignment horizontal="center" vertical="center" wrapText="1"/>
    </xf>
    <xf numFmtId="171" fontId="12" fillId="0" borderId="26" xfId="0" applyNumberFormat="1" applyFont="1" applyFill="1" applyBorder="1" applyAlignment="1">
      <alignment horizontal="center" vertical="center" wrapText="1"/>
    </xf>
    <xf numFmtId="171" fontId="12" fillId="0" borderId="27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171" fontId="11" fillId="0" borderId="10" xfId="53" applyNumberFormat="1" applyFont="1" applyBorder="1" applyAlignment="1">
      <alignment horizontal="center" vertical="center" wrapText="1"/>
      <protection/>
    </xf>
    <xf numFmtId="171" fontId="12" fillId="0" borderId="10" xfId="53" applyNumberFormat="1" applyFont="1" applyFill="1" applyBorder="1" applyAlignment="1">
      <alignment horizontal="center" vertical="center" wrapText="1"/>
      <protection/>
    </xf>
    <xf numFmtId="171" fontId="12" fillId="0" borderId="10" xfId="0" applyNumberFormat="1" applyFont="1" applyBorder="1" applyAlignment="1">
      <alignment horizontal="center" vertical="center" wrapText="1"/>
    </xf>
    <xf numFmtId="171" fontId="12" fillId="0" borderId="10" xfId="53" applyNumberFormat="1" applyFont="1" applyBorder="1" applyAlignment="1">
      <alignment horizontal="center" vertical="center" wrapText="1"/>
      <protection/>
    </xf>
    <xf numFmtId="171" fontId="8" fillId="0" borderId="10" xfId="0" applyNumberFormat="1" applyFont="1" applyBorder="1" applyAlignment="1">
      <alignment horizontal="center" vertical="center"/>
    </xf>
    <xf numFmtId="49" fontId="13" fillId="33" borderId="17" xfId="53" applyNumberFormat="1" applyFont="1" applyFill="1" applyBorder="1" applyAlignment="1" quotePrefix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left" vertical="center" wrapText="1"/>
      <protection/>
    </xf>
    <xf numFmtId="171" fontId="55" fillId="35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tabSelected="1" zoomScalePageLayoutView="0" workbookViewId="0" topLeftCell="A1">
      <pane xSplit="3" ySplit="8" topLeftCell="D1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210"/>
    </sheetView>
  </sheetViews>
  <sheetFormatPr defaultColWidth="9.00390625" defaultRowHeight="12.75" outlineLevelCol="1"/>
  <cols>
    <col min="1" max="1" width="21.25390625" style="2" customWidth="1"/>
    <col min="2" max="2" width="6.75390625" style="2" hidden="1" customWidth="1"/>
    <col min="3" max="3" width="68.75390625" style="2" customWidth="1"/>
    <col min="4" max="4" width="12.75390625" style="2" customWidth="1"/>
    <col min="5" max="5" width="11.375" style="2" hidden="1" customWidth="1" outlineLevel="1"/>
    <col min="6" max="6" width="11.00390625" style="2" hidden="1" customWidth="1" outlineLevel="1"/>
    <col min="7" max="7" width="9.00390625" style="2" hidden="1" customWidth="1" outlineLevel="1"/>
    <col min="8" max="8" width="10.25390625" style="2" hidden="1" customWidth="1" outlineLevel="1"/>
    <col min="9" max="9" width="12.625" style="2" customWidth="1" collapsed="1"/>
    <col min="10" max="10" width="12.125" style="2" customWidth="1"/>
    <col min="11" max="11" width="13.375" style="2" customWidth="1"/>
    <col min="12" max="12" width="10.00390625" style="2" customWidth="1"/>
    <col min="13" max="16384" width="9.125" style="2" customWidth="1"/>
  </cols>
  <sheetData>
    <row r="1" spans="1:12" ht="12.75">
      <c r="A1" s="150"/>
      <c r="B1" s="150"/>
      <c r="C1" s="150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50" t="s">
        <v>247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2.75">
      <c r="A4" s="25"/>
      <c r="B4" s="25"/>
      <c r="C4" s="26"/>
      <c r="D4" s="5"/>
      <c r="E4" s="5"/>
      <c r="F4" s="5"/>
      <c r="G4" s="5"/>
      <c r="H4" s="5"/>
      <c r="I4" s="5"/>
      <c r="J4" s="5" t="s">
        <v>76</v>
      </c>
      <c r="K4" s="5"/>
    </row>
    <row r="5" spans="1:12" ht="12.75">
      <c r="A5" s="11" t="s">
        <v>47</v>
      </c>
      <c r="B5" s="11"/>
      <c r="C5" s="12"/>
      <c r="D5" s="13"/>
      <c r="E5" s="14" t="s">
        <v>41</v>
      </c>
      <c r="F5" s="14" t="s">
        <v>41</v>
      </c>
      <c r="G5" s="14" t="s">
        <v>41</v>
      </c>
      <c r="H5" s="14" t="s">
        <v>41</v>
      </c>
      <c r="I5" s="14" t="s">
        <v>41</v>
      </c>
      <c r="J5" s="13"/>
      <c r="K5" s="15" t="s">
        <v>42</v>
      </c>
      <c r="L5" s="15" t="s">
        <v>42</v>
      </c>
    </row>
    <row r="6" spans="1:12" ht="12" customHeight="1">
      <c r="A6" s="16" t="s">
        <v>52</v>
      </c>
      <c r="B6" s="16"/>
      <c r="C6" s="17" t="s">
        <v>16</v>
      </c>
      <c r="D6" s="18" t="s">
        <v>20</v>
      </c>
      <c r="E6" s="19" t="s">
        <v>67</v>
      </c>
      <c r="F6" s="19" t="s">
        <v>68</v>
      </c>
      <c r="G6" s="20" t="s">
        <v>24</v>
      </c>
      <c r="H6" s="21" t="s">
        <v>25</v>
      </c>
      <c r="I6" s="19" t="s">
        <v>248</v>
      </c>
      <c r="J6" s="22" t="s">
        <v>53</v>
      </c>
      <c r="K6" s="33" t="s">
        <v>54</v>
      </c>
      <c r="L6" s="22" t="s">
        <v>54</v>
      </c>
    </row>
    <row r="7" spans="1:12" ht="12.75">
      <c r="A7" s="16"/>
      <c r="B7" s="16"/>
      <c r="C7" s="17"/>
      <c r="D7" s="18">
        <v>2012</v>
      </c>
      <c r="E7" s="18">
        <v>2012</v>
      </c>
      <c r="F7" s="18">
        <v>2012</v>
      </c>
      <c r="G7" s="18">
        <v>2012</v>
      </c>
      <c r="H7" s="18">
        <v>2012</v>
      </c>
      <c r="I7" s="19" t="s">
        <v>73</v>
      </c>
      <c r="J7" s="23">
        <v>41153</v>
      </c>
      <c r="K7" s="24" t="s">
        <v>249</v>
      </c>
      <c r="L7" s="24">
        <v>2012</v>
      </c>
    </row>
    <row r="8" spans="1:12" ht="12.75">
      <c r="A8" s="147" t="s">
        <v>28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/>
    </row>
    <row r="9" spans="1:12" ht="12.75">
      <c r="A9" s="38" t="s">
        <v>3</v>
      </c>
      <c r="B9" s="38"/>
      <c r="C9" s="39" t="s">
        <v>77</v>
      </c>
      <c r="D9" s="40">
        <f aca="true" t="shared" si="0" ref="D9:I9">D10+D11+D12+D13+D15+D16+D18+D20+D14+D21+D17+D23+D19</f>
        <v>657128</v>
      </c>
      <c r="E9" s="40">
        <f t="shared" si="0"/>
        <v>155488.69999999998</v>
      </c>
      <c r="F9" s="40">
        <f t="shared" si="0"/>
        <v>173164.80000000002</v>
      </c>
      <c r="G9" s="40">
        <f t="shared" si="0"/>
        <v>157114.2</v>
      </c>
      <c r="H9" s="40">
        <f t="shared" si="0"/>
        <v>171360.29999999996</v>
      </c>
      <c r="I9" s="40">
        <f t="shared" si="0"/>
        <v>485767.69999999995</v>
      </c>
      <c r="J9" s="40">
        <f>J10+J11+J12+J13+J15+J16+J18+J20+J14+J21+J17+J23+J19+J22</f>
        <v>450722.7</v>
      </c>
      <c r="K9" s="40">
        <f>J9/I9*100</f>
        <v>92.78564630789575</v>
      </c>
      <c r="L9" s="40">
        <f>J9/D9*100</f>
        <v>68.58978768215628</v>
      </c>
    </row>
    <row r="10" spans="1:12" ht="12.75">
      <c r="A10" s="27" t="s">
        <v>27</v>
      </c>
      <c r="B10" s="27"/>
      <c r="C10" s="41" t="s">
        <v>26</v>
      </c>
      <c r="D10" s="42">
        <f>E10+F10+G10+H10</f>
        <v>474228</v>
      </c>
      <c r="E10" s="43">
        <v>114827.6</v>
      </c>
      <c r="F10" s="43">
        <v>124110.3</v>
      </c>
      <c r="G10" s="43">
        <v>112934.3</v>
      </c>
      <c r="H10" s="43">
        <v>122355.8</v>
      </c>
      <c r="I10" s="44">
        <f>E10+F10+G10</f>
        <v>351872.2</v>
      </c>
      <c r="J10" s="43">
        <v>324514.5</v>
      </c>
      <c r="K10" s="44">
        <f aca="true" t="shared" si="1" ref="K10:K28">J10/I10*100</f>
        <v>92.22510331876175</v>
      </c>
      <c r="L10" s="44">
        <f aca="true" t="shared" si="2" ref="L10:L28">J10/D10*100</f>
        <v>68.43005895898176</v>
      </c>
    </row>
    <row r="11" spans="1:12" ht="12.75">
      <c r="A11" s="45" t="s">
        <v>8</v>
      </c>
      <c r="B11" s="45"/>
      <c r="C11" s="41" t="s">
        <v>5</v>
      </c>
      <c r="D11" s="42">
        <f aca="true" t="shared" si="3" ref="D11:D23">E11+F11+G11+H11</f>
        <v>37363</v>
      </c>
      <c r="E11" s="43">
        <v>8361.7</v>
      </c>
      <c r="F11" s="43">
        <v>12335.3</v>
      </c>
      <c r="G11" s="43">
        <v>8000.8</v>
      </c>
      <c r="H11" s="43">
        <v>8665.2</v>
      </c>
      <c r="I11" s="44">
        <f aca="true" t="shared" si="4" ref="I11:I21">E11+F11+G11</f>
        <v>28697.8</v>
      </c>
      <c r="J11" s="43">
        <v>28700.8</v>
      </c>
      <c r="K11" s="44">
        <f t="shared" si="1"/>
        <v>100.01045376300621</v>
      </c>
      <c r="L11" s="44">
        <f t="shared" si="2"/>
        <v>76.81610149077964</v>
      </c>
    </row>
    <row r="12" spans="1:12" ht="12.75">
      <c r="A12" s="45" t="s">
        <v>9</v>
      </c>
      <c r="B12" s="45"/>
      <c r="C12" s="41" t="s">
        <v>6</v>
      </c>
      <c r="D12" s="42">
        <f t="shared" si="3"/>
        <v>19309</v>
      </c>
      <c r="E12" s="43">
        <v>3722.6</v>
      </c>
      <c r="F12" s="43">
        <v>1781.6</v>
      </c>
      <c r="G12" s="43">
        <v>6902.4</v>
      </c>
      <c r="H12" s="43">
        <v>6902.4</v>
      </c>
      <c r="I12" s="44">
        <f t="shared" si="4"/>
        <v>12406.599999999999</v>
      </c>
      <c r="J12" s="43">
        <v>14336.4</v>
      </c>
      <c r="K12" s="44">
        <f t="shared" si="1"/>
        <v>115.55462415166122</v>
      </c>
      <c r="L12" s="44">
        <f t="shared" si="2"/>
        <v>74.2472422186545</v>
      </c>
    </row>
    <row r="13" spans="1:12" ht="12.75">
      <c r="A13" s="45" t="s">
        <v>10</v>
      </c>
      <c r="B13" s="45"/>
      <c r="C13" s="41" t="s">
        <v>23</v>
      </c>
      <c r="D13" s="42">
        <f t="shared" si="3"/>
        <v>4215</v>
      </c>
      <c r="E13" s="43">
        <v>66.2</v>
      </c>
      <c r="F13" s="43">
        <v>1330</v>
      </c>
      <c r="G13" s="43">
        <v>1407.9</v>
      </c>
      <c r="H13" s="43">
        <v>1410.9</v>
      </c>
      <c r="I13" s="44">
        <f t="shared" si="4"/>
        <v>2804.1000000000004</v>
      </c>
      <c r="J13" s="43">
        <v>3330.5</v>
      </c>
      <c r="K13" s="44">
        <f t="shared" si="1"/>
        <v>118.77251167932667</v>
      </c>
      <c r="L13" s="44">
        <f t="shared" si="2"/>
        <v>79.01542111506524</v>
      </c>
    </row>
    <row r="14" spans="1:12" ht="25.5" customHeight="1">
      <c r="A14" s="45" t="s">
        <v>43</v>
      </c>
      <c r="B14" s="45"/>
      <c r="C14" s="41" t="s">
        <v>44</v>
      </c>
      <c r="D14" s="42">
        <f t="shared" si="3"/>
        <v>0</v>
      </c>
      <c r="E14" s="43"/>
      <c r="F14" s="43"/>
      <c r="G14" s="43"/>
      <c r="H14" s="43"/>
      <c r="I14" s="44">
        <f t="shared" si="4"/>
        <v>0</v>
      </c>
      <c r="J14" s="43">
        <v>2.4</v>
      </c>
      <c r="K14" s="44"/>
      <c r="L14" s="44"/>
    </row>
    <row r="15" spans="1:12" ht="24">
      <c r="A15" s="34" t="s">
        <v>11</v>
      </c>
      <c r="B15" s="34"/>
      <c r="C15" s="41" t="s">
        <v>17</v>
      </c>
      <c r="D15" s="42">
        <f t="shared" si="3"/>
        <v>60371</v>
      </c>
      <c r="E15" s="43">
        <v>16235.3</v>
      </c>
      <c r="F15" s="43">
        <v>13082.8</v>
      </c>
      <c r="G15" s="43">
        <v>13647.1</v>
      </c>
      <c r="H15" s="43">
        <v>17405.8</v>
      </c>
      <c r="I15" s="44">
        <f t="shared" si="4"/>
        <v>42965.2</v>
      </c>
      <c r="J15" s="43">
        <v>39000.8</v>
      </c>
      <c r="K15" s="44">
        <f t="shared" si="1"/>
        <v>90.77299768184486</v>
      </c>
      <c r="L15" s="44">
        <f t="shared" si="2"/>
        <v>64.60187838531746</v>
      </c>
    </row>
    <row r="16" spans="1:12" ht="12.75">
      <c r="A16" s="46" t="s">
        <v>14</v>
      </c>
      <c r="B16" s="46"/>
      <c r="C16" s="41" t="s">
        <v>13</v>
      </c>
      <c r="D16" s="42">
        <f t="shared" si="3"/>
        <v>12581</v>
      </c>
      <c r="E16" s="43">
        <v>532.8</v>
      </c>
      <c r="F16" s="43">
        <v>6148.2</v>
      </c>
      <c r="G16" s="43">
        <v>2950</v>
      </c>
      <c r="H16" s="43">
        <v>2950</v>
      </c>
      <c r="I16" s="44">
        <f t="shared" si="4"/>
        <v>9631</v>
      </c>
      <c r="J16" s="43">
        <v>9971.1</v>
      </c>
      <c r="K16" s="44">
        <f t="shared" si="1"/>
        <v>103.53130516041948</v>
      </c>
      <c r="L16" s="44">
        <f t="shared" si="2"/>
        <v>79.25522613464749</v>
      </c>
    </row>
    <row r="17" spans="1:12" ht="12.75">
      <c r="A17" s="47" t="s">
        <v>48</v>
      </c>
      <c r="B17" s="47"/>
      <c r="C17" s="41" t="s">
        <v>49</v>
      </c>
      <c r="D17" s="42">
        <f t="shared" si="3"/>
        <v>28900</v>
      </c>
      <c r="E17" s="43">
        <v>5479.5</v>
      </c>
      <c r="F17" s="43">
        <v>9895.8</v>
      </c>
      <c r="G17" s="43">
        <v>6761.2</v>
      </c>
      <c r="H17" s="43">
        <v>6763.5</v>
      </c>
      <c r="I17" s="44">
        <f t="shared" si="4"/>
        <v>22136.5</v>
      </c>
      <c r="J17" s="43">
        <v>15317.8</v>
      </c>
      <c r="K17" s="44">
        <f t="shared" si="1"/>
        <v>69.19702753371129</v>
      </c>
      <c r="L17" s="44">
        <f t="shared" si="2"/>
        <v>53.002768166089965</v>
      </c>
    </row>
    <row r="18" spans="1:12" ht="12.75">
      <c r="A18" s="47" t="s">
        <v>18</v>
      </c>
      <c r="B18" s="47"/>
      <c r="C18" s="41" t="s">
        <v>15</v>
      </c>
      <c r="D18" s="42">
        <f t="shared" si="3"/>
        <v>12107</v>
      </c>
      <c r="E18" s="43">
        <v>1161</v>
      </c>
      <c r="F18" s="43">
        <v>3670.2</v>
      </c>
      <c r="G18" s="43">
        <v>3437.9</v>
      </c>
      <c r="H18" s="43">
        <v>3837.9</v>
      </c>
      <c r="I18" s="44">
        <f t="shared" si="4"/>
        <v>8269.1</v>
      </c>
      <c r="J18" s="43">
        <v>7890.5</v>
      </c>
      <c r="K18" s="44">
        <f t="shared" si="1"/>
        <v>95.42150899130498</v>
      </c>
      <c r="L18" s="44">
        <f t="shared" si="2"/>
        <v>65.1730403898571</v>
      </c>
    </row>
    <row r="19" spans="1:12" ht="12.75">
      <c r="A19" s="47" t="s">
        <v>71</v>
      </c>
      <c r="B19" s="47"/>
      <c r="C19" s="41" t="s">
        <v>72</v>
      </c>
      <c r="D19" s="42">
        <f t="shared" si="3"/>
        <v>7</v>
      </c>
      <c r="E19" s="43">
        <v>3.3</v>
      </c>
      <c r="F19" s="43">
        <v>0.7</v>
      </c>
      <c r="G19" s="43">
        <v>2</v>
      </c>
      <c r="H19" s="43">
        <v>1</v>
      </c>
      <c r="I19" s="44">
        <f t="shared" si="4"/>
        <v>6</v>
      </c>
      <c r="J19" s="43">
        <v>16.3</v>
      </c>
      <c r="K19" s="44">
        <f t="shared" si="1"/>
        <v>271.6666666666667</v>
      </c>
      <c r="L19" s="44">
        <f t="shared" si="2"/>
        <v>232.85714285714286</v>
      </c>
    </row>
    <row r="20" spans="1:12" ht="12.75">
      <c r="A20" s="27" t="s">
        <v>12</v>
      </c>
      <c r="B20" s="27"/>
      <c r="C20" s="41" t="s">
        <v>7</v>
      </c>
      <c r="D20" s="42">
        <f t="shared" si="3"/>
        <v>8046.999999999999</v>
      </c>
      <c r="E20" s="43">
        <v>5098.7</v>
      </c>
      <c r="F20" s="43">
        <v>809.9</v>
      </c>
      <c r="G20" s="43">
        <v>1070.6</v>
      </c>
      <c r="H20" s="43">
        <v>1067.8</v>
      </c>
      <c r="I20" s="44">
        <f t="shared" si="4"/>
        <v>6979.199999999999</v>
      </c>
      <c r="J20" s="43">
        <v>7555.2</v>
      </c>
      <c r="K20" s="44">
        <f t="shared" si="1"/>
        <v>108.2530949105915</v>
      </c>
      <c r="L20" s="44">
        <f t="shared" si="2"/>
        <v>93.88840561700013</v>
      </c>
    </row>
    <row r="21" spans="1:12" ht="12.75">
      <c r="A21" s="48" t="s">
        <v>45</v>
      </c>
      <c r="B21" s="49"/>
      <c r="C21" s="50" t="s">
        <v>46</v>
      </c>
      <c r="D21" s="42">
        <f t="shared" si="3"/>
        <v>0</v>
      </c>
      <c r="E21" s="43"/>
      <c r="F21" s="43"/>
      <c r="G21" s="43"/>
      <c r="H21" s="43"/>
      <c r="I21" s="44">
        <f t="shared" si="4"/>
        <v>0</v>
      </c>
      <c r="J21" s="43">
        <v>86.4</v>
      </c>
      <c r="K21" s="44"/>
      <c r="L21" s="44"/>
    </row>
    <row r="22" spans="1:12" ht="12.75" customHeight="1" hidden="1">
      <c r="A22" s="48" t="s">
        <v>69</v>
      </c>
      <c r="B22" s="49"/>
      <c r="C22" s="50" t="s">
        <v>70</v>
      </c>
      <c r="D22" s="42">
        <f t="shared" si="3"/>
        <v>0</v>
      </c>
      <c r="E22" s="43"/>
      <c r="F22" s="43"/>
      <c r="G22" s="43"/>
      <c r="H22" s="43"/>
      <c r="I22" s="44">
        <f>E22</f>
        <v>0</v>
      </c>
      <c r="J22" s="43"/>
      <c r="K22" s="44"/>
      <c r="L22" s="44"/>
    </row>
    <row r="23" spans="1:12" ht="12.75" customHeight="1" hidden="1">
      <c r="A23" s="48" t="s">
        <v>50</v>
      </c>
      <c r="B23" s="49"/>
      <c r="C23" s="50" t="s">
        <v>51</v>
      </c>
      <c r="D23" s="42">
        <f t="shared" si="3"/>
        <v>0</v>
      </c>
      <c r="E23" s="43"/>
      <c r="F23" s="43"/>
      <c r="G23" s="43"/>
      <c r="H23" s="43"/>
      <c r="I23" s="44">
        <f>E23</f>
        <v>0</v>
      </c>
      <c r="J23" s="43"/>
      <c r="K23" s="40"/>
      <c r="L23" s="40"/>
    </row>
    <row r="24" spans="1:12" ht="12.75">
      <c r="A24" s="38" t="s">
        <v>1</v>
      </c>
      <c r="B24" s="38"/>
      <c r="C24" s="51" t="s">
        <v>0</v>
      </c>
      <c r="D24" s="52">
        <f aca="true" t="shared" si="5" ref="D24:J24">D25+D26+D27</f>
        <v>2907295.8</v>
      </c>
      <c r="E24" s="52">
        <f t="shared" si="5"/>
        <v>780627.7</v>
      </c>
      <c r="F24" s="52">
        <f t="shared" si="5"/>
        <v>1054220.2</v>
      </c>
      <c r="G24" s="52">
        <f t="shared" si="5"/>
        <v>482509.4</v>
      </c>
      <c r="H24" s="52">
        <f t="shared" si="5"/>
        <v>589938.5</v>
      </c>
      <c r="I24" s="52">
        <f t="shared" si="5"/>
        <v>2317357.3</v>
      </c>
      <c r="J24" s="52">
        <f t="shared" si="5"/>
        <v>1972086.5</v>
      </c>
      <c r="K24" s="40">
        <f t="shared" si="1"/>
        <v>85.10066617694217</v>
      </c>
      <c r="L24" s="40">
        <f t="shared" si="2"/>
        <v>67.83233064898316</v>
      </c>
    </row>
    <row r="25" spans="1:12" ht="24">
      <c r="A25" s="36" t="s">
        <v>22</v>
      </c>
      <c r="B25" s="45"/>
      <c r="C25" s="53" t="s">
        <v>21</v>
      </c>
      <c r="D25" s="42">
        <f>E25+F25+G25+H25</f>
        <v>2872295.8</v>
      </c>
      <c r="E25" s="43">
        <v>774327.7</v>
      </c>
      <c r="F25" s="43">
        <f>1442138-401917.8</f>
        <v>1040220.2</v>
      </c>
      <c r="G25" s="43">
        <f>468429.7+8479.7</f>
        <v>476909.4</v>
      </c>
      <c r="H25" s="43">
        <v>580838.5</v>
      </c>
      <c r="I25" s="44">
        <f>E25+F25+G25</f>
        <v>2291457.3</v>
      </c>
      <c r="J25" s="43">
        <v>1950500.5</v>
      </c>
      <c r="K25" s="44">
        <f t="shared" si="1"/>
        <v>85.12052570213724</v>
      </c>
      <c r="L25" s="44">
        <f t="shared" si="2"/>
        <v>67.90736873270504</v>
      </c>
    </row>
    <row r="26" spans="1:12" ht="13.5" customHeight="1">
      <c r="A26" s="35" t="s">
        <v>2</v>
      </c>
      <c r="B26" s="35"/>
      <c r="C26" s="54" t="s">
        <v>19</v>
      </c>
      <c r="D26" s="42">
        <f>E26+F26+G26+H26</f>
        <v>35000</v>
      </c>
      <c r="E26" s="43">
        <v>6300</v>
      </c>
      <c r="F26" s="43">
        <v>14000</v>
      </c>
      <c r="G26" s="43">
        <v>5600</v>
      </c>
      <c r="H26" s="43">
        <v>9100</v>
      </c>
      <c r="I26" s="44">
        <f>E26+F26+G26</f>
        <v>25900</v>
      </c>
      <c r="J26" s="43">
        <v>22196</v>
      </c>
      <c r="K26" s="44">
        <f t="shared" si="1"/>
        <v>85.6988416988417</v>
      </c>
      <c r="L26" s="44">
        <f t="shared" si="2"/>
        <v>63.41714285714286</v>
      </c>
    </row>
    <row r="27" spans="1:12" ht="24">
      <c r="A27" s="35" t="s">
        <v>74</v>
      </c>
      <c r="B27" s="55"/>
      <c r="C27" s="56" t="s">
        <v>75</v>
      </c>
      <c r="D27" s="42"/>
      <c r="E27" s="43"/>
      <c r="F27" s="43"/>
      <c r="G27" s="43"/>
      <c r="H27" s="43"/>
      <c r="I27" s="44">
        <f>E27+F27+G27</f>
        <v>0</v>
      </c>
      <c r="J27" s="43">
        <v>-610</v>
      </c>
      <c r="K27" s="40"/>
      <c r="L27" s="40"/>
    </row>
    <row r="28" spans="1:12" ht="12.75">
      <c r="A28" s="27"/>
      <c r="B28" s="28"/>
      <c r="C28" s="29" t="s">
        <v>4</v>
      </c>
      <c r="D28" s="1">
        <f aca="true" t="shared" si="6" ref="D28:J28">D24+D9</f>
        <v>3564423.8</v>
      </c>
      <c r="E28" s="1">
        <f t="shared" si="6"/>
        <v>936116.3999999999</v>
      </c>
      <c r="F28" s="1">
        <f t="shared" si="6"/>
        <v>1227385</v>
      </c>
      <c r="G28" s="1">
        <f t="shared" si="6"/>
        <v>639623.6000000001</v>
      </c>
      <c r="H28" s="1">
        <f t="shared" si="6"/>
        <v>761298.7999999999</v>
      </c>
      <c r="I28" s="1">
        <f t="shared" si="6"/>
        <v>2803125</v>
      </c>
      <c r="J28" s="1">
        <f t="shared" si="6"/>
        <v>2422809.2</v>
      </c>
      <c r="K28" s="40">
        <f t="shared" si="1"/>
        <v>86.43243522853959</v>
      </c>
      <c r="L28" s="40">
        <f t="shared" si="2"/>
        <v>67.97197347857458</v>
      </c>
    </row>
    <row r="29" spans="1:12" ht="12.7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ht="12.75">
      <c r="A30" s="141" t="s">
        <v>29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</row>
    <row r="31" spans="1:12" ht="12.75">
      <c r="A31" s="57" t="s">
        <v>3</v>
      </c>
      <c r="B31" s="57"/>
      <c r="C31" s="39" t="s">
        <v>77</v>
      </c>
      <c r="D31" s="58">
        <f>D32+D33+D35+D36+D34</f>
        <v>12692.6</v>
      </c>
      <c r="E31" s="58">
        <f>E32+E33+E34+E35+E36+E37</f>
        <v>2880.3</v>
      </c>
      <c r="F31" s="58">
        <f>F32+F33+F34+F35+F36+F37</f>
        <v>2896.2000000000003</v>
      </c>
      <c r="G31" s="58">
        <f>G32+G33+G34+G35+G36+G37</f>
        <v>3530.1</v>
      </c>
      <c r="H31" s="58">
        <f>H32+H33+H34+H35+H36+H37</f>
        <v>3386</v>
      </c>
      <c r="I31" s="58">
        <f>I32+I33+I34+I35+I36+I37</f>
        <v>9306.6</v>
      </c>
      <c r="J31" s="58">
        <f>J32+J33+J35+J36+J34+J37</f>
        <v>9813.7</v>
      </c>
      <c r="K31" s="40">
        <f>J31/I31*100</f>
        <v>105.44882126662797</v>
      </c>
      <c r="L31" s="40">
        <f>J31/D31*100</f>
        <v>77.31827994264376</v>
      </c>
    </row>
    <row r="32" spans="1:12" ht="12.75">
      <c r="A32" s="45" t="s">
        <v>27</v>
      </c>
      <c r="B32" s="45"/>
      <c r="C32" s="59" t="s">
        <v>26</v>
      </c>
      <c r="D32" s="42">
        <f aca="true" t="shared" si="7" ref="D32:D39">E32+F32+G32+H32</f>
        <v>9663.1</v>
      </c>
      <c r="E32" s="43">
        <v>2466.3</v>
      </c>
      <c r="F32" s="60">
        <v>2304.8</v>
      </c>
      <c r="G32" s="60">
        <v>2441.5</v>
      </c>
      <c r="H32" s="60">
        <v>2450.5</v>
      </c>
      <c r="I32" s="44">
        <f aca="true" t="shared" si="8" ref="I32:I39">E32+F32+G32</f>
        <v>7212.6</v>
      </c>
      <c r="J32" s="60">
        <v>7916.1</v>
      </c>
      <c r="K32" s="44">
        <f aca="true" t="shared" si="9" ref="K32:K40">J32/I32*100</f>
        <v>109.753764245903</v>
      </c>
      <c r="L32" s="44">
        <f aca="true" t="shared" si="10" ref="L32:L40">J32/D32*100</f>
        <v>81.92091564818743</v>
      </c>
    </row>
    <row r="33" spans="1:12" ht="12.75">
      <c r="A33" s="45" t="s">
        <v>9</v>
      </c>
      <c r="B33" s="45"/>
      <c r="C33" s="41" t="s">
        <v>6</v>
      </c>
      <c r="D33" s="42">
        <f t="shared" si="7"/>
        <v>1527</v>
      </c>
      <c r="E33" s="43">
        <v>242</v>
      </c>
      <c r="F33" s="43">
        <v>392</v>
      </c>
      <c r="G33" s="43">
        <v>478</v>
      </c>
      <c r="H33" s="60">
        <v>415</v>
      </c>
      <c r="I33" s="44">
        <f t="shared" si="8"/>
        <v>1112</v>
      </c>
      <c r="J33" s="43">
        <v>360.8</v>
      </c>
      <c r="K33" s="44">
        <f t="shared" si="9"/>
        <v>32.44604316546763</v>
      </c>
      <c r="L33" s="44">
        <f t="shared" si="10"/>
        <v>23.628028814669285</v>
      </c>
    </row>
    <row r="34" spans="1:12" ht="12.75">
      <c r="A34" s="45" t="s">
        <v>10</v>
      </c>
      <c r="B34" s="45"/>
      <c r="C34" s="41" t="s">
        <v>23</v>
      </c>
      <c r="D34" s="42">
        <f t="shared" si="7"/>
        <v>22</v>
      </c>
      <c r="E34" s="43">
        <v>4</v>
      </c>
      <c r="F34" s="43">
        <v>8</v>
      </c>
      <c r="G34" s="43">
        <v>5</v>
      </c>
      <c r="H34" s="60">
        <v>5</v>
      </c>
      <c r="I34" s="44">
        <f t="shared" si="8"/>
        <v>17</v>
      </c>
      <c r="J34" s="43">
        <v>14.2</v>
      </c>
      <c r="K34" s="44">
        <f t="shared" si="9"/>
        <v>83.52941176470587</v>
      </c>
      <c r="L34" s="44">
        <f t="shared" si="10"/>
        <v>64.54545454545453</v>
      </c>
    </row>
    <row r="35" spans="1:12" ht="24">
      <c r="A35" s="34" t="s">
        <v>11</v>
      </c>
      <c r="B35" s="34"/>
      <c r="C35" s="41" t="s">
        <v>17</v>
      </c>
      <c r="D35" s="42">
        <f t="shared" si="7"/>
        <v>1452.5</v>
      </c>
      <c r="E35" s="43">
        <v>146</v>
      </c>
      <c r="F35" s="43">
        <v>185.4</v>
      </c>
      <c r="G35" s="43">
        <v>605.6</v>
      </c>
      <c r="H35" s="60">
        <v>515.5</v>
      </c>
      <c r="I35" s="44">
        <f t="shared" si="8"/>
        <v>937</v>
      </c>
      <c r="J35" s="43">
        <v>1493.4</v>
      </c>
      <c r="K35" s="44">
        <f>J35/I35*100</f>
        <v>159.38100320170759</v>
      </c>
      <c r="L35" s="44">
        <f t="shared" si="10"/>
        <v>102.815834767642</v>
      </c>
    </row>
    <row r="36" spans="1:12" ht="12.75">
      <c r="A36" s="46" t="s">
        <v>18</v>
      </c>
      <c r="B36" s="46"/>
      <c r="C36" s="41" t="s">
        <v>15</v>
      </c>
      <c r="D36" s="42">
        <f t="shared" si="7"/>
        <v>28</v>
      </c>
      <c r="E36" s="43">
        <v>22</v>
      </c>
      <c r="F36" s="43">
        <v>6</v>
      </c>
      <c r="G36" s="43"/>
      <c r="H36" s="60"/>
      <c r="I36" s="44">
        <f t="shared" si="8"/>
        <v>28</v>
      </c>
      <c r="J36" s="43">
        <v>29.2</v>
      </c>
      <c r="K36" s="44">
        <f>J36/I36*100</f>
        <v>104.28571428571429</v>
      </c>
      <c r="L36" s="44">
        <f t="shared" si="10"/>
        <v>104.28571428571429</v>
      </c>
    </row>
    <row r="37" spans="1:12" ht="12.75">
      <c r="A37" s="48" t="s">
        <v>45</v>
      </c>
      <c r="B37" s="49"/>
      <c r="C37" s="50" t="s">
        <v>46</v>
      </c>
      <c r="D37" s="42">
        <f t="shared" si="7"/>
        <v>0</v>
      </c>
      <c r="E37" s="43"/>
      <c r="F37" s="43"/>
      <c r="G37" s="43"/>
      <c r="H37" s="43"/>
      <c r="I37" s="44">
        <f t="shared" si="8"/>
        <v>0</v>
      </c>
      <c r="J37" s="43"/>
      <c r="K37" s="44"/>
      <c r="L37" s="44"/>
    </row>
    <row r="38" spans="1:12" ht="12.75">
      <c r="A38" s="38" t="s">
        <v>1</v>
      </c>
      <c r="B38" s="38"/>
      <c r="C38" s="51" t="s">
        <v>0</v>
      </c>
      <c r="D38" s="52">
        <f aca="true" t="shared" si="11" ref="D38:J38">D39</f>
        <v>8893.800000000001</v>
      </c>
      <c r="E38" s="52">
        <f t="shared" si="11"/>
        <v>2139.9</v>
      </c>
      <c r="F38" s="52">
        <f t="shared" si="11"/>
        <v>3484.2</v>
      </c>
      <c r="G38" s="52">
        <f t="shared" si="11"/>
        <v>1674.1</v>
      </c>
      <c r="H38" s="52">
        <f t="shared" si="11"/>
        <v>1595.6</v>
      </c>
      <c r="I38" s="52">
        <f t="shared" si="11"/>
        <v>7298.200000000001</v>
      </c>
      <c r="J38" s="52">
        <f t="shared" si="11"/>
        <v>8020.1</v>
      </c>
      <c r="K38" s="40">
        <f>J38/I38*100</f>
        <v>109.89148009098133</v>
      </c>
      <c r="L38" s="40">
        <f>J38/D38*100</f>
        <v>90.17630259281746</v>
      </c>
    </row>
    <row r="39" spans="1:12" ht="24">
      <c r="A39" s="36" t="s">
        <v>22</v>
      </c>
      <c r="B39" s="45"/>
      <c r="C39" s="53" t="s">
        <v>21</v>
      </c>
      <c r="D39" s="42">
        <f t="shared" si="7"/>
        <v>8893.800000000001</v>
      </c>
      <c r="E39" s="61">
        <v>2139.9</v>
      </c>
      <c r="F39" s="43">
        <v>3484.2</v>
      </c>
      <c r="G39" s="43">
        <f>1651.1+23</f>
        <v>1674.1</v>
      </c>
      <c r="H39" s="43">
        <v>1595.6</v>
      </c>
      <c r="I39" s="44">
        <f t="shared" si="8"/>
        <v>7298.200000000001</v>
      </c>
      <c r="J39" s="43">
        <v>8020.1</v>
      </c>
      <c r="K39" s="44">
        <f>J39/I39*100</f>
        <v>109.89148009098133</v>
      </c>
      <c r="L39" s="44">
        <f>J39/D39*100</f>
        <v>90.17630259281746</v>
      </c>
    </row>
    <row r="40" spans="1:12" ht="12.75">
      <c r="A40" s="27"/>
      <c r="B40" s="28"/>
      <c r="C40" s="29" t="s">
        <v>4</v>
      </c>
      <c r="D40" s="1">
        <f aca="true" t="shared" si="12" ref="D40:J40">D38+D31</f>
        <v>21586.4</v>
      </c>
      <c r="E40" s="1">
        <f>E38+E31</f>
        <v>5020.200000000001</v>
      </c>
      <c r="F40" s="1">
        <f>F38+F31</f>
        <v>6380.4</v>
      </c>
      <c r="G40" s="1">
        <f t="shared" si="12"/>
        <v>5204.2</v>
      </c>
      <c r="H40" s="1">
        <f>H38+H31</f>
        <v>4981.6</v>
      </c>
      <c r="I40" s="1">
        <f>I38+I31</f>
        <v>16604.800000000003</v>
      </c>
      <c r="J40" s="1">
        <f t="shared" si="12"/>
        <v>17833.800000000003</v>
      </c>
      <c r="K40" s="40">
        <f t="shared" si="9"/>
        <v>107.40147427249951</v>
      </c>
      <c r="L40" s="40">
        <f t="shared" si="10"/>
        <v>82.61590631138125</v>
      </c>
    </row>
    <row r="41" spans="1:12" ht="12.75">
      <c r="A41" s="62"/>
      <c r="B41" s="63"/>
      <c r="C41" s="151"/>
      <c r="D41" s="151"/>
      <c r="E41" s="151"/>
      <c r="F41" s="151"/>
      <c r="G41" s="151"/>
      <c r="H41" s="151"/>
      <c r="I41" s="151"/>
      <c r="J41" s="151"/>
      <c r="K41" s="151"/>
      <c r="L41" s="152"/>
    </row>
    <row r="42" spans="1:12" ht="12.75">
      <c r="A42" s="141" t="s">
        <v>30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3"/>
    </row>
    <row r="43" spans="1:12" ht="12.75">
      <c r="A43" s="38" t="s">
        <v>3</v>
      </c>
      <c r="B43" s="38"/>
      <c r="C43" s="39" t="s">
        <v>77</v>
      </c>
      <c r="D43" s="40">
        <f>D44+D46+D48+D49+D50+D51+D47+D45</f>
        <v>9532</v>
      </c>
      <c r="E43" s="40">
        <f aca="true" t="shared" si="13" ref="E43:J43">E44+E46+E48+E49+E50+E51+E47+E45</f>
        <v>2253</v>
      </c>
      <c r="F43" s="40">
        <f t="shared" si="13"/>
        <v>2482.5</v>
      </c>
      <c r="G43" s="40">
        <f t="shared" si="13"/>
        <v>2377</v>
      </c>
      <c r="H43" s="40">
        <f t="shared" si="13"/>
        <v>2419.5</v>
      </c>
      <c r="I43" s="40">
        <f t="shared" si="13"/>
        <v>7112.5</v>
      </c>
      <c r="J43" s="40">
        <f t="shared" si="13"/>
        <v>8065.099999999999</v>
      </c>
      <c r="K43" s="40">
        <f>J43/I43*100</f>
        <v>113.3933216168717</v>
      </c>
      <c r="L43" s="40">
        <f>J43/D43*100</f>
        <v>84.61078472513638</v>
      </c>
    </row>
    <row r="44" spans="1:12" ht="12.75">
      <c r="A44" s="27" t="s">
        <v>27</v>
      </c>
      <c r="B44" s="45"/>
      <c r="C44" s="59" t="s">
        <v>26</v>
      </c>
      <c r="D44" s="42">
        <f aca="true" t="shared" si="14" ref="D44:D53">E44+F44+G44+H44</f>
        <v>6769.4</v>
      </c>
      <c r="E44" s="43">
        <v>1602</v>
      </c>
      <c r="F44" s="60">
        <v>1798.9</v>
      </c>
      <c r="G44" s="60">
        <v>1683</v>
      </c>
      <c r="H44" s="60">
        <v>1685.5</v>
      </c>
      <c r="I44" s="44">
        <f aca="true" t="shared" si="15" ref="I44:I53">E44+F44+G44</f>
        <v>5083.9</v>
      </c>
      <c r="J44" s="60">
        <v>6570.9</v>
      </c>
      <c r="K44" s="44">
        <f aca="true" t="shared" si="16" ref="K44:K54">J44/I44*100</f>
        <v>129.24919845000886</v>
      </c>
      <c r="L44" s="44">
        <f aca="true" t="shared" si="17" ref="L44:L54">J44/D44*100</f>
        <v>97.06768694419003</v>
      </c>
    </row>
    <row r="45" spans="1:12" ht="12.75">
      <c r="A45" s="45" t="s">
        <v>8</v>
      </c>
      <c r="B45" s="45"/>
      <c r="C45" s="41" t="s">
        <v>5</v>
      </c>
      <c r="D45" s="42">
        <f t="shared" si="14"/>
        <v>5.6</v>
      </c>
      <c r="E45" s="43"/>
      <c r="F45" s="60">
        <v>5.6</v>
      </c>
      <c r="G45" s="60"/>
      <c r="H45" s="60"/>
      <c r="I45" s="44">
        <f t="shared" si="15"/>
        <v>5.6</v>
      </c>
      <c r="J45" s="60">
        <v>5.5</v>
      </c>
      <c r="K45" s="44">
        <f t="shared" si="16"/>
        <v>98.21428571428572</v>
      </c>
      <c r="L45" s="44">
        <f t="shared" si="17"/>
        <v>98.21428571428572</v>
      </c>
    </row>
    <row r="46" spans="1:12" ht="12.75" customHeight="1" hidden="1">
      <c r="A46" s="45" t="s">
        <v>9</v>
      </c>
      <c r="B46" s="45"/>
      <c r="C46" s="41" t="s">
        <v>6</v>
      </c>
      <c r="D46" s="42">
        <f t="shared" si="14"/>
        <v>2288</v>
      </c>
      <c r="E46" s="43">
        <v>561</v>
      </c>
      <c r="F46" s="43">
        <v>519</v>
      </c>
      <c r="G46" s="43">
        <v>594</v>
      </c>
      <c r="H46" s="60">
        <v>614</v>
      </c>
      <c r="I46" s="44">
        <f t="shared" si="15"/>
        <v>1674</v>
      </c>
      <c r="J46" s="43">
        <v>1338</v>
      </c>
      <c r="K46" s="44">
        <f t="shared" si="16"/>
        <v>79.92831541218638</v>
      </c>
      <c r="L46" s="44">
        <f t="shared" si="17"/>
        <v>58.47902097902098</v>
      </c>
    </row>
    <row r="47" spans="1:12" ht="12.75">
      <c r="A47" s="45" t="s">
        <v>10</v>
      </c>
      <c r="B47" s="45"/>
      <c r="C47" s="41" t="s">
        <v>23</v>
      </c>
      <c r="D47" s="42">
        <f t="shared" si="14"/>
        <v>0</v>
      </c>
      <c r="E47" s="43"/>
      <c r="F47" s="43"/>
      <c r="G47" s="43"/>
      <c r="H47" s="60"/>
      <c r="I47" s="44">
        <f t="shared" si="15"/>
        <v>0</v>
      </c>
      <c r="J47" s="43"/>
      <c r="K47" s="44"/>
      <c r="L47" s="44"/>
    </row>
    <row r="48" spans="1:12" ht="24">
      <c r="A48" s="34" t="s">
        <v>11</v>
      </c>
      <c r="B48" s="34"/>
      <c r="C48" s="41" t="s">
        <v>17</v>
      </c>
      <c r="D48" s="42">
        <f t="shared" si="14"/>
        <v>377</v>
      </c>
      <c r="E48" s="43">
        <v>90</v>
      </c>
      <c r="F48" s="43">
        <v>67</v>
      </c>
      <c r="G48" s="43">
        <v>100</v>
      </c>
      <c r="H48" s="60">
        <v>120</v>
      </c>
      <c r="I48" s="44">
        <f t="shared" si="15"/>
        <v>257</v>
      </c>
      <c r="J48" s="43">
        <v>39.6</v>
      </c>
      <c r="K48" s="44">
        <f t="shared" si="16"/>
        <v>15.408560311284047</v>
      </c>
      <c r="L48" s="44">
        <f t="shared" si="17"/>
        <v>10.503978779840848</v>
      </c>
    </row>
    <row r="49" spans="1:12" ht="12.75" customHeight="1" hidden="1">
      <c r="A49" s="47" t="s">
        <v>18</v>
      </c>
      <c r="B49" s="47"/>
      <c r="C49" s="41" t="s">
        <v>15</v>
      </c>
      <c r="D49" s="42">
        <f t="shared" si="14"/>
        <v>75</v>
      </c>
      <c r="E49" s="43"/>
      <c r="F49" s="43">
        <v>75</v>
      </c>
      <c r="G49" s="43"/>
      <c r="H49" s="60"/>
      <c r="I49" s="44">
        <f t="shared" si="15"/>
        <v>75</v>
      </c>
      <c r="J49" s="43">
        <v>87.4</v>
      </c>
      <c r="K49" s="44">
        <f t="shared" si="16"/>
        <v>116.53333333333333</v>
      </c>
      <c r="L49" s="44">
        <f t="shared" si="17"/>
        <v>116.53333333333333</v>
      </c>
    </row>
    <row r="50" spans="1:12" ht="12.75">
      <c r="A50" s="27" t="s">
        <v>12</v>
      </c>
      <c r="B50" s="27"/>
      <c r="C50" s="41" t="s">
        <v>7</v>
      </c>
      <c r="D50" s="42">
        <f t="shared" si="14"/>
        <v>17</v>
      </c>
      <c r="E50" s="43"/>
      <c r="F50" s="43">
        <v>17</v>
      </c>
      <c r="G50" s="43"/>
      <c r="H50" s="60"/>
      <c r="I50" s="44">
        <f t="shared" si="15"/>
        <v>17</v>
      </c>
      <c r="J50" s="43">
        <v>17</v>
      </c>
      <c r="K50" s="44">
        <f t="shared" si="16"/>
        <v>100</v>
      </c>
      <c r="L50" s="44">
        <f t="shared" si="17"/>
        <v>100</v>
      </c>
    </row>
    <row r="51" spans="1:12" ht="12.75">
      <c r="A51" s="64" t="s">
        <v>45</v>
      </c>
      <c r="B51" s="49"/>
      <c r="C51" s="50" t="s">
        <v>46</v>
      </c>
      <c r="D51" s="42">
        <f t="shared" si="14"/>
        <v>0</v>
      </c>
      <c r="E51" s="43"/>
      <c r="F51" s="43"/>
      <c r="G51" s="43"/>
      <c r="H51" s="60"/>
      <c r="I51" s="44">
        <f t="shared" si="15"/>
        <v>0</v>
      </c>
      <c r="J51" s="43">
        <v>6.7</v>
      </c>
      <c r="K51" s="40"/>
      <c r="L51" s="40"/>
    </row>
    <row r="52" spans="1:12" ht="12.75">
      <c r="A52" s="57" t="s">
        <v>1</v>
      </c>
      <c r="B52" s="57"/>
      <c r="C52" s="51" t="s">
        <v>0</v>
      </c>
      <c r="D52" s="52">
        <f aca="true" t="shared" si="18" ref="D52:J52">D53</f>
        <v>53631</v>
      </c>
      <c r="E52" s="52">
        <f t="shared" si="18"/>
        <v>27988.2</v>
      </c>
      <c r="F52" s="52">
        <f t="shared" si="18"/>
        <v>15577.4</v>
      </c>
      <c r="G52" s="52">
        <f t="shared" si="18"/>
        <v>5268.6</v>
      </c>
      <c r="H52" s="52">
        <f t="shared" si="18"/>
        <v>4796.8</v>
      </c>
      <c r="I52" s="52">
        <f t="shared" si="18"/>
        <v>48834.2</v>
      </c>
      <c r="J52" s="52">
        <f t="shared" si="18"/>
        <v>42606.4</v>
      </c>
      <c r="K52" s="40">
        <f t="shared" si="16"/>
        <v>87.24705227074469</v>
      </c>
      <c r="L52" s="40">
        <f t="shared" si="17"/>
        <v>79.4436053774869</v>
      </c>
    </row>
    <row r="53" spans="1:12" ht="24">
      <c r="A53" s="36" t="s">
        <v>22</v>
      </c>
      <c r="B53" s="45"/>
      <c r="C53" s="53" t="s">
        <v>21</v>
      </c>
      <c r="D53" s="42">
        <f t="shared" si="14"/>
        <v>53631</v>
      </c>
      <c r="E53" s="43">
        <v>27988.2</v>
      </c>
      <c r="F53" s="43">
        <v>15577.4</v>
      </c>
      <c r="G53" s="43">
        <f>4908.3+360.3</f>
        <v>5268.6</v>
      </c>
      <c r="H53" s="43">
        <v>4796.8</v>
      </c>
      <c r="I53" s="44">
        <f t="shared" si="15"/>
        <v>48834.2</v>
      </c>
      <c r="J53" s="43">
        <v>42606.4</v>
      </c>
      <c r="K53" s="44">
        <f t="shared" si="16"/>
        <v>87.24705227074469</v>
      </c>
      <c r="L53" s="44">
        <f t="shared" si="17"/>
        <v>79.4436053774869</v>
      </c>
    </row>
    <row r="54" spans="1:12" ht="12.75">
      <c r="A54" s="34"/>
      <c r="B54" s="65"/>
      <c r="C54" s="66" t="s">
        <v>4</v>
      </c>
      <c r="D54" s="67">
        <f aca="true" t="shared" si="19" ref="D54:J54">D52+D43</f>
        <v>63163</v>
      </c>
      <c r="E54" s="67">
        <f t="shared" si="19"/>
        <v>30241.2</v>
      </c>
      <c r="F54" s="67">
        <f t="shared" si="19"/>
        <v>18059.9</v>
      </c>
      <c r="G54" s="67">
        <f t="shared" si="19"/>
        <v>7645.6</v>
      </c>
      <c r="H54" s="67">
        <f t="shared" si="19"/>
        <v>7216.3</v>
      </c>
      <c r="I54" s="67">
        <f t="shared" si="19"/>
        <v>55946.7</v>
      </c>
      <c r="J54" s="1">
        <f t="shared" si="19"/>
        <v>50671.5</v>
      </c>
      <c r="K54" s="40">
        <f t="shared" si="16"/>
        <v>90.57102563690084</v>
      </c>
      <c r="L54" s="40">
        <f t="shared" si="17"/>
        <v>80.22339027595268</v>
      </c>
    </row>
    <row r="55" spans="1:12" ht="12.75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2" ht="12.75">
      <c r="A56" s="141" t="s">
        <v>31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2" ht="12.75">
      <c r="A57" s="38" t="s">
        <v>3</v>
      </c>
      <c r="B57" s="38"/>
      <c r="C57" s="39" t="s">
        <v>77</v>
      </c>
      <c r="D57" s="40">
        <f>D58+D60+D62+D63+D61+D65+D64+D59</f>
        <v>32953</v>
      </c>
      <c r="E57" s="40">
        <f aca="true" t="shared" si="20" ref="E57:J57">E58+E60+E62+E63+E61+E65+E64+E59</f>
        <v>5989.7</v>
      </c>
      <c r="F57" s="40">
        <f t="shared" si="20"/>
        <v>8316.5</v>
      </c>
      <c r="G57" s="40">
        <f t="shared" si="20"/>
        <v>11105.5</v>
      </c>
      <c r="H57" s="40">
        <f t="shared" si="20"/>
        <v>7541.3</v>
      </c>
      <c r="I57" s="40">
        <f t="shared" si="20"/>
        <v>25411.7</v>
      </c>
      <c r="J57" s="40">
        <f t="shared" si="20"/>
        <v>20109.2</v>
      </c>
      <c r="K57" s="40">
        <f>J57/I57*100</f>
        <v>79.13362742358835</v>
      </c>
      <c r="L57" s="40">
        <f>J57/D57*100</f>
        <v>61.02388249931722</v>
      </c>
    </row>
    <row r="58" spans="1:12" ht="12.75">
      <c r="A58" s="27" t="s">
        <v>27</v>
      </c>
      <c r="B58" s="27"/>
      <c r="C58" s="41" t="s">
        <v>26</v>
      </c>
      <c r="D58" s="42">
        <f>E58+F58+G58+H58</f>
        <v>17043</v>
      </c>
      <c r="E58" s="43">
        <f>3423.7</f>
        <v>3423.7</v>
      </c>
      <c r="F58" s="43">
        <f>4134+22.5</f>
        <v>4156.5</v>
      </c>
      <c r="G58" s="43">
        <f>5237.5+3</f>
        <v>5240.5</v>
      </c>
      <c r="H58" s="43">
        <f>4220.8+1.5</f>
        <v>4222.3</v>
      </c>
      <c r="I58" s="44">
        <f aca="true" t="shared" si="21" ref="I58:I68">E58+F58+G58</f>
        <v>12820.7</v>
      </c>
      <c r="J58" s="43">
        <v>9317.5</v>
      </c>
      <c r="K58" s="44">
        <f aca="true" t="shared" si="22" ref="K58:K69">J58/I58*100</f>
        <v>72.6754389385915</v>
      </c>
      <c r="L58" s="44">
        <f aca="true" t="shared" si="23" ref="L58:L69">J58/D58*100</f>
        <v>54.67053922431497</v>
      </c>
    </row>
    <row r="59" spans="1:12" ht="12.75" customHeight="1" hidden="1">
      <c r="A59" s="45" t="s">
        <v>8</v>
      </c>
      <c r="B59" s="45"/>
      <c r="C59" s="41" t="s">
        <v>5</v>
      </c>
      <c r="D59" s="42">
        <f aca="true" t="shared" si="24" ref="D59:D67">E59+F59+G59+H59</f>
        <v>0</v>
      </c>
      <c r="E59" s="43"/>
      <c r="F59" s="43"/>
      <c r="G59" s="43"/>
      <c r="H59" s="43"/>
      <c r="I59" s="44">
        <f t="shared" si="21"/>
        <v>0</v>
      </c>
      <c r="J59" s="43">
        <v>7.2</v>
      </c>
      <c r="K59" s="44"/>
      <c r="L59" s="44"/>
    </row>
    <row r="60" spans="1:12" ht="12.75">
      <c r="A60" s="45" t="s">
        <v>9</v>
      </c>
      <c r="B60" s="45"/>
      <c r="C60" s="41" t="s">
        <v>6</v>
      </c>
      <c r="D60" s="42">
        <f t="shared" si="24"/>
        <v>6100</v>
      </c>
      <c r="E60" s="43">
        <f>400</f>
        <v>400</v>
      </c>
      <c r="F60" s="43">
        <f>100+500+1000</f>
        <v>1600</v>
      </c>
      <c r="G60" s="43">
        <f>300+1355+450+900</f>
        <v>3005</v>
      </c>
      <c r="H60" s="43">
        <f>500+145+450</f>
        <v>1095</v>
      </c>
      <c r="I60" s="44">
        <f t="shared" si="21"/>
        <v>5005</v>
      </c>
      <c r="J60" s="43">
        <v>5437.5</v>
      </c>
      <c r="K60" s="44">
        <f t="shared" si="22"/>
        <v>108.64135864135864</v>
      </c>
      <c r="L60" s="44">
        <f t="shared" si="23"/>
        <v>89.13934426229508</v>
      </c>
    </row>
    <row r="61" spans="1:12" ht="12.75">
      <c r="A61" s="45" t="s">
        <v>10</v>
      </c>
      <c r="B61" s="45"/>
      <c r="C61" s="41" t="s">
        <v>23</v>
      </c>
      <c r="D61" s="42">
        <f t="shared" si="24"/>
        <v>0</v>
      </c>
      <c r="E61" s="43"/>
      <c r="F61" s="43"/>
      <c r="G61" s="43"/>
      <c r="H61" s="43"/>
      <c r="I61" s="44">
        <f t="shared" si="21"/>
        <v>0</v>
      </c>
      <c r="J61" s="43"/>
      <c r="K61" s="44"/>
      <c r="L61" s="44"/>
    </row>
    <row r="62" spans="1:12" ht="12.75" customHeight="1">
      <c r="A62" s="34" t="s">
        <v>11</v>
      </c>
      <c r="B62" s="34"/>
      <c r="C62" s="41" t="s">
        <v>17</v>
      </c>
      <c r="D62" s="42">
        <f t="shared" si="24"/>
        <v>8903</v>
      </c>
      <c r="E62" s="43">
        <f>2150+9</f>
        <v>2159</v>
      </c>
      <c r="F62" s="43">
        <f>2250+10</f>
        <v>2260</v>
      </c>
      <c r="G62" s="43">
        <f>2250+10</f>
        <v>2260</v>
      </c>
      <c r="H62" s="43">
        <f>2215+9</f>
        <v>2224</v>
      </c>
      <c r="I62" s="44">
        <f t="shared" si="21"/>
        <v>6679</v>
      </c>
      <c r="J62" s="43">
        <v>4399.1</v>
      </c>
      <c r="K62" s="44">
        <f t="shared" si="22"/>
        <v>65.864650396766</v>
      </c>
      <c r="L62" s="44">
        <f t="shared" si="23"/>
        <v>49.4114343479726</v>
      </c>
    </row>
    <row r="63" spans="1:12" ht="12.75">
      <c r="A63" s="46" t="s">
        <v>18</v>
      </c>
      <c r="B63" s="46"/>
      <c r="C63" s="41" t="s">
        <v>15</v>
      </c>
      <c r="D63" s="42">
        <f t="shared" si="24"/>
        <v>907</v>
      </c>
      <c r="E63" s="43">
        <f>7</f>
        <v>7</v>
      </c>
      <c r="F63" s="43">
        <v>300</v>
      </c>
      <c r="G63" s="43">
        <v>600</v>
      </c>
      <c r="H63" s="43"/>
      <c r="I63" s="44">
        <f t="shared" si="21"/>
        <v>907</v>
      </c>
      <c r="J63" s="43">
        <v>877.2</v>
      </c>
      <c r="K63" s="44">
        <f t="shared" si="22"/>
        <v>96.71444321940463</v>
      </c>
      <c r="L63" s="44">
        <f t="shared" si="23"/>
        <v>96.71444321940463</v>
      </c>
    </row>
    <row r="64" spans="1:12" ht="12.75">
      <c r="A64" s="27" t="s">
        <v>12</v>
      </c>
      <c r="B64" s="27"/>
      <c r="C64" s="41" t="s">
        <v>7</v>
      </c>
      <c r="D64" s="42">
        <f t="shared" si="24"/>
        <v>0</v>
      </c>
      <c r="E64" s="43"/>
      <c r="F64" s="43"/>
      <c r="G64" s="43"/>
      <c r="H64" s="43"/>
      <c r="I64" s="44">
        <f t="shared" si="21"/>
        <v>0</v>
      </c>
      <c r="J64" s="43">
        <v>60.5</v>
      </c>
      <c r="K64" s="44"/>
      <c r="L64" s="44"/>
    </row>
    <row r="65" spans="1:12" ht="12.75">
      <c r="A65" s="48" t="s">
        <v>45</v>
      </c>
      <c r="B65" s="49"/>
      <c r="C65" s="50" t="s">
        <v>46</v>
      </c>
      <c r="D65" s="42">
        <f t="shared" si="24"/>
        <v>0</v>
      </c>
      <c r="E65" s="43"/>
      <c r="F65" s="43"/>
      <c r="G65" s="43"/>
      <c r="H65" s="43"/>
      <c r="I65" s="44">
        <f t="shared" si="21"/>
        <v>0</v>
      </c>
      <c r="J65" s="43">
        <v>10.2</v>
      </c>
      <c r="K65" s="44"/>
      <c r="L65" s="44"/>
    </row>
    <row r="66" spans="1:12" ht="12.75">
      <c r="A66" s="38" t="s">
        <v>1</v>
      </c>
      <c r="B66" s="38"/>
      <c r="C66" s="51" t="s">
        <v>0</v>
      </c>
      <c r="D66" s="52">
        <f>D67+D68</f>
        <v>49675.2</v>
      </c>
      <c r="E66" s="52">
        <f aca="true" t="shared" si="25" ref="E66:J66">E67+E68</f>
        <v>19486.3</v>
      </c>
      <c r="F66" s="52">
        <f t="shared" si="25"/>
        <v>15978.1</v>
      </c>
      <c r="G66" s="52">
        <f t="shared" si="25"/>
        <v>7202.7</v>
      </c>
      <c r="H66" s="52">
        <f t="shared" si="25"/>
        <v>7008.1</v>
      </c>
      <c r="I66" s="52">
        <f t="shared" si="25"/>
        <v>42667.1</v>
      </c>
      <c r="J66" s="52">
        <f t="shared" si="25"/>
        <v>32266.3</v>
      </c>
      <c r="K66" s="40">
        <f t="shared" si="22"/>
        <v>75.62337257512229</v>
      </c>
      <c r="L66" s="40">
        <f t="shared" si="23"/>
        <v>64.95454472251747</v>
      </c>
    </row>
    <row r="67" spans="1:12" ht="24">
      <c r="A67" s="36" t="s">
        <v>22</v>
      </c>
      <c r="B67" s="45"/>
      <c r="C67" s="53" t="s">
        <v>21</v>
      </c>
      <c r="D67" s="42">
        <f t="shared" si="24"/>
        <v>49625.2</v>
      </c>
      <c r="E67" s="43">
        <v>19486.3</v>
      </c>
      <c r="F67" s="43">
        <v>15928.1</v>
      </c>
      <c r="G67" s="43">
        <f>7004.6+180.2+17.9</f>
        <v>7202.7</v>
      </c>
      <c r="H67" s="43">
        <v>7008.1</v>
      </c>
      <c r="I67" s="44">
        <f t="shared" si="21"/>
        <v>42617.1</v>
      </c>
      <c r="J67" s="43">
        <v>32216.3</v>
      </c>
      <c r="K67" s="44">
        <f t="shared" si="22"/>
        <v>75.5947729901847</v>
      </c>
      <c r="L67" s="44">
        <f t="shared" si="23"/>
        <v>64.9192345824299</v>
      </c>
    </row>
    <row r="68" spans="1:12" ht="12.75">
      <c r="A68" s="35" t="s">
        <v>2</v>
      </c>
      <c r="B68" s="35"/>
      <c r="C68" s="54" t="s">
        <v>19</v>
      </c>
      <c r="D68" s="42">
        <v>50</v>
      </c>
      <c r="E68" s="43"/>
      <c r="F68" s="43">
        <v>50</v>
      </c>
      <c r="G68" s="43"/>
      <c r="H68" s="43"/>
      <c r="I68" s="44">
        <f t="shared" si="21"/>
        <v>50</v>
      </c>
      <c r="J68" s="43">
        <v>50</v>
      </c>
      <c r="K68" s="44">
        <f>J68/I68*100</f>
        <v>100</v>
      </c>
      <c r="L68" s="44">
        <f>J68/D68*100</f>
        <v>100</v>
      </c>
    </row>
    <row r="69" spans="1:12" ht="12.75">
      <c r="A69" s="27"/>
      <c r="B69" s="28"/>
      <c r="C69" s="29" t="s">
        <v>4</v>
      </c>
      <c r="D69" s="1">
        <f>D66+D57</f>
        <v>82628.2</v>
      </c>
      <c r="E69" s="1">
        <f aca="true" t="shared" si="26" ref="E69:J69">E66+E57</f>
        <v>25476</v>
      </c>
      <c r="F69" s="1">
        <f t="shared" si="26"/>
        <v>24294.6</v>
      </c>
      <c r="G69" s="1">
        <f t="shared" si="26"/>
        <v>18308.2</v>
      </c>
      <c r="H69" s="1">
        <f t="shared" si="26"/>
        <v>14549.400000000001</v>
      </c>
      <c r="I69" s="1">
        <f t="shared" si="26"/>
        <v>68078.8</v>
      </c>
      <c r="J69" s="1">
        <f t="shared" si="26"/>
        <v>52375.5</v>
      </c>
      <c r="K69" s="40">
        <f t="shared" si="22"/>
        <v>76.93364160355353</v>
      </c>
      <c r="L69" s="40">
        <f t="shared" si="23"/>
        <v>63.38695505892662</v>
      </c>
    </row>
    <row r="70" spans="1:12" ht="12.75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6"/>
    </row>
    <row r="71" spans="1:12" ht="12.75" customHeight="1" hidden="1">
      <c r="A71" s="141" t="s">
        <v>32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</row>
    <row r="72" spans="1:12" ht="12.75">
      <c r="A72" s="38" t="s">
        <v>3</v>
      </c>
      <c r="B72" s="38"/>
      <c r="C72" s="39" t="s">
        <v>77</v>
      </c>
      <c r="D72" s="40">
        <f>D73+D74+D75+D76+D77+D78+D79+D80+D81</f>
        <v>22733.4</v>
      </c>
      <c r="E72" s="40">
        <f aca="true" t="shared" si="27" ref="E72:J72">E73+E74+E75+E76+E77+E78+E79+E80+E81+E82</f>
        <v>3560.3999999999996</v>
      </c>
      <c r="F72" s="40">
        <f t="shared" si="27"/>
        <v>8382.699999999999</v>
      </c>
      <c r="G72" s="40">
        <f t="shared" si="27"/>
        <v>5133.8</v>
      </c>
      <c r="H72" s="40">
        <f t="shared" si="27"/>
        <v>5656.5</v>
      </c>
      <c r="I72" s="40">
        <f t="shared" si="27"/>
        <v>17076.9</v>
      </c>
      <c r="J72" s="40">
        <f t="shared" si="27"/>
        <v>16941</v>
      </c>
      <c r="K72" s="40">
        <f>J72/I72*100</f>
        <v>99.20418811376771</v>
      </c>
      <c r="L72" s="40">
        <f>J72/D72*100</f>
        <v>74.52030932460609</v>
      </c>
    </row>
    <row r="73" spans="1:12" ht="12.75" customHeight="1" hidden="1">
      <c r="A73" s="27" t="s">
        <v>27</v>
      </c>
      <c r="B73" s="27"/>
      <c r="C73" s="41" t="s">
        <v>26</v>
      </c>
      <c r="D73" s="42">
        <f>E73+F73+G73+H73</f>
        <v>14085</v>
      </c>
      <c r="E73" s="43">
        <v>2430</v>
      </c>
      <c r="F73" s="43">
        <v>4200</v>
      </c>
      <c r="G73" s="43">
        <v>3600</v>
      </c>
      <c r="H73" s="43">
        <v>3855</v>
      </c>
      <c r="I73" s="44">
        <f aca="true" t="shared" si="28" ref="I73:I81">E73+F73+G73</f>
        <v>10230</v>
      </c>
      <c r="J73" s="43">
        <v>10063.5</v>
      </c>
      <c r="K73" s="44">
        <f>J73/I73*100</f>
        <v>98.37243401759531</v>
      </c>
      <c r="L73" s="44">
        <f>J73/D73*100</f>
        <v>71.44834930777422</v>
      </c>
    </row>
    <row r="74" spans="1:12" ht="12.75">
      <c r="A74" s="45" t="s">
        <v>8</v>
      </c>
      <c r="B74" s="45"/>
      <c r="C74" s="41" t="s">
        <v>5</v>
      </c>
      <c r="D74" s="42">
        <f>E74+F74+G74+H74</f>
        <v>0</v>
      </c>
      <c r="E74" s="43"/>
      <c r="F74" s="43"/>
      <c r="G74" s="43"/>
      <c r="H74" s="43"/>
      <c r="I74" s="44">
        <f t="shared" si="28"/>
        <v>0</v>
      </c>
      <c r="J74" s="43"/>
      <c r="K74" s="44"/>
      <c r="L74" s="44"/>
    </row>
    <row r="75" spans="1:12" ht="12.75">
      <c r="A75" s="45" t="s">
        <v>9</v>
      </c>
      <c r="B75" s="45"/>
      <c r="C75" s="41" t="s">
        <v>6</v>
      </c>
      <c r="D75" s="42">
        <f aca="true" t="shared" si="29" ref="D75:D84">E75+F75+G75+H75</f>
        <v>791</v>
      </c>
      <c r="E75" s="43">
        <v>51.5</v>
      </c>
      <c r="F75" s="43">
        <v>425</v>
      </c>
      <c r="G75" s="43">
        <v>131</v>
      </c>
      <c r="H75" s="43">
        <v>183.5</v>
      </c>
      <c r="I75" s="44">
        <f t="shared" si="28"/>
        <v>607.5</v>
      </c>
      <c r="J75" s="43">
        <v>844.5</v>
      </c>
      <c r="K75" s="44">
        <f>J75/I75*100</f>
        <v>139.01234567901236</v>
      </c>
      <c r="L75" s="44">
        <f>J75/D75*100</f>
        <v>106.76359039190896</v>
      </c>
    </row>
    <row r="76" spans="1:12" ht="12.75">
      <c r="A76" s="45" t="s">
        <v>10</v>
      </c>
      <c r="B76" s="45"/>
      <c r="C76" s="41" t="s">
        <v>23</v>
      </c>
      <c r="D76" s="42">
        <f t="shared" si="29"/>
        <v>0</v>
      </c>
      <c r="E76" s="43"/>
      <c r="F76" s="43"/>
      <c r="G76" s="43"/>
      <c r="H76" s="43"/>
      <c r="I76" s="44">
        <f t="shared" si="28"/>
        <v>0</v>
      </c>
      <c r="J76" s="43"/>
      <c r="K76" s="44"/>
      <c r="L76" s="44"/>
    </row>
    <row r="77" spans="1:12" ht="12.75" customHeight="1" hidden="1">
      <c r="A77" s="34" t="s">
        <v>11</v>
      </c>
      <c r="B77" s="34"/>
      <c r="C77" s="41" t="s">
        <v>17</v>
      </c>
      <c r="D77" s="42">
        <f t="shared" si="29"/>
        <v>4890</v>
      </c>
      <c r="E77" s="43">
        <v>952.2</v>
      </c>
      <c r="F77" s="43">
        <v>1219.5</v>
      </c>
      <c r="G77" s="43">
        <v>1287</v>
      </c>
      <c r="H77" s="43">
        <v>1431.3</v>
      </c>
      <c r="I77" s="44">
        <f t="shared" si="28"/>
        <v>3458.7</v>
      </c>
      <c r="J77" s="43">
        <v>3199.2</v>
      </c>
      <c r="K77" s="44">
        <f>J77/I77*100</f>
        <v>92.49718102177118</v>
      </c>
      <c r="L77" s="44">
        <f>J77/D77*100</f>
        <v>65.42331288343559</v>
      </c>
    </row>
    <row r="78" spans="1:12" ht="12.75">
      <c r="A78" s="47" t="s">
        <v>48</v>
      </c>
      <c r="B78" s="47"/>
      <c r="C78" s="41" t="s">
        <v>49</v>
      </c>
      <c r="D78" s="42">
        <f t="shared" si="29"/>
        <v>493.4</v>
      </c>
      <c r="E78" s="43">
        <v>126.7</v>
      </c>
      <c r="F78" s="43">
        <v>64.2</v>
      </c>
      <c r="G78" s="43">
        <v>115.8</v>
      </c>
      <c r="H78" s="43">
        <v>186.7</v>
      </c>
      <c r="I78" s="44">
        <f t="shared" si="28"/>
        <v>306.7</v>
      </c>
      <c r="J78" s="43">
        <v>231.8</v>
      </c>
      <c r="K78" s="44">
        <f>J78/I78*100</f>
        <v>75.57874144114771</v>
      </c>
      <c r="L78" s="44">
        <f>J78/D78*100</f>
        <v>46.980137819213624</v>
      </c>
    </row>
    <row r="79" spans="1:12" ht="12.75" customHeight="1" hidden="1">
      <c r="A79" s="46" t="s">
        <v>18</v>
      </c>
      <c r="B79" s="46"/>
      <c r="C79" s="41" t="s">
        <v>15</v>
      </c>
      <c r="D79" s="42">
        <f t="shared" si="29"/>
        <v>2353.7</v>
      </c>
      <c r="E79" s="43"/>
      <c r="F79" s="43">
        <v>2353.7</v>
      </c>
      <c r="G79" s="43"/>
      <c r="H79" s="43"/>
      <c r="I79" s="44">
        <f t="shared" si="28"/>
        <v>2353.7</v>
      </c>
      <c r="J79" s="43">
        <v>2466.3</v>
      </c>
      <c r="K79" s="44">
        <f>J79/I79*100</f>
        <v>104.78395717381146</v>
      </c>
      <c r="L79" s="44">
        <f>J79/D79*100</f>
        <v>104.78395717381146</v>
      </c>
    </row>
    <row r="80" spans="1:12" ht="12.75">
      <c r="A80" s="27" t="s">
        <v>12</v>
      </c>
      <c r="B80" s="27"/>
      <c r="C80" s="41" t="s">
        <v>7</v>
      </c>
      <c r="D80" s="42">
        <f t="shared" si="29"/>
        <v>120.3</v>
      </c>
      <c r="E80" s="43"/>
      <c r="F80" s="43">
        <v>120.3</v>
      </c>
      <c r="G80" s="43"/>
      <c r="H80" s="43"/>
      <c r="I80" s="44">
        <f t="shared" si="28"/>
        <v>120.3</v>
      </c>
      <c r="J80" s="43">
        <v>120.3</v>
      </c>
      <c r="K80" s="44">
        <f>J80/I80*100</f>
        <v>100</v>
      </c>
      <c r="L80" s="44">
        <f>J80/D80*100</f>
        <v>100</v>
      </c>
    </row>
    <row r="81" spans="1:12" ht="12.75">
      <c r="A81" s="48" t="s">
        <v>45</v>
      </c>
      <c r="B81" s="49"/>
      <c r="C81" s="50" t="s">
        <v>46</v>
      </c>
      <c r="D81" s="42">
        <f t="shared" si="29"/>
        <v>0</v>
      </c>
      <c r="E81" s="43"/>
      <c r="F81" s="43"/>
      <c r="G81" s="43"/>
      <c r="H81" s="43"/>
      <c r="I81" s="44">
        <f t="shared" si="28"/>
        <v>0</v>
      </c>
      <c r="J81" s="43">
        <v>15.4</v>
      </c>
      <c r="K81" s="40"/>
      <c r="L81" s="40"/>
    </row>
    <row r="82" spans="1:12" ht="12.75" customHeight="1" hidden="1">
      <c r="A82" s="48" t="s">
        <v>50</v>
      </c>
      <c r="B82" s="49"/>
      <c r="C82" s="50" t="s">
        <v>51</v>
      </c>
      <c r="D82" s="42">
        <f t="shared" si="29"/>
        <v>0</v>
      </c>
      <c r="E82" s="43"/>
      <c r="F82" s="43"/>
      <c r="G82" s="43"/>
      <c r="H82" s="43"/>
      <c r="I82" s="40">
        <f>E82</f>
        <v>0</v>
      </c>
      <c r="J82" s="43"/>
      <c r="K82" s="40"/>
      <c r="L82" s="40"/>
    </row>
    <row r="83" spans="1:12" ht="12.75">
      <c r="A83" s="38" t="s">
        <v>1</v>
      </c>
      <c r="B83" s="38"/>
      <c r="C83" s="51" t="s">
        <v>0</v>
      </c>
      <c r="D83" s="52">
        <f aca="true" t="shared" si="30" ref="D83:I83">D84+D85</f>
        <v>89175.2</v>
      </c>
      <c r="E83" s="52">
        <f t="shared" si="30"/>
        <v>20603.4</v>
      </c>
      <c r="F83" s="52">
        <f t="shared" si="30"/>
        <v>40129.6</v>
      </c>
      <c r="G83" s="52">
        <f t="shared" si="30"/>
        <v>17175.8</v>
      </c>
      <c r="H83" s="52">
        <f t="shared" si="30"/>
        <v>11266.4</v>
      </c>
      <c r="I83" s="52">
        <f t="shared" si="30"/>
        <v>77908.8</v>
      </c>
      <c r="J83" s="52">
        <f>J84+J85</f>
        <v>72598.3</v>
      </c>
      <c r="K83" s="40">
        <f>J83/I83*100</f>
        <v>93.18369683527406</v>
      </c>
      <c r="L83" s="40">
        <f>J83/D83*100</f>
        <v>81.41086310992294</v>
      </c>
    </row>
    <row r="84" spans="1:12" ht="24">
      <c r="A84" s="36" t="s">
        <v>22</v>
      </c>
      <c r="B84" s="45"/>
      <c r="C84" s="53" t="s">
        <v>21</v>
      </c>
      <c r="D84" s="42">
        <f t="shared" si="29"/>
        <v>82935.7</v>
      </c>
      <c r="E84" s="43">
        <v>20583.4</v>
      </c>
      <c r="F84" s="43">
        <f>44286.1-7268</f>
        <v>37018.1</v>
      </c>
      <c r="G84" s="43">
        <f>13225.8+704.7+137.3</f>
        <v>14067.8</v>
      </c>
      <c r="H84" s="43">
        <v>11266.4</v>
      </c>
      <c r="I84" s="44">
        <f>E84+F84+G84</f>
        <v>71669.3</v>
      </c>
      <c r="J84" s="43">
        <v>66358.8</v>
      </c>
      <c r="K84" s="44">
        <f>J84/I84*100</f>
        <v>92.59027226441448</v>
      </c>
      <c r="L84" s="44">
        <f>J84/D84*100</f>
        <v>80.01234691453742</v>
      </c>
    </row>
    <row r="85" spans="1:12" ht="12.75">
      <c r="A85" s="35" t="s">
        <v>2</v>
      </c>
      <c r="B85" s="35"/>
      <c r="C85" s="54" t="s">
        <v>19</v>
      </c>
      <c r="D85" s="42">
        <f>E85+F85+G85+H85</f>
        <v>6239.5</v>
      </c>
      <c r="E85" s="43">
        <v>20</v>
      </c>
      <c r="F85" s="43">
        <v>3111.5</v>
      </c>
      <c r="G85" s="43">
        <v>3108</v>
      </c>
      <c r="H85" s="43"/>
      <c r="I85" s="44">
        <f>E85+F85+G85</f>
        <v>6239.5</v>
      </c>
      <c r="J85" s="43">
        <v>6239.5</v>
      </c>
      <c r="K85" s="44">
        <f>J85/I85*100</f>
        <v>100</v>
      </c>
      <c r="L85" s="44">
        <f>J85/D85*100</f>
        <v>100</v>
      </c>
    </row>
    <row r="86" spans="1:12" ht="12.75">
      <c r="A86" s="27"/>
      <c r="B86" s="28"/>
      <c r="C86" s="29" t="s">
        <v>4</v>
      </c>
      <c r="D86" s="1">
        <f aca="true" t="shared" si="31" ref="D86:I86">D83+D72</f>
        <v>111908.6</v>
      </c>
      <c r="E86" s="1">
        <f t="shared" si="31"/>
        <v>24163.800000000003</v>
      </c>
      <c r="F86" s="1">
        <f t="shared" si="31"/>
        <v>48512.299999999996</v>
      </c>
      <c r="G86" s="1">
        <f t="shared" si="31"/>
        <v>22309.6</v>
      </c>
      <c r="H86" s="1">
        <f t="shared" si="31"/>
        <v>16922.9</v>
      </c>
      <c r="I86" s="1">
        <f t="shared" si="31"/>
        <v>94985.70000000001</v>
      </c>
      <c r="J86" s="1">
        <f>J83+J72</f>
        <v>89539.3</v>
      </c>
      <c r="K86" s="40">
        <f>J86/I86*100</f>
        <v>94.26608426321013</v>
      </c>
      <c r="L86" s="40">
        <f>J86/D86*100</f>
        <v>80.01109834275472</v>
      </c>
    </row>
    <row r="87" spans="1:13" ht="12.75">
      <c r="A87" s="144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6"/>
      <c r="M87" s="3"/>
    </row>
    <row r="88" spans="1:13" ht="12.75">
      <c r="A88" s="141" t="s">
        <v>33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3"/>
      <c r="M88" s="3"/>
    </row>
    <row r="89" spans="1:12" ht="12.75">
      <c r="A89" s="57" t="s">
        <v>3</v>
      </c>
      <c r="B89" s="57"/>
      <c r="C89" s="39" t="s">
        <v>77</v>
      </c>
      <c r="D89" s="58">
        <f aca="true" t="shared" si="32" ref="D89:I89">D90+D91+D95+D92+D93+D97+D94+D96</f>
        <v>1894.7</v>
      </c>
      <c r="E89" s="58">
        <f t="shared" si="32"/>
        <v>357.9</v>
      </c>
      <c r="F89" s="58">
        <f t="shared" si="32"/>
        <v>360.1</v>
      </c>
      <c r="G89" s="58">
        <f t="shared" si="32"/>
        <v>781.5999999999999</v>
      </c>
      <c r="H89" s="58">
        <f t="shared" si="32"/>
        <v>395.1</v>
      </c>
      <c r="I89" s="58">
        <f t="shared" si="32"/>
        <v>1499.6000000000001</v>
      </c>
      <c r="J89" s="58">
        <f>J90+J91+J95+J92+J93+J97+J94+J96</f>
        <v>1384.2</v>
      </c>
      <c r="K89" s="40">
        <f>J89/I89*100</f>
        <v>92.3046145638837</v>
      </c>
      <c r="L89" s="40">
        <f>J89/D89*100</f>
        <v>73.05642054151052</v>
      </c>
    </row>
    <row r="90" spans="1:12" ht="12.75">
      <c r="A90" s="27" t="s">
        <v>27</v>
      </c>
      <c r="B90" s="27"/>
      <c r="C90" s="41" t="s">
        <v>26</v>
      </c>
      <c r="D90" s="42">
        <f aca="true" t="shared" si="33" ref="D90:D99">E90+F90+G90+H90</f>
        <v>1227</v>
      </c>
      <c r="E90" s="43">
        <v>306.7</v>
      </c>
      <c r="F90" s="43">
        <v>306.8</v>
      </c>
      <c r="G90" s="43">
        <v>306.7</v>
      </c>
      <c r="H90" s="43">
        <v>306.8</v>
      </c>
      <c r="I90" s="44">
        <f aca="true" t="shared" si="34" ref="I90:I99">E90+F90+G90</f>
        <v>920.2</v>
      </c>
      <c r="J90" s="43">
        <v>847.9</v>
      </c>
      <c r="K90" s="44">
        <f>J90/I90*100</f>
        <v>92.14301238861117</v>
      </c>
      <c r="L90" s="44">
        <f aca="true" t="shared" si="35" ref="L90:L100">J90/D90*100</f>
        <v>69.10350448247759</v>
      </c>
    </row>
    <row r="91" spans="1:12" ht="12.75">
      <c r="A91" s="45" t="s">
        <v>9</v>
      </c>
      <c r="B91" s="45"/>
      <c r="C91" s="41" t="s">
        <v>6</v>
      </c>
      <c r="D91" s="42">
        <f t="shared" si="33"/>
        <v>76</v>
      </c>
      <c r="E91" s="43">
        <v>1.5</v>
      </c>
      <c r="F91" s="43">
        <v>1.5</v>
      </c>
      <c r="G91" s="43">
        <v>36.5</v>
      </c>
      <c r="H91" s="43">
        <v>36.5</v>
      </c>
      <c r="I91" s="44">
        <f t="shared" si="34"/>
        <v>39.5</v>
      </c>
      <c r="J91" s="43">
        <v>44.3</v>
      </c>
      <c r="K91" s="44">
        <f>J91/I91*100</f>
        <v>112.15189873417721</v>
      </c>
      <c r="L91" s="44">
        <f t="shared" si="35"/>
        <v>58.28947368421053</v>
      </c>
    </row>
    <row r="92" spans="1:12" ht="12.75">
      <c r="A92" s="45" t="s">
        <v>10</v>
      </c>
      <c r="B92" s="45"/>
      <c r="C92" s="41" t="s">
        <v>23</v>
      </c>
      <c r="D92" s="42">
        <f t="shared" si="33"/>
        <v>10</v>
      </c>
      <c r="E92" s="43">
        <v>1</v>
      </c>
      <c r="F92" s="43">
        <v>3</v>
      </c>
      <c r="G92" s="43">
        <v>3</v>
      </c>
      <c r="H92" s="43">
        <v>3</v>
      </c>
      <c r="I92" s="44">
        <f t="shared" si="34"/>
        <v>7</v>
      </c>
      <c r="J92" s="43">
        <v>2.7</v>
      </c>
      <c r="K92" s="44">
        <f>J92/I92*100</f>
        <v>38.57142857142858</v>
      </c>
      <c r="L92" s="44">
        <f t="shared" si="35"/>
        <v>27</v>
      </c>
    </row>
    <row r="93" spans="1:12" ht="24">
      <c r="A93" s="34" t="s">
        <v>11</v>
      </c>
      <c r="B93" s="34"/>
      <c r="C93" s="41" t="s">
        <v>17</v>
      </c>
      <c r="D93" s="42">
        <f t="shared" si="33"/>
        <v>195</v>
      </c>
      <c r="E93" s="43">
        <v>48.7</v>
      </c>
      <c r="F93" s="43">
        <v>48.8</v>
      </c>
      <c r="G93" s="43">
        <v>48.7</v>
      </c>
      <c r="H93" s="43">
        <v>48.8</v>
      </c>
      <c r="I93" s="44">
        <f t="shared" si="34"/>
        <v>146.2</v>
      </c>
      <c r="J93" s="43">
        <v>4.5</v>
      </c>
      <c r="K93" s="44">
        <f>J93/I93*100</f>
        <v>3.077975376196991</v>
      </c>
      <c r="L93" s="44">
        <f t="shared" si="35"/>
        <v>2.307692307692308</v>
      </c>
    </row>
    <row r="94" spans="1:12" ht="12.75">
      <c r="A94" s="47" t="s">
        <v>48</v>
      </c>
      <c r="B94" s="47"/>
      <c r="C94" s="41" t="s">
        <v>49</v>
      </c>
      <c r="D94" s="42">
        <f t="shared" si="33"/>
        <v>0</v>
      </c>
      <c r="E94" s="43"/>
      <c r="F94" s="43"/>
      <c r="G94" s="43"/>
      <c r="H94" s="43"/>
      <c r="I94" s="44">
        <f t="shared" si="34"/>
        <v>0</v>
      </c>
      <c r="J94" s="43">
        <v>28.1</v>
      </c>
      <c r="K94" s="44"/>
      <c r="L94" s="44"/>
    </row>
    <row r="95" spans="1:12" ht="12.75">
      <c r="A95" s="47" t="s">
        <v>18</v>
      </c>
      <c r="B95" s="47"/>
      <c r="C95" s="41" t="s">
        <v>15</v>
      </c>
      <c r="D95" s="42">
        <f t="shared" si="33"/>
        <v>0</v>
      </c>
      <c r="E95" s="43"/>
      <c r="F95" s="43"/>
      <c r="G95" s="43"/>
      <c r="H95" s="43"/>
      <c r="I95" s="44">
        <f t="shared" si="34"/>
        <v>0</v>
      </c>
      <c r="J95" s="43">
        <v>39.9</v>
      </c>
      <c r="K95" s="44"/>
      <c r="L95" s="44"/>
    </row>
    <row r="96" spans="1:12" ht="12.75">
      <c r="A96" s="27" t="s">
        <v>12</v>
      </c>
      <c r="B96" s="27"/>
      <c r="C96" s="41" t="s">
        <v>7</v>
      </c>
      <c r="D96" s="42">
        <f t="shared" si="33"/>
        <v>386.7</v>
      </c>
      <c r="E96" s="43"/>
      <c r="F96" s="43"/>
      <c r="G96" s="43">
        <v>386.7</v>
      </c>
      <c r="H96" s="43"/>
      <c r="I96" s="44">
        <f t="shared" si="34"/>
        <v>386.7</v>
      </c>
      <c r="J96" s="43">
        <v>416.8</v>
      </c>
      <c r="K96" s="44"/>
      <c r="L96" s="44"/>
    </row>
    <row r="97" spans="1:12" ht="12.75">
      <c r="A97" s="47" t="s">
        <v>45</v>
      </c>
      <c r="B97" s="68"/>
      <c r="C97" s="50" t="s">
        <v>46</v>
      </c>
      <c r="D97" s="42">
        <f t="shared" si="33"/>
        <v>0</v>
      </c>
      <c r="E97" s="43"/>
      <c r="F97" s="43"/>
      <c r="G97" s="43"/>
      <c r="H97" s="43"/>
      <c r="I97" s="44">
        <f t="shared" si="34"/>
        <v>0</v>
      </c>
      <c r="J97" s="43"/>
      <c r="K97" s="40"/>
      <c r="L97" s="40"/>
    </row>
    <row r="98" spans="1:12" ht="12.75">
      <c r="A98" s="57" t="s">
        <v>1</v>
      </c>
      <c r="B98" s="57"/>
      <c r="C98" s="51" t="s">
        <v>0</v>
      </c>
      <c r="D98" s="52">
        <f aca="true" t="shared" si="36" ref="D98:J98">D99</f>
        <v>29876.300000000003</v>
      </c>
      <c r="E98" s="52">
        <f t="shared" si="36"/>
        <v>7013.6</v>
      </c>
      <c r="F98" s="52">
        <f t="shared" si="36"/>
        <v>7547.9000000000015</v>
      </c>
      <c r="G98" s="52">
        <f t="shared" si="36"/>
        <v>8461.2</v>
      </c>
      <c r="H98" s="52">
        <f t="shared" si="36"/>
        <v>6853.6</v>
      </c>
      <c r="I98" s="52">
        <f t="shared" si="36"/>
        <v>23022.700000000004</v>
      </c>
      <c r="J98" s="52">
        <f t="shared" si="36"/>
        <v>24100.2</v>
      </c>
      <c r="K98" s="40">
        <f>J98/I98*100</f>
        <v>104.68016349081557</v>
      </c>
      <c r="L98" s="40">
        <f t="shared" si="35"/>
        <v>80.66661534393482</v>
      </c>
    </row>
    <row r="99" spans="1:12" ht="24">
      <c r="A99" s="36" t="s">
        <v>22</v>
      </c>
      <c r="B99" s="45"/>
      <c r="C99" s="53" t="s">
        <v>21</v>
      </c>
      <c r="D99" s="42">
        <f t="shared" si="33"/>
        <v>29876.300000000003</v>
      </c>
      <c r="E99" s="43">
        <f>6853.6+160</f>
        <v>7013.6</v>
      </c>
      <c r="F99" s="43">
        <f>6864.1+47.6+522.1+114.1</f>
        <v>7547.9000000000015</v>
      </c>
      <c r="G99" s="43">
        <f>6853.6+1315.9+77.6+214.1</f>
        <v>8461.2</v>
      </c>
      <c r="H99" s="43">
        <v>6853.6</v>
      </c>
      <c r="I99" s="44">
        <f t="shared" si="34"/>
        <v>23022.700000000004</v>
      </c>
      <c r="J99" s="43">
        <v>24100.2</v>
      </c>
      <c r="K99" s="44">
        <f>J99/I99*100</f>
        <v>104.68016349081557</v>
      </c>
      <c r="L99" s="44">
        <f t="shared" si="35"/>
        <v>80.66661534393482</v>
      </c>
    </row>
    <row r="100" spans="1:12" ht="12.75">
      <c r="A100" s="27"/>
      <c r="B100" s="28"/>
      <c r="C100" s="29" t="s">
        <v>4</v>
      </c>
      <c r="D100" s="1">
        <f>D98+D89</f>
        <v>31771.000000000004</v>
      </c>
      <c r="E100" s="1">
        <f aca="true" t="shared" si="37" ref="E100:J100">E98+E89</f>
        <v>7371.5</v>
      </c>
      <c r="F100" s="1">
        <f t="shared" si="37"/>
        <v>7908.000000000002</v>
      </c>
      <c r="G100" s="1">
        <f t="shared" si="37"/>
        <v>9242.800000000001</v>
      </c>
      <c r="H100" s="1">
        <f t="shared" si="37"/>
        <v>7248.700000000001</v>
      </c>
      <c r="I100" s="1">
        <f t="shared" si="37"/>
        <v>24522.300000000003</v>
      </c>
      <c r="J100" s="1">
        <f t="shared" si="37"/>
        <v>25484.4</v>
      </c>
      <c r="K100" s="40">
        <f>J100/I100*100</f>
        <v>103.92336771020663</v>
      </c>
      <c r="L100" s="40">
        <f t="shared" si="35"/>
        <v>80.21277265430739</v>
      </c>
    </row>
    <row r="101" spans="1:12" ht="12.75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6"/>
    </row>
    <row r="102" spans="1:12" ht="12.75">
      <c r="A102" s="141" t="s">
        <v>34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</row>
    <row r="103" spans="1:12" ht="12.75">
      <c r="A103" s="38" t="s">
        <v>3</v>
      </c>
      <c r="B103" s="38"/>
      <c r="C103" s="39" t="s">
        <v>77</v>
      </c>
      <c r="D103" s="40">
        <f aca="true" t="shared" si="38" ref="D103:I103">D104+D105+D108+D106+D107+D109</f>
        <v>1381.8999999999999</v>
      </c>
      <c r="E103" s="40">
        <f t="shared" si="38"/>
        <v>156.09999999999997</v>
      </c>
      <c r="F103" s="40">
        <f t="shared" si="38"/>
        <v>563.0000000000001</v>
      </c>
      <c r="G103" s="40">
        <f t="shared" si="38"/>
        <v>291</v>
      </c>
      <c r="H103" s="40">
        <f t="shared" si="38"/>
        <v>371.8</v>
      </c>
      <c r="I103" s="40">
        <f t="shared" si="38"/>
        <v>1010.1</v>
      </c>
      <c r="J103" s="40">
        <f>J104+J105+J108+J106+J107+J109+J110</f>
        <v>885.4</v>
      </c>
      <c r="K103" s="40">
        <f>J103/I103*100</f>
        <v>87.65468765468765</v>
      </c>
      <c r="L103" s="40">
        <f>J103/D103*100</f>
        <v>64.07120631015269</v>
      </c>
    </row>
    <row r="104" spans="1:12" ht="12.75">
      <c r="A104" s="27" t="s">
        <v>27</v>
      </c>
      <c r="B104" s="27"/>
      <c r="C104" s="41" t="s">
        <v>26</v>
      </c>
      <c r="D104" s="42">
        <f aca="true" t="shared" si="39" ref="D104:D112">E104+F104+G104+H104</f>
        <v>930</v>
      </c>
      <c r="E104" s="43">
        <v>137.7</v>
      </c>
      <c r="F104" s="43">
        <v>302.5</v>
      </c>
      <c r="G104" s="43">
        <v>196</v>
      </c>
      <c r="H104" s="43">
        <v>293.8</v>
      </c>
      <c r="I104" s="44">
        <f aca="true" t="shared" si="40" ref="I104:I112">E104+F104+G104</f>
        <v>636.2</v>
      </c>
      <c r="J104" s="43">
        <v>569.4</v>
      </c>
      <c r="K104" s="44">
        <f aca="true" t="shared" si="41" ref="K104:K113">J104/I104*100</f>
        <v>89.50015718327569</v>
      </c>
      <c r="L104" s="44">
        <f aca="true" t="shared" si="42" ref="L104:L113">J104/D104*100</f>
        <v>61.2258064516129</v>
      </c>
    </row>
    <row r="105" spans="1:12" ht="12.75">
      <c r="A105" s="45" t="s">
        <v>9</v>
      </c>
      <c r="B105" s="45"/>
      <c r="C105" s="41" t="s">
        <v>6</v>
      </c>
      <c r="D105" s="42">
        <f t="shared" si="39"/>
        <v>90</v>
      </c>
      <c r="E105" s="43"/>
      <c r="F105" s="43">
        <v>27</v>
      </c>
      <c r="G105" s="43">
        <v>38</v>
      </c>
      <c r="H105" s="43">
        <v>25</v>
      </c>
      <c r="I105" s="44">
        <f t="shared" si="40"/>
        <v>65</v>
      </c>
      <c r="J105" s="43">
        <v>35.3</v>
      </c>
      <c r="K105" s="44">
        <f t="shared" si="41"/>
        <v>54.3076923076923</v>
      </c>
      <c r="L105" s="44">
        <f t="shared" si="42"/>
        <v>39.22222222222222</v>
      </c>
    </row>
    <row r="106" spans="1:12" ht="12.75" customHeight="1" hidden="1">
      <c r="A106" s="45" t="s">
        <v>10</v>
      </c>
      <c r="B106" s="45"/>
      <c r="C106" s="41" t="s">
        <v>23</v>
      </c>
      <c r="D106" s="42">
        <f t="shared" si="39"/>
        <v>30</v>
      </c>
      <c r="E106" s="43">
        <v>3.2</v>
      </c>
      <c r="F106" s="43">
        <v>6.7</v>
      </c>
      <c r="G106" s="43">
        <v>10.4</v>
      </c>
      <c r="H106" s="43">
        <v>9.7</v>
      </c>
      <c r="I106" s="44">
        <f t="shared" si="40"/>
        <v>20.3</v>
      </c>
      <c r="J106" s="43">
        <v>17</v>
      </c>
      <c r="K106" s="44">
        <f t="shared" si="41"/>
        <v>83.74384236453201</v>
      </c>
      <c r="L106" s="44">
        <f t="shared" si="42"/>
        <v>56.666666666666664</v>
      </c>
    </row>
    <row r="107" spans="1:12" ht="24">
      <c r="A107" s="34" t="s">
        <v>11</v>
      </c>
      <c r="B107" s="34"/>
      <c r="C107" s="41" t="s">
        <v>17</v>
      </c>
      <c r="D107" s="42">
        <f t="shared" si="39"/>
        <v>148.3</v>
      </c>
      <c r="E107" s="43">
        <v>15.2</v>
      </c>
      <c r="F107" s="43">
        <v>43.2</v>
      </c>
      <c r="G107" s="43">
        <v>46.6</v>
      </c>
      <c r="H107" s="43">
        <v>43.3</v>
      </c>
      <c r="I107" s="44">
        <f t="shared" si="40"/>
        <v>105</v>
      </c>
      <c r="J107" s="43">
        <v>80.1</v>
      </c>
      <c r="K107" s="44">
        <f t="shared" si="41"/>
        <v>76.28571428571428</v>
      </c>
      <c r="L107" s="44">
        <f t="shared" si="42"/>
        <v>54.012137559002014</v>
      </c>
    </row>
    <row r="108" spans="1:12" ht="12.75">
      <c r="A108" s="46" t="s">
        <v>18</v>
      </c>
      <c r="B108" s="46"/>
      <c r="C108" s="41" t="s">
        <v>15</v>
      </c>
      <c r="D108" s="42">
        <f t="shared" si="39"/>
        <v>183.6</v>
      </c>
      <c r="E108" s="43"/>
      <c r="F108" s="43">
        <v>183.6</v>
      </c>
      <c r="G108" s="43"/>
      <c r="H108" s="43"/>
      <c r="I108" s="44">
        <f t="shared" si="40"/>
        <v>183.6</v>
      </c>
      <c r="J108" s="43">
        <v>183.6</v>
      </c>
      <c r="K108" s="44">
        <f t="shared" si="41"/>
        <v>100</v>
      </c>
      <c r="L108" s="44">
        <f t="shared" si="42"/>
        <v>100</v>
      </c>
    </row>
    <row r="109" spans="1:12" ht="12.75">
      <c r="A109" s="27" t="s">
        <v>12</v>
      </c>
      <c r="B109" s="27"/>
      <c r="C109" s="41" t="s">
        <v>7</v>
      </c>
      <c r="D109" s="42">
        <f t="shared" si="39"/>
        <v>0</v>
      </c>
      <c r="E109" s="43"/>
      <c r="F109" s="43"/>
      <c r="G109" s="43"/>
      <c r="H109" s="43"/>
      <c r="I109" s="44">
        <f t="shared" si="40"/>
        <v>0</v>
      </c>
      <c r="J109" s="43"/>
      <c r="K109" s="44"/>
      <c r="L109" s="44"/>
    </row>
    <row r="110" spans="1:12" ht="12.75">
      <c r="A110" s="46" t="s">
        <v>45</v>
      </c>
      <c r="B110" s="68"/>
      <c r="C110" s="50" t="s">
        <v>46</v>
      </c>
      <c r="D110" s="42">
        <f t="shared" si="39"/>
        <v>0</v>
      </c>
      <c r="E110" s="43"/>
      <c r="F110" s="43"/>
      <c r="G110" s="43"/>
      <c r="H110" s="43"/>
      <c r="I110" s="44">
        <f t="shared" si="40"/>
        <v>0</v>
      </c>
      <c r="J110" s="43"/>
      <c r="K110" s="44"/>
      <c r="L110" s="44"/>
    </row>
    <row r="111" spans="1:12" ht="12.75">
      <c r="A111" s="38" t="s">
        <v>1</v>
      </c>
      <c r="B111" s="38"/>
      <c r="C111" s="51" t="s">
        <v>0</v>
      </c>
      <c r="D111" s="52">
        <f aca="true" t="shared" si="43" ref="D111:J111">D112</f>
        <v>35833.9</v>
      </c>
      <c r="E111" s="52">
        <f t="shared" si="43"/>
        <v>4611.4</v>
      </c>
      <c r="F111" s="52">
        <f t="shared" si="43"/>
        <v>12763.4</v>
      </c>
      <c r="G111" s="52">
        <f t="shared" si="43"/>
        <v>13165.1</v>
      </c>
      <c r="H111" s="52">
        <f t="shared" si="43"/>
        <v>5294</v>
      </c>
      <c r="I111" s="52">
        <f t="shared" si="43"/>
        <v>30539.9</v>
      </c>
      <c r="J111" s="69">
        <f t="shared" si="43"/>
        <v>25944</v>
      </c>
      <c r="K111" s="40">
        <f t="shared" si="41"/>
        <v>84.9511622500401</v>
      </c>
      <c r="L111" s="40">
        <f t="shared" si="42"/>
        <v>72.40071552356846</v>
      </c>
    </row>
    <row r="112" spans="1:12" ht="24">
      <c r="A112" s="36" t="s">
        <v>22</v>
      </c>
      <c r="B112" s="45"/>
      <c r="C112" s="53" t="s">
        <v>21</v>
      </c>
      <c r="D112" s="42">
        <f t="shared" si="39"/>
        <v>35833.9</v>
      </c>
      <c r="E112" s="43">
        <v>4611.4</v>
      </c>
      <c r="F112" s="43">
        <v>12763.4</v>
      </c>
      <c r="G112" s="43">
        <f>12640.9+129.5+394.7</f>
        <v>13165.1</v>
      </c>
      <c r="H112" s="43">
        <v>5294</v>
      </c>
      <c r="I112" s="44">
        <f t="shared" si="40"/>
        <v>30539.9</v>
      </c>
      <c r="J112" s="43">
        <v>25944</v>
      </c>
      <c r="K112" s="44">
        <f t="shared" si="41"/>
        <v>84.9511622500401</v>
      </c>
      <c r="L112" s="44">
        <f t="shared" si="42"/>
        <v>72.40071552356846</v>
      </c>
    </row>
    <row r="113" spans="1:12" ht="12.75">
      <c r="A113" s="27"/>
      <c r="B113" s="28"/>
      <c r="C113" s="29" t="s">
        <v>4</v>
      </c>
      <c r="D113" s="1">
        <f>D111+D103</f>
        <v>37215.8</v>
      </c>
      <c r="E113" s="1">
        <f aca="true" t="shared" si="44" ref="E113:J113">E111+E103</f>
        <v>4767.5</v>
      </c>
      <c r="F113" s="1">
        <f t="shared" si="44"/>
        <v>13326.4</v>
      </c>
      <c r="G113" s="1">
        <f t="shared" si="44"/>
        <v>13456.1</v>
      </c>
      <c r="H113" s="1">
        <f t="shared" si="44"/>
        <v>5665.8</v>
      </c>
      <c r="I113" s="1">
        <f t="shared" si="44"/>
        <v>31550</v>
      </c>
      <c r="J113" s="1">
        <f t="shared" si="44"/>
        <v>26829.4</v>
      </c>
      <c r="K113" s="40">
        <f t="shared" si="41"/>
        <v>85.03771790808241</v>
      </c>
      <c r="L113" s="40">
        <f t="shared" si="42"/>
        <v>72.09142353516516</v>
      </c>
    </row>
    <row r="114" spans="1:12" ht="12.75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6"/>
    </row>
    <row r="115" spans="1:12" ht="12.75">
      <c r="A115" s="141" t="s">
        <v>35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3"/>
    </row>
    <row r="116" spans="1:17" ht="12.75">
      <c r="A116" s="38" t="s">
        <v>3</v>
      </c>
      <c r="B116" s="38"/>
      <c r="C116" s="39" t="s">
        <v>77</v>
      </c>
      <c r="D116" s="40">
        <f>D117+D118+D119+D120+D122+D124+D121+D123</f>
        <v>2174</v>
      </c>
      <c r="E116" s="40">
        <f aca="true" t="shared" si="45" ref="E116:J116">E117+E118+E119+E120+E122+E124+E121+E123</f>
        <v>434.8</v>
      </c>
      <c r="F116" s="40">
        <f t="shared" si="45"/>
        <v>652.2</v>
      </c>
      <c r="G116" s="40">
        <f t="shared" si="45"/>
        <v>587</v>
      </c>
      <c r="H116" s="40">
        <f t="shared" si="45"/>
        <v>500</v>
      </c>
      <c r="I116" s="40">
        <f t="shared" si="45"/>
        <v>1674</v>
      </c>
      <c r="J116" s="40">
        <f t="shared" si="45"/>
        <v>1542.2</v>
      </c>
      <c r="K116" s="40">
        <f>J116/I116*100</f>
        <v>92.12664277180407</v>
      </c>
      <c r="L116" s="40">
        <f>J116/D116*100</f>
        <v>70.93836246550138</v>
      </c>
      <c r="Q116" s="4"/>
    </row>
    <row r="117" spans="1:12" ht="12.75">
      <c r="A117" s="27" t="s">
        <v>27</v>
      </c>
      <c r="B117" s="27"/>
      <c r="C117" s="41" t="s">
        <v>26</v>
      </c>
      <c r="D117" s="42">
        <f aca="true" t="shared" si="46" ref="D117:D126">E117+F117+G117+H117</f>
        <v>1456</v>
      </c>
      <c r="E117" s="43">
        <v>291.2</v>
      </c>
      <c r="F117" s="43">
        <v>436.8</v>
      </c>
      <c r="G117" s="43">
        <v>393.1</v>
      </c>
      <c r="H117" s="43">
        <v>334.9</v>
      </c>
      <c r="I117" s="44">
        <f aca="true" t="shared" si="47" ref="I117:I126">E117+F117+G117</f>
        <v>1121.1</v>
      </c>
      <c r="J117" s="43">
        <v>1208</v>
      </c>
      <c r="K117" s="44">
        <f aca="true" t="shared" si="48" ref="K117:K127">J117/I117*100</f>
        <v>107.75131567210776</v>
      </c>
      <c r="L117" s="44">
        <f aca="true" t="shared" si="49" ref="L117:L127">J117/D117*100</f>
        <v>82.96703296703298</v>
      </c>
    </row>
    <row r="118" spans="1:12" ht="12.75">
      <c r="A118" s="45" t="s">
        <v>9</v>
      </c>
      <c r="B118" s="45"/>
      <c r="C118" s="41" t="s">
        <v>6</v>
      </c>
      <c r="D118" s="42">
        <f t="shared" si="46"/>
        <v>233</v>
      </c>
      <c r="E118" s="43">
        <v>46.6</v>
      </c>
      <c r="F118" s="43">
        <v>69.9</v>
      </c>
      <c r="G118" s="43">
        <v>62.9</v>
      </c>
      <c r="H118" s="43">
        <v>53.6</v>
      </c>
      <c r="I118" s="44">
        <f t="shared" si="47"/>
        <v>179.4</v>
      </c>
      <c r="J118" s="43">
        <v>151.2</v>
      </c>
      <c r="K118" s="44">
        <f t="shared" si="48"/>
        <v>84.28093645484948</v>
      </c>
      <c r="L118" s="44">
        <f t="shared" si="49"/>
        <v>64.89270386266094</v>
      </c>
    </row>
    <row r="119" spans="1:12" ht="13.5" customHeight="1" hidden="1">
      <c r="A119" s="45" t="s">
        <v>10</v>
      </c>
      <c r="B119" s="45"/>
      <c r="C119" s="41" t="s">
        <v>23</v>
      </c>
      <c r="D119" s="42">
        <f t="shared" si="46"/>
        <v>35</v>
      </c>
      <c r="E119" s="43">
        <v>7</v>
      </c>
      <c r="F119" s="43">
        <v>10.5</v>
      </c>
      <c r="G119" s="43">
        <v>9.5</v>
      </c>
      <c r="H119" s="43">
        <v>8</v>
      </c>
      <c r="I119" s="44">
        <f t="shared" si="47"/>
        <v>27</v>
      </c>
      <c r="J119" s="43">
        <v>35.1</v>
      </c>
      <c r="K119" s="44">
        <f t="shared" si="48"/>
        <v>130</v>
      </c>
      <c r="L119" s="44">
        <f t="shared" si="49"/>
        <v>100.28571428571429</v>
      </c>
    </row>
    <row r="120" spans="1:12" ht="24">
      <c r="A120" s="34" t="s">
        <v>11</v>
      </c>
      <c r="B120" s="34"/>
      <c r="C120" s="41" t="s">
        <v>17</v>
      </c>
      <c r="D120" s="42">
        <f t="shared" si="46"/>
        <v>370</v>
      </c>
      <c r="E120" s="43">
        <v>74</v>
      </c>
      <c r="F120" s="43">
        <v>111</v>
      </c>
      <c r="G120" s="43">
        <v>99.9</v>
      </c>
      <c r="H120" s="43">
        <v>85.1</v>
      </c>
      <c r="I120" s="44">
        <f t="shared" si="47"/>
        <v>284.9</v>
      </c>
      <c r="J120" s="43">
        <v>92.9</v>
      </c>
      <c r="K120" s="44">
        <f t="shared" si="48"/>
        <v>32.60793260793261</v>
      </c>
      <c r="L120" s="44">
        <f t="shared" si="49"/>
        <v>25.108108108108105</v>
      </c>
    </row>
    <row r="121" spans="1:12" ht="12.75">
      <c r="A121" s="47" t="s">
        <v>48</v>
      </c>
      <c r="B121" s="47"/>
      <c r="C121" s="41" t="s">
        <v>49</v>
      </c>
      <c r="D121" s="42">
        <f t="shared" si="46"/>
        <v>80</v>
      </c>
      <c r="E121" s="43">
        <v>16</v>
      </c>
      <c r="F121" s="43">
        <v>24</v>
      </c>
      <c r="G121" s="43">
        <v>21.6</v>
      </c>
      <c r="H121" s="43">
        <v>18.4</v>
      </c>
      <c r="I121" s="44">
        <f t="shared" si="47"/>
        <v>61.6</v>
      </c>
      <c r="J121" s="43">
        <v>23.7</v>
      </c>
      <c r="K121" s="44">
        <f t="shared" si="48"/>
        <v>38.47402597402597</v>
      </c>
      <c r="L121" s="44">
        <f t="shared" si="49"/>
        <v>29.625</v>
      </c>
    </row>
    <row r="122" spans="1:12" ht="12.75">
      <c r="A122" s="47" t="s">
        <v>18</v>
      </c>
      <c r="B122" s="47"/>
      <c r="C122" s="41" t="s">
        <v>15</v>
      </c>
      <c r="D122" s="42">
        <f t="shared" si="46"/>
        <v>0</v>
      </c>
      <c r="E122" s="43"/>
      <c r="F122" s="43"/>
      <c r="G122" s="43"/>
      <c r="H122" s="43"/>
      <c r="I122" s="44">
        <f t="shared" si="47"/>
        <v>0</v>
      </c>
      <c r="J122" s="43">
        <v>1.2</v>
      </c>
      <c r="K122" s="44"/>
      <c r="L122" s="44"/>
    </row>
    <row r="123" spans="1:12" ht="12.75">
      <c r="A123" s="27" t="s">
        <v>12</v>
      </c>
      <c r="B123" s="27"/>
      <c r="C123" s="41" t="s">
        <v>7</v>
      </c>
      <c r="D123" s="42">
        <f t="shared" si="46"/>
        <v>0</v>
      </c>
      <c r="E123" s="43"/>
      <c r="F123" s="43"/>
      <c r="G123" s="43"/>
      <c r="H123" s="43"/>
      <c r="I123" s="44">
        <f t="shared" si="47"/>
        <v>0</v>
      </c>
      <c r="J123" s="43">
        <v>30</v>
      </c>
      <c r="K123" s="44"/>
      <c r="L123" s="44"/>
    </row>
    <row r="124" spans="1:12" ht="12.75">
      <c r="A124" s="47" t="s">
        <v>45</v>
      </c>
      <c r="B124" s="68"/>
      <c r="C124" s="50" t="s">
        <v>46</v>
      </c>
      <c r="D124" s="42">
        <f t="shared" si="46"/>
        <v>0</v>
      </c>
      <c r="E124" s="43"/>
      <c r="F124" s="43"/>
      <c r="G124" s="43"/>
      <c r="H124" s="43"/>
      <c r="I124" s="44">
        <f t="shared" si="47"/>
        <v>0</v>
      </c>
      <c r="J124" s="42">
        <v>0.1</v>
      </c>
      <c r="K124" s="44"/>
      <c r="L124" s="44"/>
    </row>
    <row r="125" spans="1:12" ht="12.75">
      <c r="A125" s="57" t="s">
        <v>1</v>
      </c>
      <c r="B125" s="57"/>
      <c r="C125" s="51" t="s">
        <v>0</v>
      </c>
      <c r="D125" s="52">
        <f>D126</f>
        <v>53888.99999999999</v>
      </c>
      <c r="E125" s="52">
        <f>E126</f>
        <v>8272</v>
      </c>
      <c r="F125" s="52">
        <f>F126</f>
        <v>18586.899999999998</v>
      </c>
      <c r="G125" s="52">
        <f>G126</f>
        <v>17835.999999999996</v>
      </c>
      <c r="H125" s="52">
        <f>H126</f>
        <v>9194.1</v>
      </c>
      <c r="I125" s="40">
        <f>E125</f>
        <v>8272</v>
      </c>
      <c r="J125" s="52">
        <f>J126</f>
        <v>40132.6</v>
      </c>
      <c r="K125" s="40">
        <f t="shared" si="48"/>
        <v>485.16199226305605</v>
      </c>
      <c r="L125" s="40">
        <f t="shared" si="49"/>
        <v>74.47271242739707</v>
      </c>
    </row>
    <row r="126" spans="1:12" ht="24">
      <c r="A126" s="36" t="s">
        <v>22</v>
      </c>
      <c r="B126" s="45"/>
      <c r="C126" s="53" t="s">
        <v>21</v>
      </c>
      <c r="D126" s="42">
        <f t="shared" si="46"/>
        <v>53888.99999999999</v>
      </c>
      <c r="E126" s="43">
        <v>8272</v>
      </c>
      <c r="F126" s="43">
        <f>17766.5+765.3+55.1</f>
        <v>18586.899999999998</v>
      </c>
      <c r="G126" s="43">
        <f>14997.2+2543.1+160.1+135.6</f>
        <v>17835.999999999996</v>
      </c>
      <c r="H126" s="43">
        <v>9194.1</v>
      </c>
      <c r="I126" s="44">
        <f t="shared" si="47"/>
        <v>44694.899999999994</v>
      </c>
      <c r="J126" s="43">
        <v>40132.6</v>
      </c>
      <c r="K126" s="44">
        <f t="shared" si="48"/>
        <v>89.792347672777</v>
      </c>
      <c r="L126" s="44">
        <f t="shared" si="49"/>
        <v>74.47271242739707</v>
      </c>
    </row>
    <row r="127" spans="1:12" ht="12.75">
      <c r="A127" s="27"/>
      <c r="B127" s="28"/>
      <c r="C127" s="29" t="s">
        <v>4</v>
      </c>
      <c r="D127" s="1">
        <f>D125+D116</f>
        <v>56062.99999999999</v>
      </c>
      <c r="E127" s="1">
        <f aca="true" t="shared" si="50" ref="E127:J127">E125+E116</f>
        <v>8706.8</v>
      </c>
      <c r="F127" s="1">
        <f t="shared" si="50"/>
        <v>19239.1</v>
      </c>
      <c r="G127" s="1">
        <f t="shared" si="50"/>
        <v>18422.999999999996</v>
      </c>
      <c r="H127" s="1">
        <f t="shared" si="50"/>
        <v>9694.1</v>
      </c>
      <c r="I127" s="1">
        <f t="shared" si="50"/>
        <v>9946</v>
      </c>
      <c r="J127" s="1">
        <f t="shared" si="50"/>
        <v>41674.799999999996</v>
      </c>
      <c r="K127" s="40">
        <f t="shared" si="48"/>
        <v>419.0106575507741</v>
      </c>
      <c r="L127" s="40">
        <f t="shared" si="49"/>
        <v>74.33565809892443</v>
      </c>
    </row>
    <row r="128" spans="1:12" ht="12.75">
      <c r="A128" s="138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40"/>
    </row>
    <row r="129" spans="1:12" ht="12.75">
      <c r="A129" s="141" t="s">
        <v>36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3"/>
    </row>
    <row r="130" spans="1:12" ht="12.75">
      <c r="A130" s="38" t="s">
        <v>3</v>
      </c>
      <c r="B130" s="38"/>
      <c r="C130" s="39" t="s">
        <v>77</v>
      </c>
      <c r="D130" s="40">
        <f>D131+D133+D135+D137+D134+D138+D136+D132+D139</f>
        <v>14648</v>
      </c>
      <c r="E130" s="40">
        <f aca="true" t="shared" si="51" ref="E130:J130">E131+E133+E135+E137+E134+E138+E136+E132+E139</f>
        <v>4399</v>
      </c>
      <c r="F130" s="40">
        <f t="shared" si="51"/>
        <v>4051.5</v>
      </c>
      <c r="G130" s="40">
        <f t="shared" si="51"/>
        <v>3069</v>
      </c>
      <c r="H130" s="40">
        <f t="shared" si="51"/>
        <v>3128.5</v>
      </c>
      <c r="I130" s="40">
        <f t="shared" si="51"/>
        <v>11519.5</v>
      </c>
      <c r="J130" s="40">
        <f t="shared" si="51"/>
        <v>9293.599999999999</v>
      </c>
      <c r="K130" s="40">
        <f>J130/I130*100</f>
        <v>80.67711272190633</v>
      </c>
      <c r="L130" s="40">
        <f>J130/D130*100</f>
        <v>63.44620425996722</v>
      </c>
    </row>
    <row r="131" spans="1:12" ht="12.75">
      <c r="A131" s="27" t="s">
        <v>27</v>
      </c>
      <c r="B131" s="27"/>
      <c r="C131" s="41" t="s">
        <v>26</v>
      </c>
      <c r="D131" s="42">
        <f aca="true" t="shared" si="52" ref="D131:D142">E131+F131+G131+H131</f>
        <v>10703</v>
      </c>
      <c r="E131" s="43">
        <v>2600</v>
      </c>
      <c r="F131" s="43">
        <v>3301.5</v>
      </c>
      <c r="G131" s="43">
        <v>2300</v>
      </c>
      <c r="H131" s="43">
        <v>2501.5</v>
      </c>
      <c r="I131" s="44">
        <f aca="true" t="shared" si="53" ref="I131:I142">E131+F131+G131</f>
        <v>8201.5</v>
      </c>
      <c r="J131" s="43">
        <v>8313.6</v>
      </c>
      <c r="K131" s="44">
        <f aca="true" t="shared" si="54" ref="K131:K143">J131/I131*100</f>
        <v>101.36682314210816</v>
      </c>
      <c r="L131" s="44">
        <f aca="true" t="shared" si="55" ref="L131:L143">J131/D131*100</f>
        <v>77.67541810707279</v>
      </c>
    </row>
    <row r="132" spans="1:12" ht="21" customHeight="1" hidden="1">
      <c r="A132" s="45" t="s">
        <v>8</v>
      </c>
      <c r="B132" s="45"/>
      <c r="C132" s="41" t="s">
        <v>5</v>
      </c>
      <c r="D132" s="42"/>
      <c r="E132" s="43"/>
      <c r="F132" s="43"/>
      <c r="G132" s="43"/>
      <c r="H132" s="43"/>
      <c r="I132" s="44">
        <f t="shared" si="53"/>
        <v>0</v>
      </c>
      <c r="J132" s="43">
        <v>0.3</v>
      </c>
      <c r="K132" s="44"/>
      <c r="L132" s="44"/>
    </row>
    <row r="133" spans="1:12" ht="12.75">
      <c r="A133" s="45" t="s">
        <v>9</v>
      </c>
      <c r="B133" s="45"/>
      <c r="C133" s="41" t="s">
        <v>6</v>
      </c>
      <c r="D133" s="42">
        <f t="shared" si="52"/>
        <v>694</v>
      </c>
      <c r="E133" s="43">
        <v>155</v>
      </c>
      <c r="F133" s="43">
        <v>180</v>
      </c>
      <c r="G133" s="43">
        <v>199</v>
      </c>
      <c r="H133" s="43">
        <v>160</v>
      </c>
      <c r="I133" s="44">
        <f t="shared" si="53"/>
        <v>534</v>
      </c>
      <c r="J133" s="43">
        <v>271.8</v>
      </c>
      <c r="K133" s="44">
        <f t="shared" si="54"/>
        <v>50.89887640449439</v>
      </c>
      <c r="L133" s="44">
        <f t="shared" si="55"/>
        <v>39.164265129683</v>
      </c>
    </row>
    <row r="134" spans="1:12" ht="14.25" customHeight="1">
      <c r="A134" s="45" t="s">
        <v>10</v>
      </c>
      <c r="B134" s="45"/>
      <c r="C134" s="41" t="s">
        <v>23</v>
      </c>
      <c r="D134" s="42">
        <f t="shared" si="52"/>
        <v>118</v>
      </c>
      <c r="E134" s="43">
        <v>30</v>
      </c>
      <c r="F134" s="43">
        <v>30</v>
      </c>
      <c r="G134" s="43">
        <v>30</v>
      </c>
      <c r="H134" s="43">
        <v>28</v>
      </c>
      <c r="I134" s="44">
        <f t="shared" si="53"/>
        <v>90</v>
      </c>
      <c r="J134" s="43">
        <v>82.9</v>
      </c>
      <c r="K134" s="44">
        <f t="shared" si="54"/>
        <v>92.11111111111111</v>
      </c>
      <c r="L134" s="44">
        <f t="shared" si="55"/>
        <v>70.2542372881356</v>
      </c>
    </row>
    <row r="135" spans="1:12" ht="24">
      <c r="A135" s="34" t="s">
        <v>11</v>
      </c>
      <c r="B135" s="34"/>
      <c r="C135" s="41" t="s">
        <v>17</v>
      </c>
      <c r="D135" s="42">
        <f t="shared" si="52"/>
        <v>2008</v>
      </c>
      <c r="E135" s="43">
        <v>489</v>
      </c>
      <c r="F135" s="43">
        <v>540</v>
      </c>
      <c r="G135" s="43">
        <v>540</v>
      </c>
      <c r="H135" s="43">
        <v>439</v>
      </c>
      <c r="I135" s="44">
        <f t="shared" si="53"/>
        <v>1569</v>
      </c>
      <c r="J135" s="43">
        <v>-509.3</v>
      </c>
      <c r="K135" s="44">
        <f t="shared" si="54"/>
        <v>-32.46016571064372</v>
      </c>
      <c r="L135" s="44">
        <f t="shared" si="55"/>
        <v>-25.36354581673307</v>
      </c>
    </row>
    <row r="136" spans="1:12" ht="12.75" customHeight="1" hidden="1">
      <c r="A136" s="47" t="s">
        <v>48</v>
      </c>
      <c r="B136" s="47"/>
      <c r="C136" s="41" t="s">
        <v>49</v>
      </c>
      <c r="D136" s="42">
        <f t="shared" si="52"/>
        <v>0</v>
      </c>
      <c r="E136" s="43"/>
      <c r="F136" s="43"/>
      <c r="G136" s="43"/>
      <c r="H136" s="43"/>
      <c r="I136" s="44">
        <f t="shared" si="53"/>
        <v>0</v>
      </c>
      <c r="J136" s="43"/>
      <c r="K136" s="44" t="e">
        <f>J136/I136*100</f>
        <v>#DIV/0!</v>
      </c>
      <c r="L136" s="44" t="e">
        <f>J136/D136*100</f>
        <v>#DIV/0!</v>
      </c>
    </row>
    <row r="137" spans="1:12" ht="12.75">
      <c r="A137" s="46" t="s">
        <v>18</v>
      </c>
      <c r="B137" s="46"/>
      <c r="C137" s="41" t="s">
        <v>15</v>
      </c>
      <c r="D137" s="42">
        <f t="shared" si="52"/>
        <v>0</v>
      </c>
      <c r="E137" s="43"/>
      <c r="F137" s="43"/>
      <c r="G137" s="43"/>
      <c r="H137" s="43"/>
      <c r="I137" s="44">
        <f t="shared" si="53"/>
        <v>0</v>
      </c>
      <c r="J137" s="43">
        <v>9.3</v>
      </c>
      <c r="K137" s="44"/>
      <c r="L137" s="44"/>
    </row>
    <row r="138" spans="1:12" ht="12.75">
      <c r="A138" s="27" t="s">
        <v>12</v>
      </c>
      <c r="B138" s="27"/>
      <c r="C138" s="41" t="s">
        <v>7</v>
      </c>
      <c r="D138" s="42">
        <v>1125</v>
      </c>
      <c r="E138" s="43">
        <v>1125</v>
      </c>
      <c r="F138" s="43"/>
      <c r="G138" s="43"/>
      <c r="H138" s="43"/>
      <c r="I138" s="44">
        <f t="shared" si="53"/>
        <v>1125</v>
      </c>
      <c r="J138" s="43">
        <v>1125</v>
      </c>
      <c r="K138" s="44">
        <f>J138/I138*100</f>
        <v>100</v>
      </c>
      <c r="L138" s="44">
        <f>J138/D138*100</f>
        <v>100</v>
      </c>
    </row>
    <row r="139" spans="1:12" ht="12.75">
      <c r="A139" s="46" t="s">
        <v>45</v>
      </c>
      <c r="B139" s="70"/>
      <c r="C139" s="50" t="s">
        <v>46</v>
      </c>
      <c r="D139" s="42">
        <f t="shared" si="52"/>
        <v>0</v>
      </c>
      <c r="E139" s="43"/>
      <c r="F139" s="43"/>
      <c r="G139" s="43"/>
      <c r="H139" s="43"/>
      <c r="I139" s="44">
        <f t="shared" si="53"/>
        <v>0</v>
      </c>
      <c r="J139" s="43"/>
      <c r="K139" s="44"/>
      <c r="L139" s="44"/>
    </row>
    <row r="140" spans="1:12" ht="12.75">
      <c r="A140" s="46" t="s">
        <v>50</v>
      </c>
      <c r="B140" s="70"/>
      <c r="C140" s="50" t="s">
        <v>51</v>
      </c>
      <c r="D140" s="42">
        <f t="shared" si="52"/>
        <v>0</v>
      </c>
      <c r="E140" s="43"/>
      <c r="F140" s="43"/>
      <c r="G140" s="43"/>
      <c r="H140" s="43"/>
      <c r="I140" s="44">
        <f t="shared" si="53"/>
        <v>0</v>
      </c>
      <c r="J140" s="43"/>
      <c r="K140" s="40"/>
      <c r="L140" s="40"/>
    </row>
    <row r="141" spans="1:12" ht="12.75">
      <c r="A141" s="38" t="s">
        <v>1</v>
      </c>
      <c r="B141" s="38"/>
      <c r="C141" s="51" t="s">
        <v>0</v>
      </c>
      <c r="D141" s="52">
        <f aca="true" t="shared" si="56" ref="D141:J141">D142</f>
        <v>41820.5</v>
      </c>
      <c r="E141" s="52">
        <f t="shared" si="56"/>
        <v>10865.4</v>
      </c>
      <c r="F141" s="52">
        <f t="shared" si="56"/>
        <v>13649.6</v>
      </c>
      <c r="G141" s="52">
        <f t="shared" si="56"/>
        <v>8988.8</v>
      </c>
      <c r="H141" s="52">
        <f t="shared" si="56"/>
        <v>8316.7</v>
      </c>
      <c r="I141" s="52">
        <f t="shared" si="56"/>
        <v>33503.8</v>
      </c>
      <c r="J141" s="52">
        <f t="shared" si="56"/>
        <v>30491.8</v>
      </c>
      <c r="K141" s="40">
        <f t="shared" si="54"/>
        <v>91.00997498791182</v>
      </c>
      <c r="L141" s="40">
        <f t="shared" si="55"/>
        <v>72.91113210028574</v>
      </c>
    </row>
    <row r="142" spans="1:12" ht="24">
      <c r="A142" s="36" t="s">
        <v>22</v>
      </c>
      <c r="B142" s="45"/>
      <c r="C142" s="53" t="s">
        <v>21</v>
      </c>
      <c r="D142" s="42">
        <f t="shared" si="52"/>
        <v>41820.5</v>
      </c>
      <c r="E142" s="43">
        <v>10865.4</v>
      </c>
      <c r="F142" s="43">
        <f>14716.5-1066.9</f>
        <v>13649.6</v>
      </c>
      <c r="G142" s="43">
        <f>8846.8+103.4+38.6</f>
        <v>8988.8</v>
      </c>
      <c r="H142" s="43">
        <v>8316.7</v>
      </c>
      <c r="I142" s="44">
        <f t="shared" si="53"/>
        <v>33503.8</v>
      </c>
      <c r="J142" s="43">
        <v>30491.8</v>
      </c>
      <c r="K142" s="44">
        <f t="shared" si="54"/>
        <v>91.00997498791182</v>
      </c>
      <c r="L142" s="44">
        <f t="shared" si="55"/>
        <v>72.91113210028574</v>
      </c>
    </row>
    <row r="143" spans="1:12" ht="12.75">
      <c r="A143" s="27"/>
      <c r="B143" s="28"/>
      <c r="C143" s="29" t="s">
        <v>4</v>
      </c>
      <c r="D143" s="1">
        <f>D141+D130</f>
        <v>56468.5</v>
      </c>
      <c r="E143" s="1">
        <f aca="true" t="shared" si="57" ref="E143:J143">E141+E130</f>
        <v>15264.4</v>
      </c>
      <c r="F143" s="1">
        <f t="shared" si="57"/>
        <v>17701.1</v>
      </c>
      <c r="G143" s="1">
        <f t="shared" si="57"/>
        <v>12057.8</v>
      </c>
      <c r="H143" s="1">
        <f t="shared" si="57"/>
        <v>11445.2</v>
      </c>
      <c r="I143" s="1">
        <f t="shared" si="57"/>
        <v>45023.3</v>
      </c>
      <c r="J143" s="1">
        <f t="shared" si="57"/>
        <v>39785.399999999994</v>
      </c>
      <c r="K143" s="40">
        <f t="shared" si="54"/>
        <v>88.36624592155616</v>
      </c>
      <c r="L143" s="40">
        <f t="shared" si="55"/>
        <v>70.4559179011307</v>
      </c>
    </row>
    <row r="144" spans="1:12" ht="12.75">
      <c r="A144" s="144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6"/>
    </row>
    <row r="145" spans="1:12" ht="12.75">
      <c r="A145" s="141" t="s">
        <v>37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3"/>
    </row>
    <row r="146" spans="1:12" ht="12.75">
      <c r="A146" s="38" t="s">
        <v>3</v>
      </c>
      <c r="B146" s="38"/>
      <c r="C146" s="39" t="s">
        <v>77</v>
      </c>
      <c r="D146" s="40">
        <f aca="true" t="shared" si="58" ref="D146:J146">D147+D148+D149+D150+D152+D153+D154+D151</f>
        <v>3687</v>
      </c>
      <c r="E146" s="40">
        <f t="shared" si="58"/>
        <v>573</v>
      </c>
      <c r="F146" s="40">
        <f t="shared" si="58"/>
        <v>768</v>
      </c>
      <c r="G146" s="40">
        <f t="shared" si="58"/>
        <v>1004</v>
      </c>
      <c r="H146" s="40">
        <f t="shared" si="58"/>
        <v>1342</v>
      </c>
      <c r="I146" s="40">
        <f t="shared" si="58"/>
        <v>2345</v>
      </c>
      <c r="J146" s="40">
        <f t="shared" si="58"/>
        <v>2779.3999999999996</v>
      </c>
      <c r="K146" s="40">
        <f>J146/I146*100</f>
        <v>118.52452025586354</v>
      </c>
      <c r="L146" s="40">
        <f>J146/D146*100</f>
        <v>75.38378085164089</v>
      </c>
    </row>
    <row r="147" spans="1:12" ht="12.75">
      <c r="A147" s="27" t="s">
        <v>27</v>
      </c>
      <c r="B147" s="27"/>
      <c r="C147" s="41" t="s">
        <v>26</v>
      </c>
      <c r="D147" s="42">
        <f aca="true" t="shared" si="59" ref="D147:D156">E147+F147+G147+H147</f>
        <v>2627</v>
      </c>
      <c r="E147" s="43">
        <v>410</v>
      </c>
      <c r="F147" s="43">
        <v>437</v>
      </c>
      <c r="G147" s="43">
        <v>910</v>
      </c>
      <c r="H147" s="43">
        <v>870</v>
      </c>
      <c r="I147" s="44">
        <f aca="true" t="shared" si="60" ref="I147:I157">E147+F147+G147</f>
        <v>1757</v>
      </c>
      <c r="J147" s="43">
        <v>1943.2</v>
      </c>
      <c r="K147" s="44">
        <f aca="true" t="shared" si="61" ref="K147:K158">J147/I147*100</f>
        <v>110.59760956175299</v>
      </c>
      <c r="L147" s="44">
        <f aca="true" t="shared" si="62" ref="L147:L158">J147/D147*100</f>
        <v>73.97030833650552</v>
      </c>
    </row>
    <row r="148" spans="1:12" ht="12.75">
      <c r="A148" s="45" t="s">
        <v>9</v>
      </c>
      <c r="B148" s="45"/>
      <c r="C148" s="41" t="s">
        <v>6</v>
      </c>
      <c r="D148" s="42">
        <f t="shared" si="59"/>
        <v>549</v>
      </c>
      <c r="E148" s="43">
        <v>50</v>
      </c>
      <c r="F148" s="43">
        <v>50</v>
      </c>
      <c r="G148" s="43">
        <v>50</v>
      </c>
      <c r="H148" s="43">
        <v>399</v>
      </c>
      <c r="I148" s="44">
        <f t="shared" si="60"/>
        <v>150</v>
      </c>
      <c r="J148" s="43">
        <v>205.4</v>
      </c>
      <c r="K148" s="44">
        <f t="shared" si="61"/>
        <v>136.93333333333334</v>
      </c>
      <c r="L148" s="44">
        <f t="shared" si="62"/>
        <v>37.41347905282332</v>
      </c>
    </row>
    <row r="149" spans="1:12" ht="12.75" customHeight="1" hidden="1">
      <c r="A149" s="45" t="s">
        <v>10</v>
      </c>
      <c r="B149" s="45"/>
      <c r="C149" s="41" t="s">
        <v>23</v>
      </c>
      <c r="D149" s="42">
        <f t="shared" si="59"/>
        <v>40</v>
      </c>
      <c r="E149" s="43">
        <v>6</v>
      </c>
      <c r="F149" s="43">
        <v>12</v>
      </c>
      <c r="G149" s="43">
        <v>8</v>
      </c>
      <c r="H149" s="43">
        <v>14</v>
      </c>
      <c r="I149" s="44">
        <f t="shared" si="60"/>
        <v>26</v>
      </c>
      <c r="J149" s="43">
        <v>34.5</v>
      </c>
      <c r="K149" s="44"/>
      <c r="L149" s="44"/>
    </row>
    <row r="150" spans="1:12" ht="24">
      <c r="A150" s="34" t="s">
        <v>11</v>
      </c>
      <c r="B150" s="34"/>
      <c r="C150" s="41" t="s">
        <v>17</v>
      </c>
      <c r="D150" s="42">
        <f t="shared" si="59"/>
        <v>233</v>
      </c>
      <c r="E150" s="43">
        <v>87</v>
      </c>
      <c r="F150" s="43">
        <v>91</v>
      </c>
      <c r="G150" s="43">
        <v>26</v>
      </c>
      <c r="H150" s="43">
        <v>29</v>
      </c>
      <c r="I150" s="44">
        <f t="shared" si="60"/>
        <v>204</v>
      </c>
      <c r="J150" s="43">
        <v>260.7</v>
      </c>
      <c r="K150" s="44">
        <f t="shared" si="61"/>
        <v>127.79411764705881</v>
      </c>
      <c r="L150" s="44">
        <f t="shared" si="62"/>
        <v>111.88841201716737</v>
      </c>
    </row>
    <row r="151" spans="1:12" ht="12.75">
      <c r="A151" s="47" t="s">
        <v>48</v>
      </c>
      <c r="B151" s="47"/>
      <c r="C151" s="41" t="s">
        <v>49</v>
      </c>
      <c r="D151" s="42">
        <f t="shared" si="59"/>
        <v>80</v>
      </c>
      <c r="E151" s="43">
        <v>20</v>
      </c>
      <c r="F151" s="43">
        <v>20</v>
      </c>
      <c r="G151" s="43">
        <v>10</v>
      </c>
      <c r="H151" s="43">
        <v>30</v>
      </c>
      <c r="I151" s="44">
        <f t="shared" si="60"/>
        <v>50</v>
      </c>
      <c r="J151" s="43">
        <v>52.5</v>
      </c>
      <c r="K151" s="44">
        <f t="shared" si="61"/>
        <v>105</v>
      </c>
      <c r="L151" s="44">
        <f t="shared" si="62"/>
        <v>65.625</v>
      </c>
    </row>
    <row r="152" spans="1:12" ht="12.75">
      <c r="A152" s="46" t="s">
        <v>18</v>
      </c>
      <c r="B152" s="46"/>
      <c r="C152" s="41" t="s">
        <v>15</v>
      </c>
      <c r="D152" s="42">
        <f t="shared" si="59"/>
        <v>36</v>
      </c>
      <c r="E152" s="43"/>
      <c r="F152" s="43">
        <v>36</v>
      </c>
      <c r="G152" s="43"/>
      <c r="H152" s="43"/>
      <c r="I152" s="44">
        <f t="shared" si="60"/>
        <v>36</v>
      </c>
      <c r="J152" s="43">
        <v>35.9</v>
      </c>
      <c r="K152" s="44">
        <f t="shared" si="61"/>
        <v>99.72222222222223</v>
      </c>
      <c r="L152" s="44">
        <f t="shared" si="62"/>
        <v>99.72222222222223</v>
      </c>
    </row>
    <row r="153" spans="1:12" ht="12.75">
      <c r="A153" s="27" t="s">
        <v>12</v>
      </c>
      <c r="B153" s="27"/>
      <c r="C153" s="41" t="s">
        <v>7</v>
      </c>
      <c r="D153" s="42">
        <f t="shared" si="59"/>
        <v>0</v>
      </c>
      <c r="E153" s="43"/>
      <c r="F153" s="43"/>
      <c r="G153" s="43"/>
      <c r="H153" s="43"/>
      <c r="I153" s="44">
        <f t="shared" si="60"/>
        <v>0</v>
      </c>
      <c r="J153" s="43"/>
      <c r="K153" s="44" t="e">
        <f>J153/I153*100</f>
        <v>#DIV/0!</v>
      </c>
      <c r="L153" s="44" t="e">
        <f>J153/D153*100</f>
        <v>#DIV/0!</v>
      </c>
    </row>
    <row r="154" spans="1:12" ht="12.75">
      <c r="A154" s="64" t="s">
        <v>45</v>
      </c>
      <c r="B154" s="49"/>
      <c r="C154" s="50" t="s">
        <v>46</v>
      </c>
      <c r="D154" s="42">
        <f t="shared" si="59"/>
        <v>122</v>
      </c>
      <c r="E154" s="43"/>
      <c r="F154" s="43">
        <v>122</v>
      </c>
      <c r="G154" s="43"/>
      <c r="H154" s="43"/>
      <c r="I154" s="44">
        <f t="shared" si="60"/>
        <v>122</v>
      </c>
      <c r="J154" s="43">
        <v>247.2</v>
      </c>
      <c r="K154" s="44">
        <f>J154/I154*100</f>
        <v>202.62295081967216</v>
      </c>
      <c r="L154" s="44">
        <f>J154/D154*100</f>
        <v>202.62295081967216</v>
      </c>
    </row>
    <row r="155" spans="1:12" ht="12.75">
      <c r="A155" s="38" t="s">
        <v>1</v>
      </c>
      <c r="B155" s="38"/>
      <c r="C155" s="51" t="s">
        <v>0</v>
      </c>
      <c r="D155" s="52">
        <f>D156+D157</f>
        <v>35585.6</v>
      </c>
      <c r="E155" s="52">
        <f aca="true" t="shared" si="63" ref="E155:J155">E156+E157</f>
        <v>12329.6</v>
      </c>
      <c r="F155" s="52">
        <f t="shared" si="63"/>
        <v>13038.400000000001</v>
      </c>
      <c r="G155" s="52">
        <f t="shared" si="63"/>
        <v>5590.599999999999</v>
      </c>
      <c r="H155" s="52">
        <f t="shared" si="63"/>
        <v>4627</v>
      </c>
      <c r="I155" s="52">
        <f t="shared" si="63"/>
        <v>30958.600000000002</v>
      </c>
      <c r="J155" s="52">
        <f t="shared" si="63"/>
        <v>28985.3</v>
      </c>
      <c r="K155" s="40">
        <f t="shared" si="61"/>
        <v>93.62600375985993</v>
      </c>
      <c r="L155" s="40">
        <f t="shared" si="62"/>
        <v>81.45232903196799</v>
      </c>
    </row>
    <row r="156" spans="1:12" ht="24">
      <c r="A156" s="36" t="s">
        <v>22</v>
      </c>
      <c r="B156" s="45"/>
      <c r="C156" s="53" t="s">
        <v>21</v>
      </c>
      <c r="D156" s="42">
        <f t="shared" si="59"/>
        <v>35335.9</v>
      </c>
      <c r="E156" s="43">
        <v>12329.6</v>
      </c>
      <c r="F156" s="43">
        <v>12788.7</v>
      </c>
      <c r="G156" s="43">
        <f>5431.7+76.7+82.2</f>
        <v>5590.599999999999</v>
      </c>
      <c r="H156" s="43">
        <v>4627</v>
      </c>
      <c r="I156" s="44">
        <f t="shared" si="60"/>
        <v>30708.9</v>
      </c>
      <c r="J156" s="43">
        <v>28735.6</v>
      </c>
      <c r="K156" s="44">
        <f t="shared" si="61"/>
        <v>93.57417556473855</v>
      </c>
      <c r="L156" s="44">
        <f t="shared" si="62"/>
        <v>81.3212625120628</v>
      </c>
    </row>
    <row r="157" spans="1:12" ht="12.75">
      <c r="A157" s="35" t="s">
        <v>2</v>
      </c>
      <c r="B157" s="35"/>
      <c r="C157" s="54" t="s">
        <v>19</v>
      </c>
      <c r="D157" s="42">
        <f>E157+F157+G157+H157</f>
        <v>249.7</v>
      </c>
      <c r="E157" s="43"/>
      <c r="F157" s="43">
        <v>249.7</v>
      </c>
      <c r="G157" s="43"/>
      <c r="H157" s="43"/>
      <c r="I157" s="44">
        <f t="shared" si="60"/>
        <v>249.7</v>
      </c>
      <c r="J157" s="43">
        <v>249.7</v>
      </c>
      <c r="K157" s="44">
        <f>J157/I157*100</f>
        <v>100</v>
      </c>
      <c r="L157" s="44">
        <f>J157/D157*100</f>
        <v>100</v>
      </c>
    </row>
    <row r="158" spans="1:12" ht="17.25" customHeight="1" hidden="1">
      <c r="A158" s="27"/>
      <c r="B158" s="28"/>
      <c r="C158" s="29" t="s">
        <v>4</v>
      </c>
      <c r="D158" s="1">
        <f>D155+D146</f>
        <v>39272.6</v>
      </c>
      <c r="E158" s="1">
        <f aca="true" t="shared" si="64" ref="E158:J158">E155+E146</f>
        <v>12902.6</v>
      </c>
      <c r="F158" s="1">
        <f t="shared" si="64"/>
        <v>13806.400000000001</v>
      </c>
      <c r="G158" s="1">
        <f t="shared" si="64"/>
        <v>6594.599999999999</v>
      </c>
      <c r="H158" s="1">
        <f t="shared" si="64"/>
        <v>5969</v>
      </c>
      <c r="I158" s="1">
        <f t="shared" si="64"/>
        <v>33303.600000000006</v>
      </c>
      <c r="J158" s="1">
        <f t="shared" si="64"/>
        <v>31764.699999999997</v>
      </c>
      <c r="K158" s="40">
        <f t="shared" si="61"/>
        <v>95.37917822697844</v>
      </c>
      <c r="L158" s="40">
        <f t="shared" si="62"/>
        <v>80.88260008250026</v>
      </c>
    </row>
    <row r="159" spans="1:12" ht="12.75">
      <c r="A159" s="144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6"/>
    </row>
    <row r="160" spans="1:12" ht="12.75">
      <c r="A160" s="141" t="s">
        <v>38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3"/>
    </row>
    <row r="161" spans="1:12" ht="12.75">
      <c r="A161" s="38" t="s">
        <v>3</v>
      </c>
      <c r="B161" s="38"/>
      <c r="C161" s="39" t="s">
        <v>77</v>
      </c>
      <c r="D161" s="40">
        <f>D162+D163+D164+D165+D166+D168+D170+D169+D167</f>
        <v>14523.8</v>
      </c>
      <c r="E161" s="40">
        <f aca="true" t="shared" si="65" ref="E161:J161">E162+E163+E164+E165+E166+E168+E170+E169+E167</f>
        <v>2999.5</v>
      </c>
      <c r="F161" s="40">
        <f t="shared" si="65"/>
        <v>4486.3</v>
      </c>
      <c r="G161" s="40">
        <f t="shared" si="65"/>
        <v>3312.5</v>
      </c>
      <c r="H161" s="40">
        <f t="shared" si="65"/>
        <v>3725.5</v>
      </c>
      <c r="I161" s="40">
        <f t="shared" si="65"/>
        <v>10798.3</v>
      </c>
      <c r="J161" s="40">
        <f t="shared" si="65"/>
        <v>11902</v>
      </c>
      <c r="K161" s="40">
        <f>J161/I161*100</f>
        <v>110.22105331394758</v>
      </c>
      <c r="L161" s="40">
        <f>J161/D161*100</f>
        <v>81.94825045786915</v>
      </c>
    </row>
    <row r="162" spans="1:12" ht="12.75">
      <c r="A162" s="27" t="s">
        <v>27</v>
      </c>
      <c r="B162" s="27"/>
      <c r="C162" s="41" t="s">
        <v>26</v>
      </c>
      <c r="D162" s="42">
        <f>E162+F162+G162+H162</f>
        <v>11271</v>
      </c>
      <c r="E162" s="43">
        <v>2553</v>
      </c>
      <c r="F162" s="43">
        <v>2854</v>
      </c>
      <c r="G162" s="43">
        <v>2803</v>
      </c>
      <c r="H162" s="43">
        <v>3061</v>
      </c>
      <c r="I162" s="44">
        <f aca="true" t="shared" si="66" ref="I162:I173">E162+F162+G162</f>
        <v>8210</v>
      </c>
      <c r="J162" s="43">
        <v>8404.7</v>
      </c>
      <c r="K162" s="44">
        <f aca="true" t="shared" si="67" ref="K162:K174">J162/I162*100</f>
        <v>102.3714981729598</v>
      </c>
      <c r="L162" s="44">
        <f aca="true" t="shared" si="68" ref="L162:L174">J162/D162*100</f>
        <v>74.5692485138852</v>
      </c>
    </row>
    <row r="163" spans="1:12" ht="12.75">
      <c r="A163" s="45" t="s">
        <v>8</v>
      </c>
      <c r="B163" s="45"/>
      <c r="C163" s="41" t="s">
        <v>5</v>
      </c>
      <c r="D163" s="42">
        <f>E163+F163+G163+H163</f>
        <v>0</v>
      </c>
      <c r="E163" s="43"/>
      <c r="F163" s="43"/>
      <c r="G163" s="43"/>
      <c r="H163" s="43"/>
      <c r="I163" s="44">
        <f t="shared" si="66"/>
        <v>0</v>
      </c>
      <c r="J163" s="43"/>
      <c r="K163" s="44"/>
      <c r="L163" s="44"/>
    </row>
    <row r="164" spans="1:12" ht="12.75">
      <c r="A164" s="45" t="s">
        <v>9</v>
      </c>
      <c r="B164" s="45"/>
      <c r="C164" s="41" t="s">
        <v>6</v>
      </c>
      <c r="D164" s="42">
        <f aca="true" t="shared" si="69" ref="D164:D173">E164+F164+G164+H164</f>
        <v>1404</v>
      </c>
      <c r="E164" s="43">
        <v>133.5</v>
      </c>
      <c r="F164" s="43">
        <v>833.5</v>
      </c>
      <c r="G164" s="43">
        <v>151.5</v>
      </c>
      <c r="H164" s="43">
        <v>285.5</v>
      </c>
      <c r="I164" s="44">
        <f t="shared" si="66"/>
        <v>1118.5</v>
      </c>
      <c r="J164" s="43">
        <v>2104.8</v>
      </c>
      <c r="K164" s="44">
        <f t="shared" si="67"/>
        <v>188.18059901654004</v>
      </c>
      <c r="L164" s="44">
        <f t="shared" si="68"/>
        <v>149.91452991452994</v>
      </c>
    </row>
    <row r="165" spans="1:12" ht="12.75">
      <c r="A165" s="45" t="s">
        <v>10</v>
      </c>
      <c r="B165" s="45"/>
      <c r="C165" s="41" t="s">
        <v>23</v>
      </c>
      <c r="D165" s="42">
        <f t="shared" si="69"/>
        <v>213</v>
      </c>
      <c r="E165" s="43">
        <v>43</v>
      </c>
      <c r="F165" s="43">
        <v>50</v>
      </c>
      <c r="G165" s="43">
        <v>60</v>
      </c>
      <c r="H165" s="43">
        <v>60</v>
      </c>
      <c r="I165" s="44">
        <f t="shared" si="66"/>
        <v>153</v>
      </c>
      <c r="J165" s="43">
        <v>113.1</v>
      </c>
      <c r="K165" s="44">
        <f t="shared" si="67"/>
        <v>73.92156862745097</v>
      </c>
      <c r="L165" s="44">
        <f t="shared" si="68"/>
        <v>53.09859154929577</v>
      </c>
    </row>
    <row r="166" spans="1:12" ht="24">
      <c r="A166" s="34" t="s">
        <v>11</v>
      </c>
      <c r="B166" s="34"/>
      <c r="C166" s="41" t="s">
        <v>17</v>
      </c>
      <c r="D166" s="42">
        <f t="shared" si="69"/>
        <v>933</v>
      </c>
      <c r="E166" s="43">
        <v>178</v>
      </c>
      <c r="F166" s="43">
        <v>233</v>
      </c>
      <c r="G166" s="43">
        <v>233</v>
      </c>
      <c r="H166" s="43">
        <v>289</v>
      </c>
      <c r="I166" s="44">
        <f t="shared" si="66"/>
        <v>644</v>
      </c>
      <c r="J166" s="43">
        <v>500.7</v>
      </c>
      <c r="K166" s="44">
        <f t="shared" si="67"/>
        <v>77.74844720496894</v>
      </c>
      <c r="L166" s="44">
        <f t="shared" si="68"/>
        <v>53.665594855305464</v>
      </c>
    </row>
    <row r="167" spans="1:12" ht="12.75">
      <c r="A167" s="47" t="s">
        <v>48</v>
      </c>
      <c r="B167" s="47"/>
      <c r="C167" s="41" t="s">
        <v>49</v>
      </c>
      <c r="D167" s="42">
        <f t="shared" si="69"/>
        <v>170</v>
      </c>
      <c r="E167" s="43">
        <v>75</v>
      </c>
      <c r="F167" s="43">
        <v>60</v>
      </c>
      <c r="G167" s="43">
        <v>35</v>
      </c>
      <c r="H167" s="43"/>
      <c r="I167" s="44">
        <f t="shared" si="66"/>
        <v>170</v>
      </c>
      <c r="J167" s="43">
        <v>190.4</v>
      </c>
      <c r="K167" s="44">
        <f t="shared" si="67"/>
        <v>112.00000000000001</v>
      </c>
      <c r="L167" s="44">
        <f t="shared" si="68"/>
        <v>112.00000000000001</v>
      </c>
    </row>
    <row r="168" spans="1:12" ht="12.75">
      <c r="A168" s="47" t="s">
        <v>18</v>
      </c>
      <c r="B168" s="47"/>
      <c r="C168" s="41" t="s">
        <v>15</v>
      </c>
      <c r="D168" s="42">
        <f t="shared" si="69"/>
        <v>137</v>
      </c>
      <c r="E168" s="43">
        <v>17</v>
      </c>
      <c r="F168" s="43">
        <v>60</v>
      </c>
      <c r="G168" s="43">
        <v>30</v>
      </c>
      <c r="H168" s="43">
        <v>30</v>
      </c>
      <c r="I168" s="44">
        <f t="shared" si="66"/>
        <v>107</v>
      </c>
      <c r="J168" s="43">
        <v>73.4</v>
      </c>
      <c r="K168" s="44">
        <f t="shared" si="67"/>
        <v>68.5981308411215</v>
      </c>
      <c r="L168" s="44">
        <f t="shared" si="68"/>
        <v>53.57664233576642</v>
      </c>
    </row>
    <row r="169" spans="1:12" ht="12.75">
      <c r="A169" s="27" t="s">
        <v>12</v>
      </c>
      <c r="B169" s="27"/>
      <c r="C169" s="41" t="s">
        <v>7</v>
      </c>
      <c r="D169" s="42">
        <f t="shared" si="69"/>
        <v>395.8</v>
      </c>
      <c r="E169" s="43"/>
      <c r="F169" s="43">
        <v>395.8</v>
      </c>
      <c r="G169" s="43"/>
      <c r="H169" s="43"/>
      <c r="I169" s="44">
        <f t="shared" si="66"/>
        <v>395.8</v>
      </c>
      <c r="J169" s="43">
        <v>514.9</v>
      </c>
      <c r="K169" s="44">
        <f t="shared" si="67"/>
        <v>130.0909550277918</v>
      </c>
      <c r="L169" s="44">
        <f t="shared" si="68"/>
        <v>130.0909550277918</v>
      </c>
    </row>
    <row r="170" spans="1:12" ht="12.75">
      <c r="A170" s="64" t="s">
        <v>45</v>
      </c>
      <c r="B170" s="49"/>
      <c r="C170" s="50" t="s">
        <v>46</v>
      </c>
      <c r="D170" s="42">
        <f t="shared" si="69"/>
        <v>0</v>
      </c>
      <c r="E170" s="43"/>
      <c r="F170" s="43"/>
      <c r="G170" s="43"/>
      <c r="H170" s="43"/>
      <c r="I170" s="44">
        <f t="shared" si="66"/>
        <v>0</v>
      </c>
      <c r="J170" s="43"/>
      <c r="K170" s="44"/>
      <c r="L170" s="44"/>
    </row>
    <row r="171" spans="1:12" ht="12.75">
      <c r="A171" s="38" t="s">
        <v>1</v>
      </c>
      <c r="B171" s="38"/>
      <c r="C171" s="51" t="s">
        <v>0</v>
      </c>
      <c r="D171" s="58">
        <f>D172+D173</f>
        <v>63209.50000000001</v>
      </c>
      <c r="E171" s="58">
        <f aca="true" t="shared" si="70" ref="E171:J171">E172+E173</f>
        <v>14427.6</v>
      </c>
      <c r="F171" s="58">
        <f t="shared" si="70"/>
        <v>25425.7</v>
      </c>
      <c r="G171" s="58">
        <f t="shared" si="70"/>
        <v>14750.2</v>
      </c>
      <c r="H171" s="58">
        <f t="shared" si="70"/>
        <v>8606</v>
      </c>
      <c r="I171" s="58">
        <f t="shared" si="70"/>
        <v>54603.50000000001</v>
      </c>
      <c r="J171" s="58">
        <f t="shared" si="70"/>
        <v>49330.6</v>
      </c>
      <c r="K171" s="40">
        <f t="shared" si="67"/>
        <v>90.34329301235267</v>
      </c>
      <c r="L171" s="40">
        <f t="shared" si="68"/>
        <v>78.04301568593327</v>
      </c>
    </row>
    <row r="172" spans="1:12" ht="24">
      <c r="A172" s="36" t="s">
        <v>22</v>
      </c>
      <c r="B172" s="45"/>
      <c r="C172" s="53" t="s">
        <v>21</v>
      </c>
      <c r="D172" s="42">
        <f t="shared" si="69"/>
        <v>63109.600000000006</v>
      </c>
      <c r="E172" s="43">
        <v>14427.6</v>
      </c>
      <c r="F172" s="43">
        <v>25325.8</v>
      </c>
      <c r="G172" s="43">
        <f>5296+7381.2+2073</f>
        <v>14750.2</v>
      </c>
      <c r="H172" s="43">
        <v>8606</v>
      </c>
      <c r="I172" s="44">
        <f t="shared" si="66"/>
        <v>54503.600000000006</v>
      </c>
      <c r="J172" s="43">
        <v>49230.7</v>
      </c>
      <c r="K172" s="44">
        <f t="shared" si="67"/>
        <v>90.32559317182717</v>
      </c>
      <c r="L172" s="44">
        <f t="shared" si="68"/>
        <v>78.0082586484465</v>
      </c>
    </row>
    <row r="173" spans="1:12" ht="12.75">
      <c r="A173" s="35" t="s">
        <v>2</v>
      </c>
      <c r="B173" s="35"/>
      <c r="C173" s="54" t="s">
        <v>19</v>
      </c>
      <c r="D173" s="42">
        <f t="shared" si="69"/>
        <v>99.9</v>
      </c>
      <c r="E173" s="43"/>
      <c r="F173" s="43">
        <v>99.9</v>
      </c>
      <c r="G173" s="43"/>
      <c r="H173" s="43"/>
      <c r="I173" s="44">
        <f t="shared" si="66"/>
        <v>99.9</v>
      </c>
      <c r="J173" s="43">
        <v>99.9</v>
      </c>
      <c r="K173" s="44">
        <f>J173/I173*100</f>
        <v>100</v>
      </c>
      <c r="L173" s="44">
        <f>J173/D173*100</f>
        <v>100</v>
      </c>
    </row>
    <row r="174" spans="1:12" ht="12.75">
      <c r="A174" s="27"/>
      <c r="B174" s="28"/>
      <c r="C174" s="29" t="s">
        <v>4</v>
      </c>
      <c r="D174" s="1">
        <f>D171+D161</f>
        <v>77733.3</v>
      </c>
      <c r="E174" s="1">
        <f aca="true" t="shared" si="71" ref="E174:J174">E171+E161</f>
        <v>17427.1</v>
      </c>
      <c r="F174" s="1">
        <f t="shared" si="71"/>
        <v>29912</v>
      </c>
      <c r="G174" s="1">
        <f t="shared" si="71"/>
        <v>18062.7</v>
      </c>
      <c r="H174" s="1">
        <f t="shared" si="71"/>
        <v>12331.5</v>
      </c>
      <c r="I174" s="1">
        <f t="shared" si="71"/>
        <v>65401.8</v>
      </c>
      <c r="J174" s="1">
        <f t="shared" si="71"/>
        <v>61232.6</v>
      </c>
      <c r="K174" s="40">
        <f t="shared" si="67"/>
        <v>93.62525190438184</v>
      </c>
      <c r="L174" s="40">
        <f t="shared" si="68"/>
        <v>78.77267528845422</v>
      </c>
    </row>
    <row r="175" spans="1:12" ht="12.75">
      <c r="A175" s="144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6"/>
    </row>
    <row r="176" spans="1:12" ht="12.75">
      <c r="A176" s="141" t="s">
        <v>39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3"/>
    </row>
    <row r="177" spans="1:12" ht="12.75" customHeight="1" hidden="1">
      <c r="A177" s="38" t="s">
        <v>3</v>
      </c>
      <c r="B177" s="38"/>
      <c r="C177" s="39" t="s">
        <v>77</v>
      </c>
      <c r="D177" s="40">
        <f>D178+D179+D181+D182+D180+D183+D184+D185</f>
        <v>1306</v>
      </c>
      <c r="E177" s="40">
        <f aca="true" t="shared" si="72" ref="E177:J177">E178+E179+E181+E182+E180+E183+E184+E185</f>
        <v>161</v>
      </c>
      <c r="F177" s="40">
        <f t="shared" si="72"/>
        <v>388</v>
      </c>
      <c r="G177" s="40">
        <f t="shared" si="72"/>
        <v>394</v>
      </c>
      <c r="H177" s="40">
        <f t="shared" si="72"/>
        <v>363</v>
      </c>
      <c r="I177" s="40">
        <f>E177</f>
        <v>161</v>
      </c>
      <c r="J177" s="40">
        <f t="shared" si="72"/>
        <v>998.8000000000001</v>
      </c>
      <c r="K177" s="40">
        <f aca="true" t="shared" si="73" ref="K177:K183">J177/I177*100</f>
        <v>620.3726708074535</v>
      </c>
      <c r="L177" s="40">
        <f>J177/D177*100</f>
        <v>76.47779479326188</v>
      </c>
    </row>
    <row r="178" spans="1:12" ht="12.75">
      <c r="A178" s="27" t="s">
        <v>27</v>
      </c>
      <c r="B178" s="27"/>
      <c r="C178" s="41" t="s">
        <v>26</v>
      </c>
      <c r="D178" s="42">
        <f aca="true" t="shared" si="74" ref="D178:D187">E178+F178+G178+H178</f>
        <v>920</v>
      </c>
      <c r="E178" s="43">
        <v>125</v>
      </c>
      <c r="F178" s="43">
        <v>248</v>
      </c>
      <c r="G178" s="43">
        <v>280</v>
      </c>
      <c r="H178" s="43">
        <v>267</v>
      </c>
      <c r="I178" s="44">
        <f aca="true" t="shared" si="75" ref="I178:I184">E178+F178+G178</f>
        <v>653</v>
      </c>
      <c r="J178" s="43">
        <v>650.2</v>
      </c>
      <c r="K178" s="44">
        <f t="shared" si="73"/>
        <v>99.57120980091885</v>
      </c>
      <c r="L178" s="44">
        <f aca="true" t="shared" si="76" ref="L178:L188">J178/D178*100</f>
        <v>70.67391304347827</v>
      </c>
    </row>
    <row r="179" spans="1:12" ht="12.75" customHeight="1" hidden="1">
      <c r="A179" s="45" t="s">
        <v>9</v>
      </c>
      <c r="B179" s="45"/>
      <c r="C179" s="41" t="s">
        <v>6</v>
      </c>
      <c r="D179" s="42">
        <f t="shared" si="74"/>
        <v>116.1</v>
      </c>
      <c r="E179" s="43">
        <v>31</v>
      </c>
      <c r="F179" s="43">
        <v>32.6</v>
      </c>
      <c r="G179" s="43">
        <f>53-31.5</f>
        <v>21.5</v>
      </c>
      <c r="H179" s="43">
        <f>61-30</f>
        <v>31</v>
      </c>
      <c r="I179" s="44">
        <f t="shared" si="75"/>
        <v>85.1</v>
      </c>
      <c r="J179" s="43">
        <v>78.7</v>
      </c>
      <c r="K179" s="44">
        <f t="shared" si="73"/>
        <v>92.47943595769684</v>
      </c>
      <c r="L179" s="44">
        <f t="shared" si="76"/>
        <v>67.786391042205</v>
      </c>
    </row>
    <row r="180" spans="1:12" ht="12.75">
      <c r="A180" s="45" t="s">
        <v>10</v>
      </c>
      <c r="B180" s="45"/>
      <c r="C180" s="41" t="s">
        <v>23</v>
      </c>
      <c r="D180" s="42">
        <f t="shared" si="74"/>
        <v>27</v>
      </c>
      <c r="E180" s="43">
        <v>5</v>
      </c>
      <c r="F180" s="43">
        <v>5</v>
      </c>
      <c r="G180" s="43">
        <v>9</v>
      </c>
      <c r="H180" s="43">
        <v>8</v>
      </c>
      <c r="I180" s="44">
        <f t="shared" si="75"/>
        <v>19</v>
      </c>
      <c r="J180" s="43">
        <v>17.1</v>
      </c>
      <c r="K180" s="44">
        <f t="shared" si="73"/>
        <v>90</v>
      </c>
      <c r="L180" s="44">
        <f t="shared" si="76"/>
        <v>63.33333333333334</v>
      </c>
    </row>
    <row r="181" spans="1:12" ht="24">
      <c r="A181" s="34" t="s">
        <v>11</v>
      </c>
      <c r="B181" s="34"/>
      <c r="C181" s="41" t="s">
        <v>17</v>
      </c>
      <c r="D181" s="42">
        <f t="shared" si="74"/>
        <v>192.5</v>
      </c>
      <c r="E181" s="43"/>
      <c r="F181" s="43">
        <v>52</v>
      </c>
      <c r="G181" s="43">
        <f>24+31.5+28</f>
        <v>83.5</v>
      </c>
      <c r="H181" s="43">
        <f>27+30</f>
        <v>57</v>
      </c>
      <c r="I181" s="44">
        <f t="shared" si="75"/>
        <v>135.5</v>
      </c>
      <c r="J181" s="43">
        <v>202.1</v>
      </c>
      <c r="K181" s="44">
        <f t="shared" si="73"/>
        <v>149.15129151291512</v>
      </c>
      <c r="L181" s="44">
        <f t="shared" si="76"/>
        <v>104.98701298701299</v>
      </c>
    </row>
    <row r="182" spans="1:12" ht="12.75">
      <c r="A182" s="46" t="s">
        <v>18</v>
      </c>
      <c r="B182" s="46"/>
      <c r="C182" s="41" t="s">
        <v>15</v>
      </c>
      <c r="D182" s="42">
        <v>0.4</v>
      </c>
      <c r="E182" s="43"/>
      <c r="F182" s="43">
        <v>0.4</v>
      </c>
      <c r="G182" s="43"/>
      <c r="H182" s="43"/>
      <c r="I182" s="44">
        <f t="shared" si="75"/>
        <v>0.4</v>
      </c>
      <c r="J182" s="43">
        <v>0.4</v>
      </c>
      <c r="K182" s="44">
        <f t="shared" si="73"/>
        <v>100</v>
      </c>
      <c r="L182" s="44">
        <f t="shared" si="76"/>
        <v>100</v>
      </c>
    </row>
    <row r="183" spans="1:12" ht="12.75">
      <c r="A183" s="46" t="s">
        <v>12</v>
      </c>
      <c r="B183" s="70"/>
      <c r="C183" s="41" t="s">
        <v>7</v>
      </c>
      <c r="D183" s="42">
        <f t="shared" si="74"/>
        <v>50</v>
      </c>
      <c r="E183" s="43"/>
      <c r="F183" s="43">
        <v>50</v>
      </c>
      <c r="G183" s="43"/>
      <c r="H183" s="43"/>
      <c r="I183" s="44">
        <f t="shared" si="75"/>
        <v>50</v>
      </c>
      <c r="J183" s="43">
        <v>50</v>
      </c>
      <c r="K183" s="44">
        <f t="shared" si="73"/>
        <v>100</v>
      </c>
      <c r="L183" s="44">
        <f>J183/D183*100</f>
        <v>100</v>
      </c>
    </row>
    <row r="184" spans="1:12" ht="12.75">
      <c r="A184" s="64" t="s">
        <v>45</v>
      </c>
      <c r="B184" s="49"/>
      <c r="C184" s="50" t="s">
        <v>46</v>
      </c>
      <c r="D184" s="42">
        <f t="shared" si="74"/>
        <v>0</v>
      </c>
      <c r="E184" s="43"/>
      <c r="F184" s="43"/>
      <c r="G184" s="43"/>
      <c r="H184" s="43"/>
      <c r="I184" s="44">
        <f t="shared" si="75"/>
        <v>0</v>
      </c>
      <c r="J184" s="43">
        <v>0.3</v>
      </c>
      <c r="K184" s="44"/>
      <c r="L184" s="44"/>
    </row>
    <row r="185" spans="1:12" ht="12.75">
      <c r="A185" s="48" t="s">
        <v>50</v>
      </c>
      <c r="B185" s="49"/>
      <c r="C185" s="50" t="s">
        <v>51</v>
      </c>
      <c r="D185" s="42">
        <f t="shared" si="74"/>
        <v>0</v>
      </c>
      <c r="E185" s="42"/>
      <c r="F185" s="42"/>
      <c r="G185" s="42"/>
      <c r="H185" s="42"/>
      <c r="I185" s="40">
        <f>E185</f>
        <v>0</v>
      </c>
      <c r="J185" s="43"/>
      <c r="K185" s="40"/>
      <c r="L185" s="40"/>
    </row>
    <row r="186" spans="1:12" ht="12.75">
      <c r="A186" s="38" t="s">
        <v>1</v>
      </c>
      <c r="B186" s="38"/>
      <c r="C186" s="51" t="s">
        <v>0</v>
      </c>
      <c r="D186" s="52">
        <f aca="true" t="shared" si="77" ref="D186:I186">D187</f>
        <v>25449.1</v>
      </c>
      <c r="E186" s="52">
        <f t="shared" si="77"/>
        <v>9533</v>
      </c>
      <c r="F186" s="52">
        <f t="shared" si="77"/>
        <v>6840.3</v>
      </c>
      <c r="G186" s="52">
        <f t="shared" si="77"/>
        <v>4969.900000000001</v>
      </c>
      <c r="H186" s="52">
        <f t="shared" si="77"/>
        <v>4105.9</v>
      </c>
      <c r="I186" s="52">
        <f t="shared" si="77"/>
        <v>21343.2</v>
      </c>
      <c r="J186" s="52">
        <f>J187</f>
        <v>19281.1</v>
      </c>
      <c r="K186" s="40">
        <f>J186/I186*100</f>
        <v>90.33837475167734</v>
      </c>
      <c r="L186" s="40">
        <f t="shared" si="76"/>
        <v>75.76338652447434</v>
      </c>
    </row>
    <row r="187" spans="1:12" ht="24">
      <c r="A187" s="36" t="s">
        <v>22</v>
      </c>
      <c r="B187" s="45"/>
      <c r="C187" s="53" t="s">
        <v>21</v>
      </c>
      <c r="D187" s="42">
        <f t="shared" si="74"/>
        <v>25449.1</v>
      </c>
      <c r="E187" s="43">
        <v>9533</v>
      </c>
      <c r="F187" s="43">
        <v>6840.3</v>
      </c>
      <c r="G187" s="43">
        <f>4811.3+120.1+38.5</f>
        <v>4969.900000000001</v>
      </c>
      <c r="H187" s="43">
        <v>4105.9</v>
      </c>
      <c r="I187" s="44">
        <f>E187+F187+G187</f>
        <v>21343.2</v>
      </c>
      <c r="J187" s="43">
        <v>19281.1</v>
      </c>
      <c r="K187" s="44">
        <f>J187/I187*100</f>
        <v>90.33837475167734</v>
      </c>
      <c r="L187" s="44">
        <f t="shared" si="76"/>
        <v>75.76338652447434</v>
      </c>
    </row>
    <row r="188" spans="1:12" ht="12.75">
      <c r="A188" s="27"/>
      <c r="B188" s="28"/>
      <c r="C188" s="29" t="s">
        <v>4</v>
      </c>
      <c r="D188" s="1">
        <f>D186+D177</f>
        <v>26755.1</v>
      </c>
      <c r="E188" s="1">
        <f aca="true" t="shared" si="78" ref="E188:J188">E186+E177</f>
        <v>9694</v>
      </c>
      <c r="F188" s="1">
        <f t="shared" si="78"/>
        <v>7228.3</v>
      </c>
      <c r="G188" s="1">
        <f t="shared" si="78"/>
        <v>5363.900000000001</v>
      </c>
      <c r="H188" s="1">
        <f t="shared" si="78"/>
        <v>4468.9</v>
      </c>
      <c r="I188" s="1">
        <f t="shared" si="78"/>
        <v>21504.2</v>
      </c>
      <c r="J188" s="1">
        <f t="shared" si="78"/>
        <v>20279.899999999998</v>
      </c>
      <c r="K188" s="40">
        <f>J188/I188*100</f>
        <v>94.3066935761386</v>
      </c>
      <c r="L188" s="40">
        <f t="shared" si="76"/>
        <v>75.79825902351327</v>
      </c>
    </row>
    <row r="189" spans="1:12" ht="12.75">
      <c r="A189" s="144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6"/>
    </row>
    <row r="190" spans="1:12" ht="12.75">
      <c r="A190" s="141" t="s">
        <v>40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3"/>
    </row>
    <row r="191" spans="1:12" ht="12.75">
      <c r="A191" s="38" t="s">
        <v>3</v>
      </c>
      <c r="B191" s="71"/>
      <c r="C191" s="39" t="s">
        <v>77</v>
      </c>
      <c r="D191" s="40">
        <f aca="true" t="shared" si="79" ref="D191:J191">D192+D193+D194+D195+D197+D198+D200+D202+D199+D196+D205+D203+D201+D204</f>
        <v>774654.4</v>
      </c>
      <c r="E191" s="40">
        <f t="shared" si="79"/>
        <v>179253.40000000002</v>
      </c>
      <c r="F191" s="40">
        <f t="shared" si="79"/>
        <v>206511.80000000002</v>
      </c>
      <c r="G191" s="40">
        <f t="shared" si="79"/>
        <v>188699.69999999995</v>
      </c>
      <c r="H191" s="40">
        <f t="shared" si="79"/>
        <v>200189.49999999997</v>
      </c>
      <c r="I191" s="40">
        <f t="shared" si="79"/>
        <v>574464.9000000001</v>
      </c>
      <c r="J191" s="40">
        <f t="shared" si="79"/>
        <v>534437.3000000002</v>
      </c>
      <c r="K191" s="40">
        <f>J191/I191*100</f>
        <v>93.03219395997911</v>
      </c>
      <c r="L191" s="40">
        <f>J191/D191*100</f>
        <v>68.9904168878406</v>
      </c>
    </row>
    <row r="192" spans="1:12" ht="12.75">
      <c r="A192" s="27" t="s">
        <v>27</v>
      </c>
      <c r="B192" s="72" t="s">
        <v>62</v>
      </c>
      <c r="C192" s="41" t="s">
        <v>26</v>
      </c>
      <c r="D192" s="42">
        <f aca="true" t="shared" si="80" ref="D192:D207">E192+F192+G192+H192</f>
        <v>550922.5</v>
      </c>
      <c r="E192" s="43">
        <f>E10+E32+E44+E58+E73+E90+E104+E117+E131+E147+E162+E178</f>
        <v>131173.2</v>
      </c>
      <c r="F192" s="43">
        <f>F10+F32+F44+F58+F73+F90+F104+F117+F131+F147+F162+F178</f>
        <v>144457.09999999998</v>
      </c>
      <c r="G192" s="43">
        <f>G10+G32+G44+G58+G73+G90+G104+G117+G131+G147+G162+G178</f>
        <v>133088.1</v>
      </c>
      <c r="H192" s="43">
        <f>H10+H32+H44+H58+H73+H90+H104+H117+H131+H147+H162+H178</f>
        <v>142204.09999999998</v>
      </c>
      <c r="I192" s="44">
        <f aca="true" t="shared" si="81" ref="I192:I203">E192+F192+G192</f>
        <v>408718.4</v>
      </c>
      <c r="J192" s="43">
        <f>J10+J32+J44+J58+J73+J90+J104+J117+J131+J147+J162+J178</f>
        <v>380319.50000000006</v>
      </c>
      <c r="K192" s="44">
        <f aca="true" t="shared" si="82" ref="K192:K210">J192/I192*100</f>
        <v>93.05171971704725</v>
      </c>
      <c r="L192" s="44">
        <f aca="true" t="shared" si="83" ref="L192:L210">J192/D192*100</f>
        <v>69.03321247543893</v>
      </c>
    </row>
    <row r="193" spans="1:12" ht="12.75">
      <c r="A193" s="45" t="s">
        <v>8</v>
      </c>
      <c r="B193" s="73" t="s">
        <v>63</v>
      </c>
      <c r="C193" s="41" t="s">
        <v>5</v>
      </c>
      <c r="D193" s="43">
        <f>D11+D163+D132+D45+D59</f>
        <v>37368.6</v>
      </c>
      <c r="E193" s="43">
        <f>E11+E45+E59+E132</f>
        <v>8361.7</v>
      </c>
      <c r="F193" s="43">
        <f>F11+F45+F59+F132</f>
        <v>12340.9</v>
      </c>
      <c r="G193" s="43">
        <f>G11+G45+G59+G132</f>
        <v>8000.8</v>
      </c>
      <c r="H193" s="43">
        <f>H11+H45+H59+H132</f>
        <v>8665.2</v>
      </c>
      <c r="I193" s="44">
        <f t="shared" si="81"/>
        <v>28703.399999999998</v>
      </c>
      <c r="J193" s="43">
        <f>J11+J45+J59+J132</f>
        <v>28713.8</v>
      </c>
      <c r="K193" s="44">
        <f t="shared" si="82"/>
        <v>100.03623264142925</v>
      </c>
      <c r="L193" s="44">
        <f t="shared" si="83"/>
        <v>76.83937851565219</v>
      </c>
    </row>
    <row r="194" spans="1:12" ht="12.75">
      <c r="A194" s="45" t="s">
        <v>9</v>
      </c>
      <c r="B194" s="73" t="s">
        <v>64</v>
      </c>
      <c r="C194" s="41" t="s">
        <v>6</v>
      </c>
      <c r="D194" s="42">
        <f t="shared" si="80"/>
        <v>33177.1</v>
      </c>
      <c r="E194" s="43">
        <f>E12+E33+E46+E60+E75+E91+E105+E118+E133+E148+E164+E179</f>
        <v>5394.700000000001</v>
      </c>
      <c r="F194" s="43">
        <f>F12+F33+F46+F60+F75+F91+F105+F118+F133+F148+F164+F179</f>
        <v>5912.1</v>
      </c>
      <c r="G194" s="43">
        <f>G12+G33+G46+G60+G75+G91+G105+G118+G133+G148+G164+G179</f>
        <v>11669.8</v>
      </c>
      <c r="H194" s="43">
        <f>H12+H33+H46+H60+H75+H91+H105+H118+H133+H148+H164+H179</f>
        <v>10200.5</v>
      </c>
      <c r="I194" s="44">
        <f t="shared" si="81"/>
        <v>22976.6</v>
      </c>
      <c r="J194" s="43">
        <f>J12+J33+J46+J60+J75+J91+J105+J118+J133+J148+J164+J179</f>
        <v>25208.699999999997</v>
      </c>
      <c r="K194" s="44">
        <f t="shared" si="82"/>
        <v>109.71466622563825</v>
      </c>
      <c r="L194" s="44">
        <f t="shared" si="83"/>
        <v>75.98222870594475</v>
      </c>
    </row>
    <row r="195" spans="1:12" ht="12.75">
      <c r="A195" s="45" t="s">
        <v>10</v>
      </c>
      <c r="B195" s="73" t="s">
        <v>57</v>
      </c>
      <c r="C195" s="41" t="s">
        <v>23</v>
      </c>
      <c r="D195" s="42">
        <f t="shared" si="80"/>
        <v>4710.000000000001</v>
      </c>
      <c r="E195" s="43">
        <f>E13+E34+E92+E106+E119+E134+E149+E165+E180</f>
        <v>165.4</v>
      </c>
      <c r="F195" s="43">
        <f>F13+F34+F92+F106+F119+F134+F149+F165+F180</f>
        <v>1455.2</v>
      </c>
      <c r="G195" s="43">
        <f>G13+G34+G92+G106+G119+G134+G149+G165+G180</f>
        <v>1542.8000000000002</v>
      </c>
      <c r="H195" s="43">
        <f>H13+H34+H92+H106+H119+H134+H149+H165+H180</f>
        <v>1546.6000000000001</v>
      </c>
      <c r="I195" s="44">
        <f t="shared" si="81"/>
        <v>3163.4000000000005</v>
      </c>
      <c r="J195" s="43">
        <f>J13+J34+J92+J106+J119+J134+J149+J165+J180</f>
        <v>3647.0999999999995</v>
      </c>
      <c r="K195" s="44">
        <f t="shared" si="82"/>
        <v>115.29051021053294</v>
      </c>
      <c r="L195" s="44">
        <f t="shared" si="83"/>
        <v>77.43312101910826</v>
      </c>
    </row>
    <row r="196" spans="1:12" ht="24">
      <c r="A196" s="45" t="s">
        <v>43</v>
      </c>
      <c r="B196" s="73" t="s">
        <v>65</v>
      </c>
      <c r="C196" s="41" t="s">
        <v>44</v>
      </c>
      <c r="D196" s="42">
        <f t="shared" si="80"/>
        <v>0</v>
      </c>
      <c r="E196" s="74">
        <f>E14</f>
        <v>0</v>
      </c>
      <c r="F196" s="74">
        <f>F14</f>
        <v>0</v>
      </c>
      <c r="G196" s="74">
        <f>G14</f>
        <v>0</v>
      </c>
      <c r="H196" s="74">
        <f>H14</f>
        <v>0</v>
      </c>
      <c r="I196" s="44">
        <f t="shared" si="81"/>
        <v>0</v>
      </c>
      <c r="J196" s="74">
        <f>J14</f>
        <v>2.4</v>
      </c>
      <c r="K196" s="44"/>
      <c r="L196" s="44"/>
    </row>
    <row r="197" spans="1:12" ht="24">
      <c r="A197" s="34" t="s">
        <v>11</v>
      </c>
      <c r="B197" s="75" t="s">
        <v>56</v>
      </c>
      <c r="C197" s="41" t="s">
        <v>17</v>
      </c>
      <c r="D197" s="42">
        <f t="shared" si="80"/>
        <v>80073.29999999999</v>
      </c>
      <c r="E197" s="43">
        <f>E15+E35+E48+E62+E77+E93+E107+E120+E135+E150+E166+E181</f>
        <v>20474.4</v>
      </c>
      <c r="F197" s="43">
        <f>F15+F35+F48+F62+F77+F93+F107+F120+F135+F150+F166+F181</f>
        <v>17933.699999999997</v>
      </c>
      <c r="G197" s="43">
        <f>G15+G35+G48+G62+G77+G93+G107+G120+G135+G150+G166+G181</f>
        <v>18977.4</v>
      </c>
      <c r="H197" s="43">
        <f>H15+H35+H48+H62+H77+H93+H107+H120+H135+H150+H166+H181</f>
        <v>22687.799999999996</v>
      </c>
      <c r="I197" s="44">
        <f t="shared" si="81"/>
        <v>57385.5</v>
      </c>
      <c r="J197" s="43">
        <f>J15+J35+J48+J62+J77+J93+J107+J120+J135+J150+J166+J181</f>
        <v>48763.79999999999</v>
      </c>
      <c r="K197" s="44">
        <f t="shared" si="82"/>
        <v>84.97582141830252</v>
      </c>
      <c r="L197" s="44">
        <f t="shared" si="83"/>
        <v>60.89895133583853</v>
      </c>
    </row>
    <row r="198" spans="1:12" ht="12.75" customHeight="1" hidden="1">
      <c r="A198" s="46" t="s">
        <v>14</v>
      </c>
      <c r="B198" s="76" t="s">
        <v>55</v>
      </c>
      <c r="C198" s="41" t="s">
        <v>13</v>
      </c>
      <c r="D198" s="42">
        <f t="shared" si="80"/>
        <v>12581</v>
      </c>
      <c r="E198" s="43">
        <f>E16</f>
        <v>532.8</v>
      </c>
      <c r="F198" s="43">
        <f>F16</f>
        <v>6148.2</v>
      </c>
      <c r="G198" s="43">
        <f>G16</f>
        <v>2950</v>
      </c>
      <c r="H198" s="43">
        <f>H16</f>
        <v>2950</v>
      </c>
      <c r="I198" s="44">
        <f t="shared" si="81"/>
        <v>9631</v>
      </c>
      <c r="J198" s="43">
        <f>J16</f>
        <v>9971.1</v>
      </c>
      <c r="K198" s="44">
        <f t="shared" si="82"/>
        <v>103.53130516041948</v>
      </c>
      <c r="L198" s="44">
        <f t="shared" si="83"/>
        <v>79.25522613464749</v>
      </c>
    </row>
    <row r="199" spans="1:12" ht="12.75" customHeight="1" hidden="1">
      <c r="A199" s="47" t="s">
        <v>48</v>
      </c>
      <c r="B199" s="77" t="s">
        <v>66</v>
      </c>
      <c r="C199" s="41" t="s">
        <v>49</v>
      </c>
      <c r="D199" s="42">
        <f t="shared" si="80"/>
        <v>29723.4</v>
      </c>
      <c r="E199" s="78">
        <f>E17+E78+E94+E121+E151++E167</f>
        <v>5717.2</v>
      </c>
      <c r="F199" s="78">
        <f>F17+F78+F94+F121+F151++F167</f>
        <v>10064</v>
      </c>
      <c r="G199" s="78">
        <f>G17+G78+G94+G121+G151++G167</f>
        <v>6943.6</v>
      </c>
      <c r="H199" s="78">
        <f>H17+H78+H94+H121+H151++H167</f>
        <v>6998.599999999999</v>
      </c>
      <c r="I199" s="44">
        <f t="shared" si="81"/>
        <v>22724.800000000003</v>
      </c>
      <c r="J199" s="78">
        <f>J17+J78+J94+J121+J151++J167</f>
        <v>15844.3</v>
      </c>
      <c r="K199" s="44">
        <f>J199/I199*100</f>
        <v>69.72250580863196</v>
      </c>
      <c r="L199" s="44">
        <f>J199/D199*100</f>
        <v>53.305812928534415</v>
      </c>
    </row>
    <row r="200" spans="1:12" ht="12.75">
      <c r="A200" s="47" t="s">
        <v>18</v>
      </c>
      <c r="B200" s="77" t="s">
        <v>61</v>
      </c>
      <c r="C200" s="41" t="s">
        <v>15</v>
      </c>
      <c r="D200" s="42">
        <f t="shared" si="80"/>
        <v>15827.699999999999</v>
      </c>
      <c r="E200" s="43">
        <f>E18+E36+E49+E63+E79+E95+E137+E122+E152+E168+E182+E108</f>
        <v>1207</v>
      </c>
      <c r="F200" s="43">
        <f>F18+F36+F49+F63+F79+F95+F137+F122+F152+F168+F182+F108</f>
        <v>6684.9</v>
      </c>
      <c r="G200" s="43">
        <f>G18+G36+G49+G63+G79+G95+G137+G122+G152+G168+G182+G108</f>
        <v>4067.9</v>
      </c>
      <c r="H200" s="43">
        <f>H18+H36+H49+H63+H79+H95+H137+H122+H152+H168+H182+H108</f>
        <v>3867.9</v>
      </c>
      <c r="I200" s="44">
        <f t="shared" si="81"/>
        <v>11959.8</v>
      </c>
      <c r="J200" s="43">
        <f>J18+J36+J49+J63+J79+J95+J137+J122+J152+J168+J182+J108</f>
        <v>11694.299999999997</v>
      </c>
      <c r="K200" s="44">
        <f t="shared" si="82"/>
        <v>97.78006321175938</v>
      </c>
      <c r="L200" s="44">
        <f t="shared" si="83"/>
        <v>73.88502435603404</v>
      </c>
    </row>
    <row r="201" spans="1:12" ht="12.75">
      <c r="A201" s="47" t="s">
        <v>71</v>
      </c>
      <c r="B201" s="47"/>
      <c r="C201" s="41" t="s">
        <v>72</v>
      </c>
      <c r="D201" s="42">
        <f t="shared" si="80"/>
        <v>7</v>
      </c>
      <c r="E201" s="43">
        <f>E19</f>
        <v>3.3</v>
      </c>
      <c r="F201" s="43">
        <f>F19</f>
        <v>0.7</v>
      </c>
      <c r="G201" s="43">
        <f>G19</f>
        <v>2</v>
      </c>
      <c r="H201" s="43">
        <f>H19</f>
        <v>1</v>
      </c>
      <c r="I201" s="44">
        <f t="shared" si="81"/>
        <v>6</v>
      </c>
      <c r="J201" s="43">
        <f>J19</f>
        <v>16.3</v>
      </c>
      <c r="K201" s="44">
        <f t="shared" si="82"/>
        <v>271.6666666666667</v>
      </c>
      <c r="L201" s="44">
        <f t="shared" si="83"/>
        <v>232.85714285714286</v>
      </c>
    </row>
    <row r="202" spans="1:12" ht="12.75">
      <c r="A202" s="27" t="s">
        <v>12</v>
      </c>
      <c r="B202" s="72" t="s">
        <v>58</v>
      </c>
      <c r="C202" s="41" t="s">
        <v>7</v>
      </c>
      <c r="D202" s="42">
        <f t="shared" si="80"/>
        <v>10141.8</v>
      </c>
      <c r="E202" s="43">
        <f>E20+E50+E64+E80+E96+E123+E138+E169+E183</f>
        <v>6223.7</v>
      </c>
      <c r="F202" s="43">
        <f>F20+F50+F64+F80+F96+F123+F138+F169+F183</f>
        <v>1393</v>
      </c>
      <c r="G202" s="43">
        <f>G20+G50+G64+G80+G96+G123+G138+G169+G183</f>
        <v>1457.3</v>
      </c>
      <c r="H202" s="43">
        <f>H20+H50+H64+H80+H96+H123+H138+H169+H183</f>
        <v>1067.8</v>
      </c>
      <c r="I202" s="44">
        <f t="shared" si="81"/>
        <v>9074</v>
      </c>
      <c r="J202" s="43">
        <f>J20+J50+J64+J80+J96+J123+J138+J169+J183</f>
        <v>9889.699999999999</v>
      </c>
      <c r="K202" s="44">
        <f t="shared" si="82"/>
        <v>108.98942032179852</v>
      </c>
      <c r="L202" s="44">
        <f t="shared" si="83"/>
        <v>97.5142479638723</v>
      </c>
    </row>
    <row r="203" spans="1:12" ht="12.75">
      <c r="A203" s="48" t="s">
        <v>45</v>
      </c>
      <c r="B203" s="79" t="s">
        <v>65</v>
      </c>
      <c r="C203" s="50" t="s">
        <v>46</v>
      </c>
      <c r="D203" s="42">
        <f t="shared" si="80"/>
        <v>122</v>
      </c>
      <c r="E203" s="43">
        <f>E21+E37+E51+E65+E81+E97+E110+E124+E139+E154+E170+E184</f>
        <v>0</v>
      </c>
      <c r="F203" s="43">
        <f>F21+F37+F51+F65+F81+F97+F110+F124+F139+F154+F170+F184</f>
        <v>122</v>
      </c>
      <c r="G203" s="43">
        <f>G21+G37+G51+G65+G81+G97+G110+G124+G139+G154+G170+G184</f>
        <v>0</v>
      </c>
      <c r="H203" s="43">
        <f>H21+H37+H51+H65+H81+H97+H110+H124+H139+H154+H170+H184</f>
        <v>0</v>
      </c>
      <c r="I203" s="44">
        <f t="shared" si="81"/>
        <v>122</v>
      </c>
      <c r="J203" s="43">
        <f>J21+J37+J51+J65+J81+J97+J110+J124+J139+J154+J170+J184</f>
        <v>366.3</v>
      </c>
      <c r="K203" s="44"/>
      <c r="L203" s="44"/>
    </row>
    <row r="204" spans="1:12" ht="12.75">
      <c r="A204" s="48" t="s">
        <v>69</v>
      </c>
      <c r="B204" s="49"/>
      <c r="C204" s="50" t="s">
        <v>70</v>
      </c>
      <c r="D204" s="42">
        <f t="shared" si="80"/>
        <v>0</v>
      </c>
      <c r="E204" s="43">
        <f aca="true" t="shared" si="84" ref="E204:H205">E22</f>
        <v>0</v>
      </c>
      <c r="F204" s="43">
        <f t="shared" si="84"/>
        <v>0</v>
      </c>
      <c r="G204" s="43">
        <f t="shared" si="84"/>
        <v>0</v>
      </c>
      <c r="H204" s="43">
        <f t="shared" si="84"/>
        <v>0</v>
      </c>
      <c r="I204" s="44">
        <f>E204</f>
        <v>0</v>
      </c>
      <c r="J204" s="43">
        <f>J22</f>
        <v>0</v>
      </c>
      <c r="K204" s="44"/>
      <c r="L204" s="44"/>
    </row>
    <row r="205" spans="1:12" ht="12.75">
      <c r="A205" s="48" t="s">
        <v>50</v>
      </c>
      <c r="B205" s="79" t="s">
        <v>65</v>
      </c>
      <c r="C205" s="50" t="s">
        <v>51</v>
      </c>
      <c r="D205" s="42">
        <f t="shared" si="80"/>
        <v>0</v>
      </c>
      <c r="E205" s="43">
        <f t="shared" si="84"/>
        <v>0</v>
      </c>
      <c r="F205" s="43">
        <f t="shared" si="84"/>
        <v>0</v>
      </c>
      <c r="G205" s="43">
        <f t="shared" si="84"/>
        <v>0</v>
      </c>
      <c r="H205" s="43">
        <f t="shared" si="84"/>
        <v>0</v>
      </c>
      <c r="I205" s="44">
        <f>E205</f>
        <v>0</v>
      </c>
      <c r="J205" s="43">
        <f>J23+J185+J82+J140</f>
        <v>0</v>
      </c>
      <c r="K205" s="44"/>
      <c r="L205" s="44"/>
    </row>
    <row r="206" spans="1:12" ht="12.75">
      <c r="A206" s="38" t="s">
        <v>1</v>
      </c>
      <c r="B206" s="71"/>
      <c r="C206" s="51" t="s">
        <v>0</v>
      </c>
      <c r="D206" s="52">
        <f aca="true" t="shared" si="85" ref="D206:J206">D207+D208+D209</f>
        <v>2884386.6</v>
      </c>
      <c r="E206" s="52">
        <f t="shared" si="85"/>
        <v>774922.5</v>
      </c>
      <c r="F206" s="52">
        <f t="shared" si="85"/>
        <v>1048221.2</v>
      </c>
      <c r="G206" s="52">
        <f t="shared" si="85"/>
        <v>477888.4</v>
      </c>
      <c r="H206" s="52">
        <f t="shared" si="85"/>
        <v>583354.5</v>
      </c>
      <c r="I206" s="52">
        <f t="shared" si="85"/>
        <v>2301032.1</v>
      </c>
      <c r="J206" s="52">
        <f t="shared" si="85"/>
        <v>1964087.6</v>
      </c>
      <c r="K206" s="40">
        <f t="shared" si="82"/>
        <v>85.35681010273606</v>
      </c>
      <c r="L206" s="40">
        <f t="shared" si="83"/>
        <v>68.09377078648195</v>
      </c>
    </row>
    <row r="207" spans="1:12" ht="24">
      <c r="A207" s="36" t="s">
        <v>22</v>
      </c>
      <c r="B207" s="73" t="s">
        <v>59</v>
      </c>
      <c r="C207" s="53" t="s">
        <v>21</v>
      </c>
      <c r="D207" s="42">
        <f t="shared" si="80"/>
        <v>2842747.5</v>
      </c>
      <c r="E207" s="42">
        <f>E25-5725.2</f>
        <v>768602.5</v>
      </c>
      <c r="F207" s="42">
        <f>F25-9510.1</f>
        <v>1030710.1</v>
      </c>
      <c r="G207" s="42">
        <f>G25-7729</f>
        <v>469180.4</v>
      </c>
      <c r="H207" s="42">
        <f>H25-6584</f>
        <v>574254.5</v>
      </c>
      <c r="I207" s="44">
        <f>E207+F207+G207</f>
        <v>2268493</v>
      </c>
      <c r="J207" s="42">
        <f>J25-14638</f>
        <v>1935862.5</v>
      </c>
      <c r="K207" s="44">
        <f t="shared" si="82"/>
        <v>85.33693954532811</v>
      </c>
      <c r="L207" s="44">
        <f t="shared" si="83"/>
        <v>68.0982922331301</v>
      </c>
    </row>
    <row r="208" spans="1:12" ht="12.75">
      <c r="A208" s="35" t="s">
        <v>2</v>
      </c>
      <c r="B208" s="35" t="s">
        <v>60</v>
      </c>
      <c r="C208" s="54" t="s">
        <v>19</v>
      </c>
      <c r="D208" s="42">
        <f>E208+F208+G208+H208</f>
        <v>41639.100000000006</v>
      </c>
      <c r="E208" s="43">
        <f>E26+E85+E68+E157+E173</f>
        <v>6320</v>
      </c>
      <c r="F208" s="43">
        <f>F26+F85+F68+F157+F173</f>
        <v>17511.100000000002</v>
      </c>
      <c r="G208" s="43">
        <f>G26+G85+G68+G157+G173</f>
        <v>8708</v>
      </c>
      <c r="H208" s="43">
        <f>H26+H85+H68+H157+H173</f>
        <v>9100</v>
      </c>
      <c r="I208" s="44">
        <f>E208+F208+G208</f>
        <v>32539.100000000002</v>
      </c>
      <c r="J208" s="43">
        <f>J26+J85+J68+J157+J173</f>
        <v>28835.100000000002</v>
      </c>
      <c r="K208" s="44">
        <f t="shared" si="82"/>
        <v>88.61677182220774</v>
      </c>
      <c r="L208" s="44">
        <f t="shared" si="83"/>
        <v>69.25005583694171</v>
      </c>
    </row>
    <row r="209" spans="1:12" ht="24">
      <c r="A209" s="35" t="s">
        <v>74</v>
      </c>
      <c r="B209" s="80"/>
      <c r="C209" s="56" t="s">
        <v>75</v>
      </c>
      <c r="D209" s="42">
        <f>E209+F209+G209+H209</f>
        <v>0</v>
      </c>
      <c r="E209" s="43">
        <f aca="true" t="shared" si="86" ref="E209:J209">E27</f>
        <v>0</v>
      </c>
      <c r="F209" s="43">
        <f t="shared" si="86"/>
        <v>0</v>
      </c>
      <c r="G209" s="43">
        <f t="shared" si="86"/>
        <v>0</v>
      </c>
      <c r="H209" s="43">
        <f t="shared" si="86"/>
        <v>0</v>
      </c>
      <c r="I209" s="44">
        <f>E209+F209+G209</f>
        <v>0</v>
      </c>
      <c r="J209" s="43">
        <f t="shared" si="86"/>
        <v>-610</v>
      </c>
      <c r="K209" s="40"/>
      <c r="L209" s="40"/>
    </row>
    <row r="210" spans="1:12" ht="12.75">
      <c r="A210" s="27"/>
      <c r="B210" s="28"/>
      <c r="C210" s="29" t="s">
        <v>4</v>
      </c>
      <c r="D210" s="1">
        <f>D206+D191</f>
        <v>3659041</v>
      </c>
      <c r="E210" s="1">
        <f aca="true" t="shared" si="87" ref="E210:J210">E206+E191</f>
        <v>954175.9</v>
      </c>
      <c r="F210" s="1">
        <f t="shared" si="87"/>
        <v>1254733</v>
      </c>
      <c r="G210" s="1">
        <f t="shared" si="87"/>
        <v>666588.1</v>
      </c>
      <c r="H210" s="1">
        <f t="shared" si="87"/>
        <v>783544</v>
      </c>
      <c r="I210" s="1">
        <f t="shared" si="87"/>
        <v>2875497</v>
      </c>
      <c r="J210" s="1">
        <f t="shared" si="87"/>
        <v>2498524.9000000004</v>
      </c>
      <c r="K210" s="40">
        <f t="shared" si="82"/>
        <v>86.8901932431159</v>
      </c>
      <c r="L210" s="40">
        <f t="shared" si="83"/>
        <v>68.28359944586573</v>
      </c>
    </row>
    <row r="211" spans="3:11" ht="12.75" customHeight="1">
      <c r="C211" s="32"/>
      <c r="D211" s="9"/>
      <c r="E211" s="6" t="e">
        <f>E210-#REF!</f>
        <v>#REF!</v>
      </c>
      <c r="F211" s="6" t="e">
        <f>F210-#REF!</f>
        <v>#REF!</v>
      </c>
      <c r="G211" s="6" t="e">
        <f>G210-#REF!</f>
        <v>#REF!</v>
      </c>
      <c r="H211" s="6" t="e">
        <f>H210-#REF!</f>
        <v>#REF!</v>
      </c>
      <c r="I211" s="7"/>
      <c r="J211" s="8"/>
      <c r="K211" s="8"/>
    </row>
    <row r="212" spans="3:11" ht="12.75" customHeight="1">
      <c r="C212" s="32"/>
      <c r="D212" s="9"/>
      <c r="E212" s="6">
        <f>E206+E208+E210</f>
        <v>1735418.4</v>
      </c>
      <c r="F212" s="6"/>
      <c r="G212" s="9"/>
      <c r="H212" s="9"/>
      <c r="I212" s="7"/>
      <c r="J212" s="8"/>
      <c r="K212" s="8"/>
    </row>
    <row r="213" spans="3:11" ht="12.75">
      <c r="C213" s="31"/>
      <c r="D213" s="9"/>
      <c r="E213" s="6">
        <f>E28+E40+E53+E66+E83+E97+E110+E123+E139+E153+E168+E182-E180-E166-E151-E137-E121-E108-E95-E80-E64-E38-E51</f>
        <v>1006872.5999999999</v>
      </c>
      <c r="F213" s="6">
        <f>F28+F40+F53+F66+F83+F97+F110+F123+F139+F153+F168+F182-F180-F166-F151-F137-F121-F108-F95-F80-F64-F38-F51</f>
        <v>1301440.7999999998</v>
      </c>
      <c r="G213" s="6">
        <f>G28+G40+G53+G66+G83+G97+G110+G123+G139+G153+G168+G182-G180-G166-G151-G137-G121-G108-G95-G80-G64-G38-G51</f>
        <v>672557.2000000001</v>
      </c>
      <c r="H213" s="6">
        <f>H28+H40+H53+H66+H83+H97+H110+H123+H139+H153+H168+H182-H180-H166-H151-H137-H121-H108-H95-H80-H64-H38-H51</f>
        <v>787440.7</v>
      </c>
      <c r="I213" s="7"/>
      <c r="J213" s="8"/>
      <c r="K213" s="8"/>
    </row>
    <row r="214" spans="3:11" ht="12.75" customHeight="1">
      <c r="C214" s="31"/>
      <c r="D214" s="9"/>
      <c r="E214" s="6">
        <f>E213-E204</f>
        <v>1006872.5999999999</v>
      </c>
      <c r="F214" s="6">
        <f>F213-F204</f>
        <v>1301440.7999999998</v>
      </c>
      <c r="G214" s="6">
        <f>G213-G204</f>
        <v>672557.2000000001</v>
      </c>
      <c r="H214" s="6">
        <f>H213-H204</f>
        <v>787440.7</v>
      </c>
      <c r="I214" s="7"/>
      <c r="J214" s="8"/>
      <c r="K214" s="8"/>
    </row>
    <row r="215" spans="3:11" ht="12.75">
      <c r="C215" s="31"/>
      <c r="D215" s="9"/>
      <c r="E215" s="6"/>
      <c r="F215" s="6"/>
      <c r="G215" s="9"/>
      <c r="H215" s="9"/>
      <c r="I215" s="7"/>
      <c r="J215" s="8"/>
      <c r="K215" s="8"/>
    </row>
    <row r="216" spans="3:11" ht="12.75">
      <c r="C216" s="30"/>
      <c r="D216" s="8"/>
      <c r="E216" s="7"/>
      <c r="F216" s="7"/>
      <c r="G216" s="8"/>
      <c r="H216" s="8"/>
      <c r="I216" s="7"/>
      <c r="J216" s="8"/>
      <c r="K216" s="8"/>
    </row>
    <row r="217" spans="3:11" ht="12.75">
      <c r="C217" s="30"/>
      <c r="D217" s="8"/>
      <c r="E217" s="7"/>
      <c r="F217" s="7"/>
      <c r="G217" s="8"/>
      <c r="H217" s="8"/>
      <c r="I217" s="7"/>
      <c r="J217" s="8"/>
      <c r="K217" s="8"/>
    </row>
    <row r="218" spans="3:11" ht="12.75">
      <c r="C218" s="30"/>
      <c r="D218" s="8"/>
      <c r="E218" s="7"/>
      <c r="F218" s="7"/>
      <c r="G218" s="8"/>
      <c r="H218" s="8"/>
      <c r="I218" s="7"/>
      <c r="J218" s="8"/>
      <c r="K218" s="8"/>
    </row>
    <row r="219" spans="3:11" ht="12.75">
      <c r="C219" s="30"/>
      <c r="D219" s="8"/>
      <c r="E219" s="7"/>
      <c r="F219" s="7"/>
      <c r="G219" s="8"/>
      <c r="H219" s="8"/>
      <c r="I219" s="7"/>
      <c r="J219" s="8"/>
      <c r="K219" s="8"/>
    </row>
    <row r="220" spans="4:11" ht="12.75">
      <c r="D220" s="8"/>
      <c r="E220" s="7"/>
      <c r="F220" s="7"/>
      <c r="G220" s="8"/>
      <c r="H220" s="8"/>
      <c r="I220" s="7"/>
      <c r="J220" s="8"/>
      <c r="K220" s="8"/>
    </row>
    <row r="221" spans="4:11" ht="12.75">
      <c r="D221" s="8"/>
      <c r="E221" s="7"/>
      <c r="F221" s="7"/>
      <c r="G221" s="8"/>
      <c r="H221" s="8"/>
      <c r="I221" s="7"/>
      <c r="J221" s="8"/>
      <c r="K221" s="8"/>
    </row>
    <row r="222" spans="4:11" ht="12.75">
      <c r="D222" s="8"/>
      <c r="E222" s="7"/>
      <c r="F222" s="7"/>
      <c r="G222" s="8"/>
      <c r="H222" s="8"/>
      <c r="I222" s="7"/>
      <c r="J222" s="8"/>
      <c r="K222" s="8"/>
    </row>
    <row r="223" spans="3:11" ht="12.75">
      <c r="C223" s="30"/>
      <c r="D223" s="8"/>
      <c r="E223" s="7"/>
      <c r="F223" s="7"/>
      <c r="G223" s="8"/>
      <c r="H223" s="8"/>
      <c r="I223" s="7"/>
      <c r="J223" s="8"/>
      <c r="K223" s="8"/>
    </row>
    <row r="224" spans="3:11" ht="12.75">
      <c r="C224" s="30"/>
      <c r="D224" s="8"/>
      <c r="E224" s="7"/>
      <c r="F224" s="7"/>
      <c r="G224" s="8"/>
      <c r="H224" s="8"/>
      <c r="I224" s="7"/>
      <c r="J224" s="8"/>
      <c r="K224" s="8"/>
    </row>
    <row r="225" spans="3:11" ht="12.75">
      <c r="C225" s="30"/>
      <c r="D225" s="8"/>
      <c r="E225" s="7"/>
      <c r="F225" s="7"/>
      <c r="G225" s="8"/>
      <c r="H225" s="8"/>
      <c r="I225" s="7"/>
      <c r="J225" s="8"/>
      <c r="K225" s="8"/>
    </row>
    <row r="226" spans="3:11" ht="12.75">
      <c r="C226" s="30"/>
      <c r="D226" s="8"/>
      <c r="E226" s="7"/>
      <c r="F226" s="7"/>
      <c r="G226" s="8"/>
      <c r="H226" s="8"/>
      <c r="I226" s="7"/>
      <c r="J226" s="8"/>
      <c r="K226" s="8"/>
    </row>
    <row r="227" spans="3:11" ht="12.75">
      <c r="C227" s="30"/>
      <c r="D227" s="7"/>
      <c r="E227" s="7"/>
      <c r="F227" s="7"/>
      <c r="G227" s="7"/>
      <c r="H227" s="7"/>
      <c r="I227" s="7"/>
      <c r="J227" s="7"/>
      <c r="K227" s="8"/>
    </row>
    <row r="228" spans="3:11" ht="12.75" customHeight="1">
      <c r="C228" s="30"/>
      <c r="D228" s="8"/>
      <c r="E228" s="8"/>
      <c r="F228" s="8"/>
      <c r="G228" s="8"/>
      <c r="H228" s="8"/>
      <c r="I228" s="8"/>
      <c r="J228" s="8"/>
      <c r="K228" s="8"/>
    </row>
    <row r="229" spans="3:11" ht="12.75">
      <c r="C229" s="30"/>
      <c r="D229" s="10"/>
      <c r="E229" s="7"/>
      <c r="F229" s="7"/>
      <c r="G229" s="7"/>
      <c r="H229" s="7"/>
      <c r="I229" s="7"/>
      <c r="J229" s="8"/>
      <c r="K229" s="8"/>
    </row>
  </sheetData>
  <sheetProtection/>
  <mergeCells count="27">
    <mergeCell ref="A1:C1"/>
    <mergeCell ref="A42:L42"/>
    <mergeCell ref="C41:L41"/>
    <mergeCell ref="A30:L30"/>
    <mergeCell ref="A29:L29"/>
    <mergeCell ref="A102:L102"/>
    <mergeCell ref="A115:L115"/>
    <mergeCell ref="A129:L129"/>
    <mergeCell ref="A2:L2"/>
    <mergeCell ref="A101:L101"/>
    <mergeCell ref="A114:L114"/>
    <mergeCell ref="A55:L55"/>
    <mergeCell ref="A8:L8"/>
    <mergeCell ref="A56:L56"/>
    <mergeCell ref="A70:L70"/>
    <mergeCell ref="A87:L87"/>
    <mergeCell ref="A71:L71"/>
    <mergeCell ref="A88:L88"/>
    <mergeCell ref="A128:L128"/>
    <mergeCell ref="A160:L160"/>
    <mergeCell ref="A175:L175"/>
    <mergeCell ref="A176:L176"/>
    <mergeCell ref="A189:L189"/>
    <mergeCell ref="A190:L190"/>
    <mergeCell ref="A145:L145"/>
    <mergeCell ref="A159:L159"/>
    <mergeCell ref="A144:L144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:K1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 thickBot="1">
      <c r="A2" s="81"/>
      <c r="B2" s="82"/>
      <c r="C2" s="83"/>
      <c r="D2" s="84"/>
      <c r="E2" s="85"/>
      <c r="F2" s="86"/>
      <c r="G2" s="87"/>
      <c r="H2" s="87"/>
      <c r="I2" s="88"/>
      <c r="J2" s="89"/>
      <c r="K2" s="89"/>
    </row>
    <row r="3" spans="1:11" ht="12.75" customHeight="1">
      <c r="A3" s="165" t="s">
        <v>78</v>
      </c>
      <c r="B3" s="167" t="s">
        <v>79</v>
      </c>
      <c r="C3" s="169" t="s">
        <v>80</v>
      </c>
      <c r="D3" s="169"/>
      <c r="E3" s="169"/>
      <c r="F3" s="170" t="s">
        <v>81</v>
      </c>
      <c r="G3" s="170"/>
      <c r="H3" s="170"/>
      <c r="I3" s="171" t="s">
        <v>82</v>
      </c>
      <c r="J3" s="171"/>
      <c r="K3" s="172"/>
    </row>
    <row r="4" spans="1:11" ht="12.75" customHeight="1">
      <c r="A4" s="166"/>
      <c r="B4" s="168"/>
      <c r="C4" s="153" t="s">
        <v>83</v>
      </c>
      <c r="D4" s="153" t="s">
        <v>225</v>
      </c>
      <c r="E4" s="153" t="s">
        <v>84</v>
      </c>
      <c r="F4" s="153" t="s">
        <v>83</v>
      </c>
      <c r="G4" s="174" t="s">
        <v>225</v>
      </c>
      <c r="H4" s="174" t="s">
        <v>84</v>
      </c>
      <c r="I4" s="175" t="s">
        <v>83</v>
      </c>
      <c r="J4" s="177" t="s">
        <v>226</v>
      </c>
      <c r="K4" s="160" t="s">
        <v>84</v>
      </c>
    </row>
    <row r="5" spans="1:11" ht="24.75" customHeight="1">
      <c r="A5" s="166"/>
      <c r="B5" s="168"/>
      <c r="C5" s="173"/>
      <c r="D5" s="153"/>
      <c r="E5" s="178"/>
      <c r="F5" s="173"/>
      <c r="G5" s="174"/>
      <c r="H5" s="173"/>
      <c r="I5" s="176"/>
      <c r="J5" s="177"/>
      <c r="K5" s="161"/>
    </row>
    <row r="6" spans="1:11" ht="12.75">
      <c r="A6" s="166"/>
      <c r="B6" s="162" t="s">
        <v>85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>
      <c r="A7" s="166"/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12.75">
      <c r="A8" s="166"/>
      <c r="B8" s="162"/>
      <c r="C8" s="162"/>
      <c r="D8" s="162"/>
      <c r="E8" s="162"/>
      <c r="F8" s="162"/>
      <c r="G8" s="162"/>
      <c r="H8" s="162"/>
      <c r="I8" s="162"/>
      <c r="J8" s="162"/>
      <c r="K8" s="163"/>
    </row>
    <row r="9" spans="1:11" ht="12.75">
      <c r="A9" s="93" t="s">
        <v>86</v>
      </c>
      <c r="B9" s="94" t="s">
        <v>87</v>
      </c>
      <c r="C9" s="95">
        <f>SUM(C10:C16)</f>
        <v>256240.4</v>
      </c>
      <c r="D9" s="95">
        <f>SUM(D10:D16)</f>
        <v>163672.4</v>
      </c>
      <c r="E9" s="95">
        <f>D9/C9*100</f>
        <v>63.87454905627684</v>
      </c>
      <c r="F9" s="95">
        <f>F10+F11+F12+F13+F14+F15+F16</f>
        <v>189030.2</v>
      </c>
      <c r="G9" s="95">
        <f>SUM(G10:G16)</f>
        <v>120441.4</v>
      </c>
      <c r="H9" s="96">
        <f>G9/F9*100</f>
        <v>63.715427481957896</v>
      </c>
      <c r="I9" s="95">
        <f>SUM(I10:I16)</f>
        <v>444676.60000000003</v>
      </c>
      <c r="J9" s="95">
        <f>SUM(J10:J16)</f>
        <v>283519.80000000005</v>
      </c>
      <c r="K9" s="98">
        <f>J9/I9*100</f>
        <v>63.758650668823144</v>
      </c>
    </row>
    <row r="10" spans="1:11" ht="12.75">
      <c r="A10" s="99" t="s">
        <v>88</v>
      </c>
      <c r="B10" s="100" t="s">
        <v>89</v>
      </c>
      <c r="C10" s="90">
        <v>13167</v>
      </c>
      <c r="D10" s="90">
        <v>10966.8</v>
      </c>
      <c r="E10" s="90">
        <f>D10/C10*100</f>
        <v>83.29004329004329</v>
      </c>
      <c r="F10" s="101">
        <v>32598.8</v>
      </c>
      <c r="G10" s="91">
        <v>24591.2</v>
      </c>
      <c r="H10" s="101">
        <f>G10/F10*100</f>
        <v>75.43590561615765</v>
      </c>
      <c r="I10" s="102">
        <f aca="true" t="shared" si="0" ref="I10:J81">C10+F10</f>
        <v>45765.8</v>
      </c>
      <c r="J10" s="92">
        <f t="shared" si="0"/>
        <v>35558</v>
      </c>
      <c r="K10" s="103">
        <f aca="true" t="shared" si="1" ref="K10:K83">J10/I10*100</f>
        <v>77.69557180252502</v>
      </c>
    </row>
    <row r="11" spans="1:11" ht="22.5">
      <c r="A11" s="99" t="s">
        <v>90</v>
      </c>
      <c r="B11" s="100" t="s">
        <v>91</v>
      </c>
      <c r="C11" s="90">
        <v>25210.5</v>
      </c>
      <c r="D11" s="90">
        <v>19027.5</v>
      </c>
      <c r="E11" s="90">
        <f aca="true" t="shared" si="2" ref="E11:E18">D11/C11*100</f>
        <v>75.47450467067294</v>
      </c>
      <c r="F11" s="101">
        <v>0</v>
      </c>
      <c r="G11" s="91">
        <v>0</v>
      </c>
      <c r="H11" s="101">
        <v>0</v>
      </c>
      <c r="I11" s="102">
        <f t="shared" si="0"/>
        <v>25210.5</v>
      </c>
      <c r="J11" s="92">
        <f t="shared" si="0"/>
        <v>19027.5</v>
      </c>
      <c r="K11" s="103">
        <f t="shared" si="1"/>
        <v>75.47450467067294</v>
      </c>
    </row>
    <row r="12" spans="1:11" ht="12.75">
      <c r="A12" s="99" t="s">
        <v>92</v>
      </c>
      <c r="B12" s="100" t="s">
        <v>93</v>
      </c>
      <c r="C12" s="90">
        <v>144762</v>
      </c>
      <c r="D12" s="90">
        <v>89442.6</v>
      </c>
      <c r="E12" s="90">
        <f t="shared" si="2"/>
        <v>61.78596593028558</v>
      </c>
      <c r="F12" s="101">
        <v>114896.3</v>
      </c>
      <c r="G12" s="91">
        <v>78319.3</v>
      </c>
      <c r="H12" s="101">
        <f aca="true" t="shared" si="3" ref="H12:H18">G12/F12*100</f>
        <v>68.16520636434767</v>
      </c>
      <c r="I12" s="102">
        <f t="shared" si="0"/>
        <v>259658.3</v>
      </c>
      <c r="J12" s="92">
        <f t="shared" si="0"/>
        <v>167761.90000000002</v>
      </c>
      <c r="K12" s="103">
        <f t="shared" si="1"/>
        <v>64.60871845806587</v>
      </c>
    </row>
    <row r="13" spans="1:11" ht="12.75">
      <c r="A13" s="99" t="s">
        <v>94</v>
      </c>
      <c r="B13" s="100" t="s">
        <v>95</v>
      </c>
      <c r="C13" s="90">
        <v>9.4</v>
      </c>
      <c r="D13" s="90">
        <v>0</v>
      </c>
      <c r="E13" s="90">
        <f t="shared" si="2"/>
        <v>0</v>
      </c>
      <c r="F13" s="101">
        <v>0</v>
      </c>
      <c r="G13" s="91">
        <v>0</v>
      </c>
      <c r="H13" s="101">
        <v>0</v>
      </c>
      <c r="I13" s="102">
        <f t="shared" si="0"/>
        <v>9.4</v>
      </c>
      <c r="J13" s="92">
        <f t="shared" si="0"/>
        <v>0</v>
      </c>
      <c r="K13" s="103">
        <f t="shared" si="1"/>
        <v>0</v>
      </c>
    </row>
    <row r="14" spans="1:11" ht="12.75">
      <c r="A14" s="99" t="s">
        <v>96</v>
      </c>
      <c r="B14" s="100" t="s">
        <v>97</v>
      </c>
      <c r="C14" s="90">
        <v>24529.7</v>
      </c>
      <c r="D14" s="90">
        <v>19865.6</v>
      </c>
      <c r="E14" s="90">
        <f t="shared" si="2"/>
        <v>80.9859068802309</v>
      </c>
      <c r="F14" s="101">
        <v>594</v>
      </c>
      <c r="G14" s="91">
        <v>250.3</v>
      </c>
      <c r="H14" s="101">
        <f t="shared" si="3"/>
        <v>42.13804713804714</v>
      </c>
      <c r="I14" s="102">
        <f>C14+F14-594</f>
        <v>24529.7</v>
      </c>
      <c r="J14" s="92">
        <f>D14+G14-594</f>
        <v>19521.899999999998</v>
      </c>
      <c r="K14" s="103">
        <f t="shared" si="1"/>
        <v>79.58474828473237</v>
      </c>
    </row>
    <row r="15" spans="1:11" ht="12.75">
      <c r="A15" s="104" t="s">
        <v>98</v>
      </c>
      <c r="B15" s="100" t="s">
        <v>99</v>
      </c>
      <c r="C15" s="90">
        <v>4221.9</v>
      </c>
      <c r="D15" s="90">
        <v>0</v>
      </c>
      <c r="E15" s="90">
        <f t="shared" si="2"/>
        <v>0</v>
      </c>
      <c r="F15" s="101">
        <v>1168</v>
      </c>
      <c r="G15" s="91">
        <v>0</v>
      </c>
      <c r="H15" s="101">
        <f t="shared" si="3"/>
        <v>0</v>
      </c>
      <c r="I15" s="102">
        <f t="shared" si="0"/>
        <v>5389.9</v>
      </c>
      <c r="J15" s="92">
        <f t="shared" si="0"/>
        <v>0</v>
      </c>
      <c r="K15" s="103">
        <f t="shared" si="1"/>
        <v>0</v>
      </c>
    </row>
    <row r="16" spans="1:11" ht="12.75">
      <c r="A16" s="99" t="s">
        <v>100</v>
      </c>
      <c r="B16" s="100" t="s">
        <v>101</v>
      </c>
      <c r="C16" s="90">
        <v>44339.9</v>
      </c>
      <c r="D16" s="90">
        <v>24369.9</v>
      </c>
      <c r="E16" s="90">
        <f t="shared" si="2"/>
        <v>54.961558325571325</v>
      </c>
      <c r="F16" s="101">
        <v>39773.1</v>
      </c>
      <c r="G16" s="91">
        <v>17280.6</v>
      </c>
      <c r="H16" s="101">
        <f t="shared" si="3"/>
        <v>43.44795854484563</v>
      </c>
      <c r="I16" s="102">
        <f t="shared" si="0"/>
        <v>84113</v>
      </c>
      <c r="J16" s="92">
        <f t="shared" si="0"/>
        <v>41650.5</v>
      </c>
      <c r="K16" s="103">
        <f t="shared" si="1"/>
        <v>49.51731599158275</v>
      </c>
    </row>
    <row r="17" spans="1:11" ht="12.75">
      <c r="A17" s="93" t="s">
        <v>102</v>
      </c>
      <c r="B17" s="94" t="s">
        <v>103</v>
      </c>
      <c r="C17" s="95">
        <f aca="true" t="shared" si="4" ref="C17:J17">C18</f>
        <v>4771.1</v>
      </c>
      <c r="D17" s="95">
        <f t="shared" si="4"/>
        <v>4771.1</v>
      </c>
      <c r="E17" s="95">
        <f t="shared" si="4"/>
        <v>100</v>
      </c>
      <c r="F17" s="95">
        <f t="shared" si="4"/>
        <v>4771.1</v>
      </c>
      <c r="G17" s="95">
        <f t="shared" si="4"/>
        <v>3070.2</v>
      </c>
      <c r="H17" s="105">
        <f t="shared" si="4"/>
        <v>64.3499402653476</v>
      </c>
      <c r="I17" s="95">
        <f t="shared" si="4"/>
        <v>4771.1</v>
      </c>
      <c r="J17" s="95">
        <f t="shared" si="4"/>
        <v>3070.2</v>
      </c>
      <c r="K17" s="106">
        <f t="shared" si="1"/>
        <v>64.3499402653476</v>
      </c>
    </row>
    <row r="18" spans="1:11" ht="12.75">
      <c r="A18" s="99" t="s">
        <v>104</v>
      </c>
      <c r="B18" s="100" t="s">
        <v>105</v>
      </c>
      <c r="C18" s="90">
        <v>4771.1</v>
      </c>
      <c r="D18" s="90">
        <v>4771.1</v>
      </c>
      <c r="E18" s="90">
        <f t="shared" si="2"/>
        <v>100</v>
      </c>
      <c r="F18" s="101">
        <v>4771.1</v>
      </c>
      <c r="G18" s="91">
        <v>3070.2</v>
      </c>
      <c r="H18" s="101">
        <f t="shared" si="3"/>
        <v>64.3499402653476</v>
      </c>
      <c r="I18" s="102">
        <f>C18+F18-4771.1</f>
        <v>4771.1</v>
      </c>
      <c r="J18" s="92">
        <f>D18+G18-4771.1</f>
        <v>3070.2</v>
      </c>
      <c r="K18" s="103">
        <f t="shared" si="1"/>
        <v>64.3499402653476</v>
      </c>
    </row>
    <row r="19" spans="1:11" ht="12.75">
      <c r="A19" s="179" t="s">
        <v>106</v>
      </c>
      <c r="B19" s="180" t="s">
        <v>107</v>
      </c>
      <c r="C19" s="159">
        <f>C22+C23+C21</f>
        <v>34704.9</v>
      </c>
      <c r="D19" s="159">
        <f>D22+D23+D21</f>
        <v>4709.1</v>
      </c>
      <c r="E19" s="159">
        <f>D19/C19*100</f>
        <v>13.56897729139113</v>
      </c>
      <c r="F19" s="159">
        <f>F22+F23+F21</f>
        <v>9005.4</v>
      </c>
      <c r="G19" s="159">
        <f>G22+G23+G21</f>
        <v>3541.9</v>
      </c>
      <c r="H19" s="159">
        <f>G19/F19*100</f>
        <v>39.33084593688232</v>
      </c>
      <c r="I19" s="159">
        <f>I22+I23+I21</f>
        <v>42291.299999999996</v>
      </c>
      <c r="J19" s="159">
        <f>SUM(J21:J23)</f>
        <v>6832</v>
      </c>
      <c r="K19" s="159">
        <f>J19/I19*100</f>
        <v>16.154622818404732</v>
      </c>
    </row>
    <row r="20" spans="1:11" ht="12.75" customHeight="1">
      <c r="A20" s="179"/>
      <c r="B20" s="180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2.75">
      <c r="A21" s="104" t="s">
        <v>108</v>
      </c>
      <c r="B21" s="100" t="s">
        <v>109</v>
      </c>
      <c r="C21" s="90">
        <v>4578.2</v>
      </c>
      <c r="D21" s="90">
        <v>3150.8</v>
      </c>
      <c r="E21" s="90">
        <f aca="true" t="shared" si="5" ref="E21:E97">D21/C21*100</f>
        <v>68.82180769734832</v>
      </c>
      <c r="F21" s="107">
        <v>619</v>
      </c>
      <c r="G21" s="91">
        <v>353.6</v>
      </c>
      <c r="H21" s="101">
        <f>G21/F21*100</f>
        <v>57.12439418416801</v>
      </c>
      <c r="I21" s="102">
        <f>C21+F21-619</f>
        <v>4578.2</v>
      </c>
      <c r="J21" s="92">
        <f>D21+G21-619</f>
        <v>2885.4</v>
      </c>
      <c r="K21" s="103">
        <f>J21/I21*100</f>
        <v>63.02476956008912</v>
      </c>
    </row>
    <row r="22" spans="1:11" ht="12.75">
      <c r="A22" s="99" t="s">
        <v>110</v>
      </c>
      <c r="B22" s="100" t="s">
        <v>111</v>
      </c>
      <c r="C22" s="90">
        <v>29236.7</v>
      </c>
      <c r="D22" s="90">
        <v>1458.8</v>
      </c>
      <c r="E22" s="90">
        <f t="shared" si="5"/>
        <v>4.989619211470515</v>
      </c>
      <c r="F22" s="101">
        <v>8386.4</v>
      </c>
      <c r="G22" s="91">
        <v>3188.3</v>
      </c>
      <c r="H22" s="101">
        <f>G22/F22*100</f>
        <v>38.01750453114567</v>
      </c>
      <c r="I22" s="102">
        <f>C22+F22-800</f>
        <v>36823.1</v>
      </c>
      <c r="J22" s="92">
        <f>D22+G22-800</f>
        <v>3847.1000000000004</v>
      </c>
      <c r="K22" s="103">
        <f>J22/I22*100</f>
        <v>10.44751799821308</v>
      </c>
    </row>
    <row r="23" spans="1:11" ht="22.5">
      <c r="A23" s="104" t="s">
        <v>112</v>
      </c>
      <c r="B23" s="100" t="s">
        <v>113</v>
      </c>
      <c r="C23" s="90">
        <v>890</v>
      </c>
      <c r="D23" s="90">
        <v>99.5</v>
      </c>
      <c r="E23" s="90">
        <f t="shared" si="5"/>
        <v>11.179775280898877</v>
      </c>
      <c r="F23" s="101">
        <v>0</v>
      </c>
      <c r="G23" s="91">
        <v>0</v>
      </c>
      <c r="H23" s="101">
        <v>0</v>
      </c>
      <c r="I23" s="102">
        <f t="shared" si="0"/>
        <v>890</v>
      </c>
      <c r="J23" s="92">
        <f t="shared" si="0"/>
        <v>99.5</v>
      </c>
      <c r="K23" s="103">
        <f>J23/I23*100</f>
        <v>11.179775280898877</v>
      </c>
    </row>
    <row r="24" spans="1:11" ht="12.75">
      <c r="A24" s="93" t="s">
        <v>114</v>
      </c>
      <c r="B24" s="94" t="s">
        <v>115</v>
      </c>
      <c r="C24" s="95">
        <f>SUM(C25:C41)</f>
        <v>226904.59999999998</v>
      </c>
      <c r="D24" s="95">
        <f>SUM(D25:D41)</f>
        <v>147977.5</v>
      </c>
      <c r="E24" s="95">
        <f>D24/C24*100</f>
        <v>65.21573383703989</v>
      </c>
      <c r="F24" s="95">
        <f>SUM(F25:F41)</f>
        <v>131801.40000000002</v>
      </c>
      <c r="G24" s="95">
        <f>SUM(G25:G41)</f>
        <v>76748.1</v>
      </c>
      <c r="H24" s="96">
        <f>G24/F24*100</f>
        <v>58.230109847088116</v>
      </c>
      <c r="I24" s="95">
        <f>SUM(I25:I41)</f>
        <v>280031.4</v>
      </c>
      <c r="J24" s="95">
        <f>SUM(J25:J41)</f>
        <v>170842.5</v>
      </c>
      <c r="K24" s="98">
        <f t="shared" si="1"/>
        <v>61.00833692221658</v>
      </c>
    </row>
    <row r="25" spans="1:11" ht="22.5">
      <c r="A25" s="104" t="s">
        <v>116</v>
      </c>
      <c r="B25" s="108" t="s">
        <v>117</v>
      </c>
      <c r="C25" s="90">
        <v>12852.6</v>
      </c>
      <c r="D25" s="90">
        <v>5233.8</v>
      </c>
      <c r="E25" s="90">
        <f t="shared" si="5"/>
        <v>40.72172167499183</v>
      </c>
      <c r="F25" s="109">
        <v>7675.5</v>
      </c>
      <c r="G25" s="110">
        <v>5998.4</v>
      </c>
      <c r="H25" s="101">
        <f>G25/F25*100</f>
        <v>78.1499576574816</v>
      </c>
      <c r="I25" s="102">
        <f>C25+F25-4719.8</f>
        <v>15808.3</v>
      </c>
      <c r="J25" s="102">
        <f>D25+G25-3161.3</f>
        <v>8070.900000000001</v>
      </c>
      <c r="K25" s="103">
        <f t="shared" si="1"/>
        <v>51.05482562957434</v>
      </c>
    </row>
    <row r="26" spans="1:11" ht="12.75">
      <c r="A26" s="99" t="s">
        <v>118</v>
      </c>
      <c r="B26" s="100" t="s">
        <v>119</v>
      </c>
      <c r="C26" s="90">
        <v>48026</v>
      </c>
      <c r="D26" s="90">
        <v>29438.9</v>
      </c>
      <c r="E26" s="90">
        <f t="shared" si="5"/>
        <v>61.297838670720026</v>
      </c>
      <c r="F26" s="101">
        <v>0</v>
      </c>
      <c r="G26" s="91">
        <v>0</v>
      </c>
      <c r="H26" s="101">
        <v>0</v>
      </c>
      <c r="I26" s="102">
        <f t="shared" si="0"/>
        <v>48026</v>
      </c>
      <c r="J26" s="92">
        <f t="shared" si="0"/>
        <v>29438.9</v>
      </c>
      <c r="K26" s="103">
        <f t="shared" si="1"/>
        <v>61.297838670720026</v>
      </c>
    </row>
    <row r="27" spans="1:11" ht="12.75">
      <c r="A27" s="99" t="s">
        <v>120</v>
      </c>
      <c r="B27" s="100" t="s">
        <v>121</v>
      </c>
      <c r="C27" s="90">
        <v>6650</v>
      </c>
      <c r="D27" s="90">
        <v>6650</v>
      </c>
      <c r="E27" s="90">
        <f t="shared" si="5"/>
        <v>100</v>
      </c>
      <c r="F27" s="101">
        <v>0</v>
      </c>
      <c r="G27" s="91">
        <v>0</v>
      </c>
      <c r="H27" s="101">
        <v>0</v>
      </c>
      <c r="I27" s="102">
        <f t="shared" si="0"/>
        <v>6650</v>
      </c>
      <c r="J27" s="92">
        <f t="shared" si="0"/>
        <v>6650</v>
      </c>
      <c r="K27" s="103">
        <f t="shared" si="1"/>
        <v>100</v>
      </c>
    </row>
    <row r="28" spans="1:11" ht="12.75">
      <c r="A28" s="99" t="s">
        <v>120</v>
      </c>
      <c r="B28" s="100" t="s">
        <v>122</v>
      </c>
      <c r="C28" s="90">
        <v>13085.6</v>
      </c>
      <c r="D28" s="90">
        <v>12003.7</v>
      </c>
      <c r="E28" s="90">
        <f t="shared" si="5"/>
        <v>91.73213303172953</v>
      </c>
      <c r="F28" s="107">
        <v>10606.9</v>
      </c>
      <c r="G28" s="107">
        <v>6655.5</v>
      </c>
      <c r="H28" s="101">
        <f>G28/F28*100</f>
        <v>62.74689117461275</v>
      </c>
      <c r="I28" s="102">
        <f t="shared" si="0"/>
        <v>23692.5</v>
      </c>
      <c r="J28" s="92">
        <f t="shared" si="0"/>
        <v>18659.2</v>
      </c>
      <c r="K28" s="103">
        <f t="shared" si="1"/>
        <v>78.75572438535401</v>
      </c>
    </row>
    <row r="29" spans="1:11" ht="12.75">
      <c r="A29" s="99" t="s">
        <v>120</v>
      </c>
      <c r="B29" s="100" t="s">
        <v>123</v>
      </c>
      <c r="C29" s="90">
        <v>7931</v>
      </c>
      <c r="D29" s="90">
        <v>3873.4</v>
      </c>
      <c r="E29" s="90">
        <f t="shared" si="5"/>
        <v>48.83873408145253</v>
      </c>
      <c r="F29" s="107">
        <v>0</v>
      </c>
      <c r="G29" s="107">
        <v>0</v>
      </c>
      <c r="H29" s="101">
        <v>0</v>
      </c>
      <c r="I29" s="102">
        <f t="shared" si="0"/>
        <v>7931</v>
      </c>
      <c r="J29" s="92">
        <f t="shared" si="0"/>
        <v>3873.4</v>
      </c>
      <c r="K29" s="103">
        <f t="shared" si="1"/>
        <v>48.83873408145253</v>
      </c>
    </row>
    <row r="30" spans="1:11" ht="12.75">
      <c r="A30" s="99" t="s">
        <v>124</v>
      </c>
      <c r="B30" s="100" t="s">
        <v>125</v>
      </c>
      <c r="C30" s="90">
        <v>67212</v>
      </c>
      <c r="D30" s="90">
        <v>49625.9</v>
      </c>
      <c r="E30" s="90">
        <f t="shared" si="5"/>
        <v>73.83488067606974</v>
      </c>
      <c r="F30" s="107">
        <v>66550.6</v>
      </c>
      <c r="G30" s="107">
        <v>38443.6</v>
      </c>
      <c r="H30" s="101">
        <f>G30/F30*100</f>
        <v>57.76597055473579</v>
      </c>
      <c r="I30" s="102">
        <f>C30+F30-62161.4</f>
        <v>71601.20000000001</v>
      </c>
      <c r="J30" s="92">
        <f>D30+G30-38928.4</f>
        <v>49141.1</v>
      </c>
      <c r="K30" s="103">
        <f t="shared" si="1"/>
        <v>68.63167097758136</v>
      </c>
    </row>
    <row r="31" spans="1:11" ht="33.75">
      <c r="A31" s="99" t="s">
        <v>124</v>
      </c>
      <c r="B31" s="111" t="s">
        <v>227</v>
      </c>
      <c r="C31" s="90">
        <v>2534.1</v>
      </c>
      <c r="D31" s="90">
        <v>1246.6</v>
      </c>
      <c r="E31" s="90">
        <f t="shared" si="5"/>
        <v>49.19300737934572</v>
      </c>
      <c r="F31" s="107">
        <v>316.1</v>
      </c>
      <c r="G31" s="107">
        <v>0</v>
      </c>
      <c r="H31" s="101">
        <v>0</v>
      </c>
      <c r="I31" s="102">
        <f t="shared" si="0"/>
        <v>2850.2</v>
      </c>
      <c r="J31" s="92">
        <f t="shared" si="0"/>
        <v>1246.6</v>
      </c>
      <c r="K31" s="103">
        <f t="shared" si="1"/>
        <v>43.73728159427409</v>
      </c>
    </row>
    <row r="32" spans="1:11" ht="12.75">
      <c r="A32" s="104" t="s">
        <v>124</v>
      </c>
      <c r="B32" s="100" t="s">
        <v>201</v>
      </c>
      <c r="C32" s="90">
        <v>0</v>
      </c>
      <c r="D32" s="90">
        <v>0</v>
      </c>
      <c r="E32" s="90">
        <v>0</v>
      </c>
      <c r="F32" s="110">
        <v>30220.6</v>
      </c>
      <c r="G32" s="110">
        <v>18925.4</v>
      </c>
      <c r="H32" s="101">
        <f>G32/F32*100</f>
        <v>62.62417026796292</v>
      </c>
      <c r="I32" s="102">
        <f>C32+F32</f>
        <v>30220.6</v>
      </c>
      <c r="J32" s="92">
        <f>D32+G32</f>
        <v>18925.4</v>
      </c>
      <c r="K32" s="103">
        <f>J32/I32*100</f>
        <v>62.62417026796292</v>
      </c>
    </row>
    <row r="33" spans="1:11" ht="12.75">
      <c r="A33" s="99" t="s">
        <v>126</v>
      </c>
      <c r="B33" s="100" t="s">
        <v>127</v>
      </c>
      <c r="C33" s="90">
        <v>3520.9</v>
      </c>
      <c r="D33" s="90">
        <v>2169.5</v>
      </c>
      <c r="E33" s="90">
        <f t="shared" si="5"/>
        <v>61.61776818427106</v>
      </c>
      <c r="F33" s="107">
        <v>3148.3</v>
      </c>
      <c r="G33" s="107">
        <v>2261.8</v>
      </c>
      <c r="H33" s="101">
        <f>G33/F33*100</f>
        <v>71.84194644728902</v>
      </c>
      <c r="I33" s="102">
        <f t="shared" si="0"/>
        <v>6669.200000000001</v>
      </c>
      <c r="J33" s="92">
        <f t="shared" si="0"/>
        <v>4431.3</v>
      </c>
      <c r="K33" s="103">
        <f t="shared" si="1"/>
        <v>66.44425118454987</v>
      </c>
    </row>
    <row r="34" spans="1:11" ht="12.75">
      <c r="A34" s="99" t="s">
        <v>128</v>
      </c>
      <c r="B34" s="100" t="s">
        <v>129</v>
      </c>
      <c r="C34" s="109">
        <v>3800</v>
      </c>
      <c r="D34" s="109">
        <v>1561.2</v>
      </c>
      <c r="E34" s="109">
        <f t="shared" si="5"/>
        <v>41.084210526315786</v>
      </c>
      <c r="F34" s="110">
        <v>1162.2</v>
      </c>
      <c r="G34" s="110">
        <v>783.1</v>
      </c>
      <c r="H34" s="101">
        <f>G34/F34*100</f>
        <v>67.38082946136637</v>
      </c>
      <c r="I34" s="102">
        <f t="shared" si="0"/>
        <v>4962.2</v>
      </c>
      <c r="J34" s="92">
        <f t="shared" si="0"/>
        <v>2344.3</v>
      </c>
      <c r="K34" s="103">
        <f t="shared" si="1"/>
        <v>47.24315827657088</v>
      </c>
    </row>
    <row r="35" spans="1:11" ht="56.25">
      <c r="A35" s="99" t="s">
        <v>128</v>
      </c>
      <c r="B35" s="111" t="s">
        <v>130</v>
      </c>
      <c r="C35" s="109">
        <v>9989.8</v>
      </c>
      <c r="D35" s="109">
        <v>0</v>
      </c>
      <c r="E35" s="109">
        <f t="shared" si="5"/>
        <v>0</v>
      </c>
      <c r="F35" s="110">
        <v>0</v>
      </c>
      <c r="G35" s="110">
        <v>0</v>
      </c>
      <c r="H35" s="101">
        <v>0</v>
      </c>
      <c r="I35" s="102">
        <f t="shared" si="0"/>
        <v>9989.8</v>
      </c>
      <c r="J35" s="92">
        <f t="shared" si="0"/>
        <v>0</v>
      </c>
      <c r="K35" s="103">
        <f t="shared" si="1"/>
        <v>0</v>
      </c>
    </row>
    <row r="36" spans="1:11" ht="33.75">
      <c r="A36" s="99" t="s">
        <v>128</v>
      </c>
      <c r="B36" s="111" t="s">
        <v>228</v>
      </c>
      <c r="C36" s="109">
        <v>2713.5</v>
      </c>
      <c r="D36" s="110">
        <v>1156.1</v>
      </c>
      <c r="E36" s="109">
        <f t="shared" si="5"/>
        <v>42.60549106320251</v>
      </c>
      <c r="F36" s="110">
        <v>0</v>
      </c>
      <c r="G36" s="110">
        <v>0</v>
      </c>
      <c r="H36" s="101">
        <v>0</v>
      </c>
      <c r="I36" s="102">
        <f t="shared" si="0"/>
        <v>2713.5</v>
      </c>
      <c r="J36" s="92">
        <f t="shared" si="0"/>
        <v>1156.1</v>
      </c>
      <c r="K36" s="103">
        <f t="shared" si="1"/>
        <v>42.60549106320251</v>
      </c>
    </row>
    <row r="37" spans="1:11" ht="33.75">
      <c r="A37" s="99" t="s">
        <v>128</v>
      </c>
      <c r="B37" s="111" t="s">
        <v>229</v>
      </c>
      <c r="C37" s="109">
        <v>3000</v>
      </c>
      <c r="D37" s="110">
        <v>1349.4</v>
      </c>
      <c r="E37" s="109">
        <f t="shared" si="5"/>
        <v>44.980000000000004</v>
      </c>
      <c r="F37" s="110">
        <v>0</v>
      </c>
      <c r="G37" s="110">
        <v>0</v>
      </c>
      <c r="H37" s="101">
        <v>0</v>
      </c>
      <c r="I37" s="102">
        <f t="shared" si="0"/>
        <v>3000</v>
      </c>
      <c r="J37" s="92">
        <f t="shared" si="0"/>
        <v>1349.4</v>
      </c>
      <c r="K37" s="103">
        <f t="shared" si="1"/>
        <v>44.980000000000004</v>
      </c>
    </row>
    <row r="38" spans="1:11" ht="22.5">
      <c r="A38" s="104" t="s">
        <v>128</v>
      </c>
      <c r="B38" s="111" t="s">
        <v>131</v>
      </c>
      <c r="C38" s="109">
        <v>5277.3</v>
      </c>
      <c r="D38" s="110">
        <v>2355.2</v>
      </c>
      <c r="E38" s="109">
        <f t="shared" si="5"/>
        <v>44.62888219354594</v>
      </c>
      <c r="F38" s="110">
        <v>0</v>
      </c>
      <c r="G38" s="110">
        <v>0</v>
      </c>
      <c r="H38" s="101">
        <v>0</v>
      </c>
      <c r="I38" s="102">
        <f t="shared" si="0"/>
        <v>5277.3</v>
      </c>
      <c r="J38" s="92">
        <f t="shared" si="0"/>
        <v>2355.2</v>
      </c>
      <c r="K38" s="103">
        <f t="shared" si="1"/>
        <v>44.62888219354594</v>
      </c>
    </row>
    <row r="39" spans="1:11" ht="22.5">
      <c r="A39" s="104" t="s">
        <v>128</v>
      </c>
      <c r="B39" s="111" t="s">
        <v>132</v>
      </c>
      <c r="C39" s="109">
        <v>1588.6</v>
      </c>
      <c r="D39" s="110">
        <v>695.7</v>
      </c>
      <c r="E39" s="109">
        <f>D39/C39*100</f>
        <v>43.79327709933275</v>
      </c>
      <c r="F39" s="110">
        <v>0</v>
      </c>
      <c r="G39" s="110">
        <v>0</v>
      </c>
      <c r="H39" s="101">
        <v>0</v>
      </c>
      <c r="I39" s="102">
        <f t="shared" si="0"/>
        <v>1588.6</v>
      </c>
      <c r="J39" s="92">
        <f t="shared" si="0"/>
        <v>695.7</v>
      </c>
      <c r="K39" s="103">
        <f>J39/I39*100</f>
        <v>43.79327709933275</v>
      </c>
    </row>
    <row r="40" spans="1:11" ht="45">
      <c r="A40" s="104" t="s">
        <v>128</v>
      </c>
      <c r="B40" s="111" t="s">
        <v>230</v>
      </c>
      <c r="C40" s="109">
        <v>200</v>
      </c>
      <c r="D40" s="110">
        <v>0</v>
      </c>
      <c r="E40" s="109">
        <f>D40/C40*100</f>
        <v>0</v>
      </c>
      <c r="F40" s="110"/>
      <c r="G40" s="110"/>
      <c r="H40" s="101"/>
      <c r="I40" s="102">
        <f t="shared" si="0"/>
        <v>200</v>
      </c>
      <c r="J40" s="92">
        <f t="shared" si="0"/>
        <v>0</v>
      </c>
      <c r="K40" s="103">
        <f>J40/I40*100</f>
        <v>0</v>
      </c>
    </row>
    <row r="41" spans="1:11" ht="33.75">
      <c r="A41" s="104" t="s">
        <v>128</v>
      </c>
      <c r="B41" s="111" t="s">
        <v>217</v>
      </c>
      <c r="C41" s="109">
        <f>31068.6+7454.6</f>
        <v>38523.2</v>
      </c>
      <c r="D41" s="110">
        <f>29252.6+1365.5</f>
        <v>30618.1</v>
      </c>
      <c r="E41" s="109">
        <f>D41/C41*100</f>
        <v>79.47963824396727</v>
      </c>
      <c r="F41" s="110">
        <v>12121.2</v>
      </c>
      <c r="G41" s="110">
        <v>3680.3</v>
      </c>
      <c r="H41" s="101">
        <f>G41/F41*100</f>
        <v>30.36250536250536</v>
      </c>
      <c r="I41" s="102">
        <f>C41+F41-11793.4</f>
        <v>38850.99999999999</v>
      </c>
      <c r="J41" s="92">
        <f>D41+G41-11793.4</f>
        <v>22505</v>
      </c>
      <c r="K41" s="103">
        <f>J41/I41*100</f>
        <v>57.926436899951106</v>
      </c>
    </row>
    <row r="42" spans="1:11" ht="12.75">
      <c r="A42" s="93" t="s">
        <v>133</v>
      </c>
      <c r="B42" s="94" t="s">
        <v>134</v>
      </c>
      <c r="C42" s="95">
        <f>SUM(C43:C67)</f>
        <v>557397.6</v>
      </c>
      <c r="D42" s="95">
        <f>SUM(D43:D67)</f>
        <v>238509.9</v>
      </c>
      <c r="E42" s="95">
        <f>D42/C42*100</f>
        <v>42.789904369878876</v>
      </c>
      <c r="F42" s="97">
        <f>SUM(F43:F66)</f>
        <v>164473.6</v>
      </c>
      <c r="G42" s="97">
        <f>SUM(G43:G66)</f>
        <v>74345.9</v>
      </c>
      <c r="H42" s="97">
        <f>G42/F42*100</f>
        <v>45.20233034359313</v>
      </c>
      <c r="I42" s="95">
        <f>SUM(I43:I67)</f>
        <v>661003.4999999999</v>
      </c>
      <c r="J42" s="95">
        <f>SUM(J43:J67)</f>
        <v>272273.2</v>
      </c>
      <c r="K42" s="98">
        <f t="shared" si="1"/>
        <v>41.19088628123755</v>
      </c>
    </row>
    <row r="43" spans="1:11" ht="12.75">
      <c r="A43" s="99" t="s">
        <v>135</v>
      </c>
      <c r="B43" s="100" t="s">
        <v>136</v>
      </c>
      <c r="C43" s="109">
        <v>959.3</v>
      </c>
      <c r="D43" s="109">
        <v>651.7</v>
      </c>
      <c r="E43" s="109">
        <f t="shared" si="5"/>
        <v>67.934952569582</v>
      </c>
      <c r="F43" s="110">
        <v>42847.7</v>
      </c>
      <c r="G43" s="110">
        <v>15494.3</v>
      </c>
      <c r="H43" s="101">
        <f>G43/F43*100</f>
        <v>36.16133421397181</v>
      </c>
      <c r="I43" s="102">
        <f t="shared" si="0"/>
        <v>43807</v>
      </c>
      <c r="J43" s="92">
        <f t="shared" si="0"/>
        <v>16146</v>
      </c>
      <c r="K43" s="103">
        <f t="shared" si="1"/>
        <v>36.85712329079827</v>
      </c>
    </row>
    <row r="44" spans="1:11" ht="45">
      <c r="A44" s="99" t="s">
        <v>135</v>
      </c>
      <c r="B44" s="100" t="s">
        <v>202</v>
      </c>
      <c r="C44" s="109">
        <f>136158.8</f>
        <v>136158.8</v>
      </c>
      <c r="D44" s="109">
        <v>42328.3</v>
      </c>
      <c r="E44" s="90">
        <f t="shared" si="5"/>
        <v>31.08745082947265</v>
      </c>
      <c r="F44" s="101">
        <v>0</v>
      </c>
      <c r="G44" s="91">
        <v>0</v>
      </c>
      <c r="H44" s="101">
        <v>0</v>
      </c>
      <c r="I44" s="102">
        <f>C44+F44</f>
        <v>136158.8</v>
      </c>
      <c r="J44" s="92">
        <f>D44+G44</f>
        <v>42328.3</v>
      </c>
      <c r="K44" s="103">
        <f t="shared" si="1"/>
        <v>31.08745082947265</v>
      </c>
    </row>
    <row r="45" spans="1:11" ht="33.75">
      <c r="A45" s="99" t="s">
        <v>135</v>
      </c>
      <c r="B45" s="100" t="s">
        <v>231</v>
      </c>
      <c r="C45" s="109">
        <v>27382.3</v>
      </c>
      <c r="D45" s="109">
        <v>9476.1</v>
      </c>
      <c r="E45" s="90">
        <f t="shared" si="5"/>
        <v>34.6066619677675</v>
      </c>
      <c r="F45" s="101">
        <v>0</v>
      </c>
      <c r="G45" s="91">
        <v>0</v>
      </c>
      <c r="H45" s="101">
        <v>0</v>
      </c>
      <c r="I45" s="102">
        <f t="shared" si="0"/>
        <v>27382.3</v>
      </c>
      <c r="J45" s="92">
        <f t="shared" si="0"/>
        <v>9476.1</v>
      </c>
      <c r="K45" s="103">
        <f t="shared" si="1"/>
        <v>34.6066619677675</v>
      </c>
    </row>
    <row r="46" spans="1:11" ht="22.5">
      <c r="A46" s="104" t="s">
        <v>135</v>
      </c>
      <c r="B46" s="100" t="s">
        <v>205</v>
      </c>
      <c r="C46" s="109">
        <v>25104.5</v>
      </c>
      <c r="D46" s="109">
        <v>23115.8</v>
      </c>
      <c r="E46" s="90">
        <f t="shared" si="5"/>
        <v>92.07831265310999</v>
      </c>
      <c r="F46" s="101">
        <v>27118.6</v>
      </c>
      <c r="G46" s="91">
        <v>10117.9</v>
      </c>
      <c r="H46" s="101">
        <f>G46/F46*100</f>
        <v>37.30981687845243</v>
      </c>
      <c r="I46" s="102">
        <f>C46+F46-25104.5</f>
        <v>27118.6</v>
      </c>
      <c r="J46" s="92">
        <f>D46+G46-8576.5</f>
        <v>24657.199999999997</v>
      </c>
      <c r="K46" s="103">
        <f t="shared" si="1"/>
        <v>90.92357275080572</v>
      </c>
    </row>
    <row r="47" spans="1:11" ht="33.75">
      <c r="A47" s="104" t="s">
        <v>135</v>
      </c>
      <c r="B47" s="100" t="s">
        <v>232</v>
      </c>
      <c r="C47" s="109">
        <v>0</v>
      </c>
      <c r="D47" s="109">
        <v>0</v>
      </c>
      <c r="E47" s="90">
        <v>0</v>
      </c>
      <c r="F47" s="101">
        <v>100</v>
      </c>
      <c r="G47" s="91"/>
      <c r="H47" s="101"/>
      <c r="I47" s="102">
        <f t="shared" si="0"/>
        <v>100</v>
      </c>
      <c r="J47" s="92">
        <f t="shared" si="0"/>
        <v>0</v>
      </c>
      <c r="K47" s="103">
        <f t="shared" si="1"/>
        <v>0</v>
      </c>
    </row>
    <row r="48" spans="1:11" ht="33.75">
      <c r="A48" s="99" t="s">
        <v>137</v>
      </c>
      <c r="B48" s="100" t="s">
        <v>138</v>
      </c>
      <c r="C48" s="109">
        <v>5786.2</v>
      </c>
      <c r="D48" s="109">
        <v>3600.6</v>
      </c>
      <c r="E48" s="90">
        <f t="shared" si="5"/>
        <v>62.22736856658947</v>
      </c>
      <c r="F48" s="101">
        <v>5312</v>
      </c>
      <c r="G48" s="91">
        <v>4267.9</v>
      </c>
      <c r="H48" s="101">
        <f>G48/F48*100</f>
        <v>80.34450301204818</v>
      </c>
      <c r="I48" s="102">
        <f t="shared" si="0"/>
        <v>11098.2</v>
      </c>
      <c r="J48" s="92">
        <f t="shared" si="0"/>
        <v>7868.5</v>
      </c>
      <c r="K48" s="103">
        <f t="shared" si="1"/>
        <v>70.8988845037934</v>
      </c>
    </row>
    <row r="49" spans="1:11" ht="33.75">
      <c r="A49" s="99" t="s">
        <v>137</v>
      </c>
      <c r="B49" s="100" t="s">
        <v>139</v>
      </c>
      <c r="C49" s="109">
        <v>10419.8</v>
      </c>
      <c r="D49" s="181">
        <v>5117</v>
      </c>
      <c r="E49" s="90">
        <f t="shared" si="5"/>
        <v>49.108428184802015</v>
      </c>
      <c r="F49" s="107">
        <v>808</v>
      </c>
      <c r="G49" s="107">
        <v>358</v>
      </c>
      <c r="H49" s="101">
        <f>G49/F49*100</f>
        <v>44.306930693069305</v>
      </c>
      <c r="I49" s="102">
        <f t="shared" si="0"/>
        <v>11227.8</v>
      </c>
      <c r="J49" s="92">
        <f t="shared" si="0"/>
        <v>5475</v>
      </c>
      <c r="K49" s="103">
        <f t="shared" si="1"/>
        <v>48.76289210709133</v>
      </c>
    </row>
    <row r="50" spans="1:11" ht="12.75">
      <c r="A50" s="99" t="s">
        <v>137</v>
      </c>
      <c r="B50" s="100" t="s">
        <v>140</v>
      </c>
      <c r="C50" s="109">
        <v>3143.4</v>
      </c>
      <c r="D50" s="181">
        <v>2966</v>
      </c>
      <c r="E50" s="90">
        <f>D50/C50*100</f>
        <v>94.3564293440224</v>
      </c>
      <c r="F50" s="101">
        <v>14727.1</v>
      </c>
      <c r="G50" s="107">
        <v>7462.2</v>
      </c>
      <c r="H50" s="101">
        <f>G50/F50*100</f>
        <v>50.66985353531924</v>
      </c>
      <c r="I50" s="102">
        <f>C50+F50-1365.4</f>
        <v>16505.1</v>
      </c>
      <c r="J50" s="92">
        <f>D50+G50-1365.4</f>
        <v>9062.800000000001</v>
      </c>
      <c r="K50" s="103">
        <f>J50/I50*100</f>
        <v>54.90908870591515</v>
      </c>
    </row>
    <row r="51" spans="1:11" ht="33.75">
      <c r="A51" s="99" t="s">
        <v>137</v>
      </c>
      <c r="B51" s="100" t="s">
        <v>209</v>
      </c>
      <c r="C51" s="109">
        <v>45188.1</v>
      </c>
      <c r="D51" s="181">
        <v>18449.3</v>
      </c>
      <c r="E51" s="90">
        <f>D51/C51*100</f>
        <v>40.827784306045174</v>
      </c>
      <c r="F51" s="101">
        <v>0</v>
      </c>
      <c r="G51" s="107">
        <v>0</v>
      </c>
      <c r="H51" s="101">
        <v>0</v>
      </c>
      <c r="I51" s="102">
        <f>C51+F51</f>
        <v>45188.1</v>
      </c>
      <c r="J51" s="92">
        <f>D51+G51</f>
        <v>18449.3</v>
      </c>
      <c r="K51" s="103">
        <f>J51/I51*100</f>
        <v>40.827784306045174</v>
      </c>
    </row>
    <row r="52" spans="1:11" ht="33.75">
      <c r="A52" s="104" t="s">
        <v>137</v>
      </c>
      <c r="B52" s="100" t="s">
        <v>233</v>
      </c>
      <c r="C52" s="109">
        <v>178.7</v>
      </c>
      <c r="D52" s="181">
        <v>178.7</v>
      </c>
      <c r="E52" s="90">
        <f t="shared" si="5"/>
        <v>100</v>
      </c>
      <c r="F52" s="101">
        <v>0</v>
      </c>
      <c r="G52" s="107">
        <v>0</v>
      </c>
      <c r="H52" s="101">
        <v>0</v>
      </c>
      <c r="I52" s="112">
        <f>C52+F52</f>
        <v>178.7</v>
      </c>
      <c r="J52" s="102">
        <f>D52+G52</f>
        <v>178.7</v>
      </c>
      <c r="K52" s="92">
        <f>J52/I52*100</f>
        <v>100</v>
      </c>
    </row>
    <row r="53" spans="1:11" ht="33.75">
      <c r="A53" s="99" t="s">
        <v>137</v>
      </c>
      <c r="B53" s="111" t="s">
        <v>203</v>
      </c>
      <c r="C53" s="109">
        <v>51927.6</v>
      </c>
      <c r="D53" s="181">
        <v>31675.6</v>
      </c>
      <c r="E53" s="90">
        <f t="shared" si="5"/>
        <v>60.99954552107164</v>
      </c>
      <c r="F53" s="101"/>
      <c r="G53" s="107">
        <v>0</v>
      </c>
      <c r="H53" s="101">
        <v>0</v>
      </c>
      <c r="I53" s="102">
        <f t="shared" si="0"/>
        <v>51927.6</v>
      </c>
      <c r="J53" s="92">
        <f t="shared" si="0"/>
        <v>31675.6</v>
      </c>
      <c r="K53" s="103">
        <f t="shared" si="1"/>
        <v>60.99954552107164</v>
      </c>
    </row>
    <row r="54" spans="1:11" ht="33.75">
      <c r="A54" s="99" t="s">
        <v>137</v>
      </c>
      <c r="B54" s="111" t="s">
        <v>204</v>
      </c>
      <c r="C54" s="109">
        <v>167469.2</v>
      </c>
      <c r="D54" s="109">
        <v>50307.8</v>
      </c>
      <c r="E54" s="90">
        <f t="shared" si="5"/>
        <v>30.04003124156561</v>
      </c>
      <c r="F54" s="101">
        <v>0</v>
      </c>
      <c r="G54" s="107">
        <v>0</v>
      </c>
      <c r="H54" s="101">
        <v>0</v>
      </c>
      <c r="I54" s="102">
        <f t="shared" si="0"/>
        <v>167469.2</v>
      </c>
      <c r="J54" s="92">
        <f t="shared" si="0"/>
        <v>50307.8</v>
      </c>
      <c r="K54" s="103">
        <f t="shared" si="1"/>
        <v>30.04003124156561</v>
      </c>
    </row>
    <row r="55" spans="1:11" ht="56.25">
      <c r="A55" s="104" t="s">
        <v>137</v>
      </c>
      <c r="B55" s="111" t="s">
        <v>218</v>
      </c>
      <c r="C55" s="109">
        <v>16857</v>
      </c>
      <c r="D55" s="181">
        <v>5335.4</v>
      </c>
      <c r="E55" s="90">
        <f t="shared" si="5"/>
        <v>31.650946194459273</v>
      </c>
      <c r="F55" s="101">
        <v>5525.1</v>
      </c>
      <c r="G55" s="107">
        <v>2500.8</v>
      </c>
      <c r="H55" s="101">
        <f>G55/F55*100</f>
        <v>45.262529184992125</v>
      </c>
      <c r="I55" s="102">
        <f>C55+F55-5525.1</f>
        <v>16857</v>
      </c>
      <c r="J55" s="92">
        <f>D55+G55-1768</f>
        <v>6068.2</v>
      </c>
      <c r="K55" s="103">
        <f t="shared" si="1"/>
        <v>35.99810167882779</v>
      </c>
    </row>
    <row r="56" spans="1:11" ht="56.25">
      <c r="A56" s="104" t="s">
        <v>137</v>
      </c>
      <c r="B56" s="111" t="s">
        <v>219</v>
      </c>
      <c r="C56" s="109">
        <v>13288.2</v>
      </c>
      <c r="D56" s="181">
        <v>13288.2</v>
      </c>
      <c r="E56" s="90">
        <f t="shared" si="5"/>
        <v>100</v>
      </c>
      <c r="F56" s="101">
        <v>13906.8</v>
      </c>
      <c r="G56" s="107">
        <v>1747.2</v>
      </c>
      <c r="H56" s="101">
        <f>G56/F56*100</f>
        <v>12.56363793252222</v>
      </c>
      <c r="I56" s="102">
        <f>C56+F56-13288.2</f>
        <v>13906.8</v>
      </c>
      <c r="J56" s="92">
        <f>D56+G56-13288.2</f>
        <v>1747.2000000000007</v>
      </c>
      <c r="K56" s="103">
        <f t="shared" si="1"/>
        <v>12.563637932522226</v>
      </c>
    </row>
    <row r="57" spans="1:11" ht="45">
      <c r="A57" s="104" t="s">
        <v>137</v>
      </c>
      <c r="B57" s="111" t="s">
        <v>220</v>
      </c>
      <c r="C57" s="109">
        <v>2135.9</v>
      </c>
      <c r="D57" s="181">
        <v>1957.8</v>
      </c>
      <c r="E57" s="90">
        <f t="shared" si="5"/>
        <v>91.661594643944</v>
      </c>
      <c r="F57" s="101"/>
      <c r="G57" s="107"/>
      <c r="H57" s="101"/>
      <c r="I57" s="102">
        <f>C57+F57</f>
        <v>2135.9</v>
      </c>
      <c r="J57" s="92">
        <f>D57+G57</f>
        <v>1957.8</v>
      </c>
      <c r="K57" s="103">
        <f t="shared" si="1"/>
        <v>91.661594643944</v>
      </c>
    </row>
    <row r="58" spans="1:11" ht="22.5">
      <c r="A58" s="99" t="s">
        <v>137</v>
      </c>
      <c r="B58" s="100" t="s">
        <v>234</v>
      </c>
      <c r="C58" s="109">
        <v>4270.6</v>
      </c>
      <c r="D58" s="109">
        <v>2194.9</v>
      </c>
      <c r="E58" s="90">
        <f t="shared" si="5"/>
        <v>51.39558844190512</v>
      </c>
      <c r="F58" s="101">
        <v>0</v>
      </c>
      <c r="G58" s="107">
        <v>0</v>
      </c>
      <c r="H58" s="101">
        <v>0</v>
      </c>
      <c r="I58" s="102">
        <f t="shared" si="0"/>
        <v>4270.6</v>
      </c>
      <c r="J58" s="92">
        <f t="shared" si="0"/>
        <v>2194.9</v>
      </c>
      <c r="K58" s="103">
        <f t="shared" si="1"/>
        <v>51.39558844190512</v>
      </c>
    </row>
    <row r="59" spans="1:11" ht="22.5">
      <c r="A59" s="99" t="s">
        <v>137</v>
      </c>
      <c r="B59" s="100" t="s">
        <v>235</v>
      </c>
      <c r="C59" s="109">
        <v>4775</v>
      </c>
      <c r="D59" s="109">
        <v>4651.8</v>
      </c>
      <c r="E59" s="90">
        <f t="shared" si="5"/>
        <v>97.41989528795811</v>
      </c>
      <c r="F59" s="101">
        <v>0</v>
      </c>
      <c r="G59" s="107">
        <v>0</v>
      </c>
      <c r="H59" s="101">
        <v>0</v>
      </c>
      <c r="I59" s="102">
        <f t="shared" si="0"/>
        <v>4775</v>
      </c>
      <c r="J59" s="92">
        <f t="shared" si="0"/>
        <v>4651.8</v>
      </c>
      <c r="K59" s="103">
        <f t="shared" si="1"/>
        <v>97.41989528795811</v>
      </c>
    </row>
    <row r="60" spans="1:11" ht="22.5">
      <c r="A60" s="99" t="s">
        <v>137</v>
      </c>
      <c r="B60" s="100" t="s">
        <v>236</v>
      </c>
      <c r="C60" s="109">
        <v>1281</v>
      </c>
      <c r="D60" s="109">
        <v>645.1</v>
      </c>
      <c r="E60" s="90">
        <f t="shared" si="5"/>
        <v>50.359094457455114</v>
      </c>
      <c r="F60" s="101">
        <v>0</v>
      </c>
      <c r="G60" s="107">
        <v>0</v>
      </c>
      <c r="H60" s="101">
        <v>0</v>
      </c>
      <c r="I60" s="102">
        <f t="shared" si="0"/>
        <v>1281</v>
      </c>
      <c r="J60" s="92">
        <f t="shared" si="0"/>
        <v>645.1</v>
      </c>
      <c r="K60" s="103">
        <f t="shared" si="1"/>
        <v>50.359094457455114</v>
      </c>
    </row>
    <row r="61" spans="1:11" ht="22.5">
      <c r="A61" s="99" t="s">
        <v>137</v>
      </c>
      <c r="B61" s="100" t="s">
        <v>237</v>
      </c>
      <c r="C61" s="109">
        <v>229.2</v>
      </c>
      <c r="D61" s="109">
        <v>130.8</v>
      </c>
      <c r="E61" s="90">
        <f t="shared" si="5"/>
        <v>57.06806282722514</v>
      </c>
      <c r="F61" s="101">
        <v>0</v>
      </c>
      <c r="G61" s="107">
        <v>0</v>
      </c>
      <c r="H61" s="101">
        <v>0</v>
      </c>
      <c r="I61" s="102">
        <f>C61+F61</f>
        <v>229.2</v>
      </c>
      <c r="J61" s="92">
        <f>D61+G61</f>
        <v>130.8</v>
      </c>
      <c r="K61" s="103">
        <f t="shared" si="1"/>
        <v>57.06806282722514</v>
      </c>
    </row>
    <row r="62" spans="1:11" ht="33.75">
      <c r="A62" s="104" t="s">
        <v>137</v>
      </c>
      <c r="B62" s="100" t="s">
        <v>238</v>
      </c>
      <c r="C62" s="109">
        <v>5625.9</v>
      </c>
      <c r="D62" s="109">
        <v>764.9</v>
      </c>
      <c r="E62" s="90">
        <f t="shared" si="5"/>
        <v>13.596046854725467</v>
      </c>
      <c r="F62" s="101">
        <v>0</v>
      </c>
      <c r="G62" s="107">
        <v>0</v>
      </c>
      <c r="H62" s="101">
        <v>0</v>
      </c>
      <c r="I62" s="102">
        <f t="shared" si="0"/>
        <v>5625.9</v>
      </c>
      <c r="J62" s="92">
        <f t="shared" si="0"/>
        <v>764.9</v>
      </c>
      <c r="K62" s="103">
        <f t="shared" si="1"/>
        <v>13.596046854725467</v>
      </c>
    </row>
    <row r="63" spans="1:11" ht="33.75">
      <c r="A63" s="99" t="s">
        <v>141</v>
      </c>
      <c r="B63" s="100" t="s">
        <v>210</v>
      </c>
      <c r="C63" s="109">
        <v>4800</v>
      </c>
      <c r="D63" s="109">
        <v>295.7</v>
      </c>
      <c r="E63" s="90">
        <f t="shared" si="5"/>
        <v>6.160416666666666</v>
      </c>
      <c r="F63" s="110">
        <v>0</v>
      </c>
      <c r="G63" s="110">
        <v>0</v>
      </c>
      <c r="H63" s="101">
        <v>0</v>
      </c>
      <c r="I63" s="102">
        <f t="shared" si="0"/>
        <v>4800</v>
      </c>
      <c r="J63" s="92">
        <f t="shared" si="0"/>
        <v>295.7</v>
      </c>
      <c r="K63" s="103">
        <f t="shared" si="1"/>
        <v>6.160416666666666</v>
      </c>
    </row>
    <row r="64" spans="1:11" ht="22.5">
      <c r="A64" s="104" t="s">
        <v>141</v>
      </c>
      <c r="B64" s="100" t="s">
        <v>205</v>
      </c>
      <c r="C64" s="109">
        <v>2144.1</v>
      </c>
      <c r="D64" s="109">
        <v>2144.1</v>
      </c>
      <c r="E64" s="90">
        <f t="shared" si="5"/>
        <v>100</v>
      </c>
      <c r="F64" s="110">
        <v>2263</v>
      </c>
      <c r="G64" s="110">
        <v>705.8</v>
      </c>
      <c r="H64" s="101">
        <f>G64/F64*100</f>
        <v>31.18868758285462</v>
      </c>
      <c r="I64" s="102">
        <f>C64+F64-2144.1</f>
        <v>2263.0000000000005</v>
      </c>
      <c r="J64" s="92">
        <f>D64+G64-2144.1</f>
        <v>705.7999999999997</v>
      </c>
      <c r="K64" s="103">
        <f t="shared" si="1"/>
        <v>31.1886875828546</v>
      </c>
    </row>
    <row r="65" spans="1:11" ht="22.5">
      <c r="A65" s="99" t="s">
        <v>141</v>
      </c>
      <c r="B65" s="100" t="s">
        <v>211</v>
      </c>
      <c r="C65" s="109">
        <v>21440.5</v>
      </c>
      <c r="D65" s="109">
        <v>15150.4</v>
      </c>
      <c r="E65" s="90">
        <f>D65/C65*100</f>
        <v>70.66253119097036</v>
      </c>
      <c r="F65" s="110">
        <v>13505.6</v>
      </c>
      <c r="G65" s="110">
        <v>11356.6</v>
      </c>
      <c r="H65" s="101">
        <f>G65/F65*100</f>
        <v>84.08808198080796</v>
      </c>
      <c r="I65" s="102">
        <f>C65+F65-13440.4</f>
        <v>21505.699999999997</v>
      </c>
      <c r="J65" s="92">
        <f>D65+G65-13440.4</f>
        <v>13066.6</v>
      </c>
      <c r="K65" s="103">
        <f>J65/I65*100</f>
        <v>60.758775580427525</v>
      </c>
    </row>
    <row r="66" spans="1:11" ht="22.5">
      <c r="A66" s="99" t="s">
        <v>141</v>
      </c>
      <c r="B66" s="100" t="s">
        <v>142</v>
      </c>
      <c r="C66" s="109">
        <v>6753.4</v>
      </c>
      <c r="D66" s="109">
        <v>4083.9</v>
      </c>
      <c r="E66" s="90">
        <f t="shared" si="5"/>
        <v>60.47176237154619</v>
      </c>
      <c r="F66" s="110">
        <v>38359.7</v>
      </c>
      <c r="G66" s="110">
        <v>20335.2</v>
      </c>
      <c r="H66" s="101">
        <f>G66/F66*100</f>
        <v>53.0118848687555</v>
      </c>
      <c r="I66" s="102">
        <f t="shared" si="0"/>
        <v>45113.1</v>
      </c>
      <c r="J66" s="92">
        <f t="shared" si="0"/>
        <v>24419.100000000002</v>
      </c>
      <c r="K66" s="103">
        <f t="shared" si="1"/>
        <v>54.12862339320509</v>
      </c>
    </row>
    <row r="67" spans="1:11" ht="22.5">
      <c r="A67" s="104" t="s">
        <v>221</v>
      </c>
      <c r="B67" s="100" t="s">
        <v>222</v>
      </c>
      <c r="C67" s="109">
        <v>78.9</v>
      </c>
      <c r="D67" s="90"/>
      <c r="E67" s="90">
        <f t="shared" si="5"/>
        <v>0</v>
      </c>
      <c r="F67" s="110"/>
      <c r="G67" s="110"/>
      <c r="H67" s="101"/>
      <c r="I67" s="102">
        <f t="shared" si="0"/>
        <v>78.9</v>
      </c>
      <c r="J67" s="92">
        <f t="shared" si="0"/>
        <v>0</v>
      </c>
      <c r="K67" s="103">
        <f t="shared" si="1"/>
        <v>0</v>
      </c>
    </row>
    <row r="68" spans="1:11" ht="12.75">
      <c r="A68" s="113" t="s">
        <v>143</v>
      </c>
      <c r="B68" s="114" t="s">
        <v>144</v>
      </c>
      <c r="C68" s="97">
        <f aca="true" t="shared" si="6" ref="C68:H68">C69</f>
        <v>350</v>
      </c>
      <c r="D68" s="97">
        <f t="shared" si="6"/>
        <v>190.1</v>
      </c>
      <c r="E68" s="95">
        <f>D68/C68*100</f>
        <v>54.31428571428572</v>
      </c>
      <c r="F68" s="97">
        <f t="shared" si="6"/>
        <v>0</v>
      </c>
      <c r="G68" s="97">
        <f t="shared" si="6"/>
        <v>0</v>
      </c>
      <c r="H68" s="96">
        <f t="shared" si="6"/>
        <v>0</v>
      </c>
      <c r="I68" s="97">
        <f t="shared" si="0"/>
        <v>350</v>
      </c>
      <c r="J68" s="97">
        <f t="shared" si="0"/>
        <v>190.1</v>
      </c>
      <c r="K68" s="98">
        <f t="shared" si="1"/>
        <v>54.31428571428572</v>
      </c>
    </row>
    <row r="69" spans="1:11" ht="22.5">
      <c r="A69" s="104" t="s">
        <v>145</v>
      </c>
      <c r="B69" s="115" t="s">
        <v>146</v>
      </c>
      <c r="C69" s="101">
        <v>350</v>
      </c>
      <c r="D69" s="101">
        <v>190.1</v>
      </c>
      <c r="E69" s="90">
        <f t="shared" si="5"/>
        <v>54.31428571428572</v>
      </c>
      <c r="F69" s="101">
        <v>0</v>
      </c>
      <c r="G69" s="91">
        <v>0</v>
      </c>
      <c r="H69" s="101">
        <v>0</v>
      </c>
      <c r="I69" s="102">
        <f t="shared" si="0"/>
        <v>350</v>
      </c>
      <c r="J69" s="92">
        <f t="shared" si="0"/>
        <v>190.1</v>
      </c>
      <c r="K69" s="103">
        <f t="shared" si="1"/>
        <v>54.31428571428572</v>
      </c>
    </row>
    <row r="70" spans="1:11" ht="12.75">
      <c r="A70" s="93" t="s">
        <v>147</v>
      </c>
      <c r="B70" s="94" t="s">
        <v>148</v>
      </c>
      <c r="C70" s="95">
        <f>SUM(C71:C81)</f>
        <v>1982287.5999999999</v>
      </c>
      <c r="D70" s="95">
        <f>SUM(D71:D81)</f>
        <v>1038164.9000000001</v>
      </c>
      <c r="E70" s="95">
        <f>D70/C70*100</f>
        <v>52.372062459554314</v>
      </c>
      <c r="F70" s="97">
        <f>F71+F74+F75+F80+F81</f>
        <v>4968.4</v>
      </c>
      <c r="G70" s="97">
        <f>SUM(G71:G81)</f>
        <v>3016.2</v>
      </c>
      <c r="H70" s="96">
        <f>G70/F70*100</f>
        <v>60.707672490137675</v>
      </c>
      <c r="I70" s="95">
        <f>SUM(I71:I81)</f>
        <v>1987256</v>
      </c>
      <c r="J70" s="95">
        <f>SUM(J71:J81)</f>
        <v>1041181.1000000001</v>
      </c>
      <c r="K70" s="98">
        <f t="shared" si="1"/>
        <v>52.392902575209234</v>
      </c>
    </row>
    <row r="71" spans="1:11" ht="12.75">
      <c r="A71" s="99" t="s">
        <v>149</v>
      </c>
      <c r="B71" s="100" t="s">
        <v>150</v>
      </c>
      <c r="C71" s="90">
        <f>357779.8+1150.6+783.1+1518</f>
        <v>361231.49999999994</v>
      </c>
      <c r="D71" s="90">
        <f>250472.8-D72-D73</f>
        <v>242959.8</v>
      </c>
      <c r="E71" s="90">
        <f t="shared" si="5"/>
        <v>67.2587523513315</v>
      </c>
      <c r="F71" s="101">
        <v>0</v>
      </c>
      <c r="G71" s="91">
        <v>0</v>
      </c>
      <c r="H71" s="101">
        <v>0</v>
      </c>
      <c r="I71" s="102">
        <f t="shared" si="0"/>
        <v>361231.49999999994</v>
      </c>
      <c r="J71" s="92">
        <f t="shared" si="0"/>
        <v>242959.8</v>
      </c>
      <c r="K71" s="103">
        <f t="shared" si="1"/>
        <v>67.2587523513315</v>
      </c>
    </row>
    <row r="72" spans="1:11" ht="33.75">
      <c r="A72" s="104" t="s">
        <v>149</v>
      </c>
      <c r="B72" s="100" t="s">
        <v>212</v>
      </c>
      <c r="C72" s="90">
        <v>4350.9</v>
      </c>
      <c r="D72" s="90">
        <v>3635.4</v>
      </c>
      <c r="E72" s="90">
        <f t="shared" si="5"/>
        <v>83.55512652554646</v>
      </c>
      <c r="F72" s="101"/>
      <c r="G72" s="91"/>
      <c r="H72" s="101"/>
      <c r="I72" s="102">
        <f t="shared" si="0"/>
        <v>4350.9</v>
      </c>
      <c r="J72" s="92">
        <f t="shared" si="0"/>
        <v>3635.4</v>
      </c>
      <c r="K72" s="103">
        <f t="shared" si="1"/>
        <v>83.55512652554646</v>
      </c>
    </row>
    <row r="73" spans="1:11" ht="56.25">
      <c r="A73" s="116" t="s">
        <v>149</v>
      </c>
      <c r="B73" s="117" t="s">
        <v>239</v>
      </c>
      <c r="C73" s="90">
        <v>12950.1</v>
      </c>
      <c r="D73" s="90">
        <v>3877.6</v>
      </c>
      <c r="E73" s="90">
        <f t="shared" si="5"/>
        <v>29.942625925668526</v>
      </c>
      <c r="F73" s="101">
        <v>0</v>
      </c>
      <c r="G73" s="91">
        <v>0</v>
      </c>
      <c r="H73" s="101">
        <v>0</v>
      </c>
      <c r="I73" s="102">
        <f t="shared" si="0"/>
        <v>12950.1</v>
      </c>
      <c r="J73" s="92">
        <f t="shared" si="0"/>
        <v>3877.6</v>
      </c>
      <c r="K73" s="103">
        <f t="shared" si="1"/>
        <v>29.942625925668526</v>
      </c>
    </row>
    <row r="74" spans="1:11" ht="12.75">
      <c r="A74" s="99" t="s">
        <v>151</v>
      </c>
      <c r="B74" s="100" t="s">
        <v>152</v>
      </c>
      <c r="C74" s="90">
        <f>1545234.9-C75-C77-C79-C78-C76</f>
        <v>934222.8999999999</v>
      </c>
      <c r="D74" s="90">
        <f>743213.9-D75-D76-D77-D78-D79</f>
        <v>632873.2</v>
      </c>
      <c r="E74" s="90">
        <f t="shared" si="5"/>
        <v>67.74327625666209</v>
      </c>
      <c r="F74" s="101">
        <v>0</v>
      </c>
      <c r="G74" s="91">
        <v>0</v>
      </c>
      <c r="H74" s="101">
        <v>0</v>
      </c>
      <c r="I74" s="102">
        <f t="shared" si="0"/>
        <v>934222.8999999999</v>
      </c>
      <c r="J74" s="92">
        <f t="shared" si="0"/>
        <v>632873.2</v>
      </c>
      <c r="K74" s="103">
        <f t="shared" si="1"/>
        <v>67.74327625666209</v>
      </c>
    </row>
    <row r="75" spans="1:11" ht="12.75">
      <c r="A75" s="99" t="s">
        <v>151</v>
      </c>
      <c r="B75" s="100" t="s">
        <v>153</v>
      </c>
      <c r="C75" s="90">
        <v>40118</v>
      </c>
      <c r="D75" s="90">
        <v>18692.4</v>
      </c>
      <c r="E75" s="90">
        <f t="shared" si="5"/>
        <v>46.59354903036044</v>
      </c>
      <c r="F75" s="101">
        <v>0</v>
      </c>
      <c r="G75" s="91">
        <v>0</v>
      </c>
      <c r="H75" s="101">
        <v>0</v>
      </c>
      <c r="I75" s="102">
        <f t="shared" si="0"/>
        <v>40118</v>
      </c>
      <c r="J75" s="92">
        <f t="shared" si="0"/>
        <v>18692.4</v>
      </c>
      <c r="K75" s="103">
        <f t="shared" si="1"/>
        <v>46.59354903036044</v>
      </c>
    </row>
    <row r="76" spans="1:11" ht="33.75">
      <c r="A76" s="104" t="s">
        <v>151</v>
      </c>
      <c r="B76" s="100" t="s">
        <v>212</v>
      </c>
      <c r="C76" s="90">
        <v>14166</v>
      </c>
      <c r="D76" s="90">
        <v>8416.9</v>
      </c>
      <c r="E76" s="90">
        <f t="shared" si="5"/>
        <v>59.41620782154454</v>
      </c>
      <c r="F76" s="101">
        <v>0</v>
      </c>
      <c r="G76" s="91">
        <v>0</v>
      </c>
      <c r="H76" s="101">
        <v>0</v>
      </c>
      <c r="I76" s="102">
        <f t="shared" si="0"/>
        <v>14166</v>
      </c>
      <c r="J76" s="92">
        <f t="shared" si="0"/>
        <v>8416.9</v>
      </c>
      <c r="K76" s="103">
        <f t="shared" si="1"/>
        <v>59.41620782154454</v>
      </c>
    </row>
    <row r="77" spans="1:11" ht="22.5">
      <c r="A77" s="99" t="s">
        <v>151</v>
      </c>
      <c r="B77" s="100" t="s">
        <v>240</v>
      </c>
      <c r="C77" s="90">
        <v>115402.2</v>
      </c>
      <c r="D77" s="90">
        <v>25018.9</v>
      </c>
      <c r="E77" s="90">
        <f t="shared" si="5"/>
        <v>21.67974267388317</v>
      </c>
      <c r="F77" s="101">
        <v>0</v>
      </c>
      <c r="G77" s="91">
        <v>0</v>
      </c>
      <c r="H77" s="101">
        <v>0</v>
      </c>
      <c r="I77" s="102">
        <f t="shared" si="0"/>
        <v>115402.2</v>
      </c>
      <c r="J77" s="92">
        <f t="shared" si="0"/>
        <v>25018.9</v>
      </c>
      <c r="K77" s="103">
        <f t="shared" si="1"/>
        <v>21.67974267388317</v>
      </c>
    </row>
    <row r="78" spans="1:11" ht="22.5">
      <c r="A78" s="104" t="s">
        <v>151</v>
      </c>
      <c r="B78" s="100" t="s">
        <v>241</v>
      </c>
      <c r="C78" s="90">
        <v>128</v>
      </c>
      <c r="D78" s="90">
        <v>92.7</v>
      </c>
      <c r="E78" s="90">
        <f t="shared" si="5"/>
        <v>72.421875</v>
      </c>
      <c r="F78" s="101"/>
      <c r="G78" s="91"/>
      <c r="H78" s="101"/>
      <c r="I78" s="102">
        <f t="shared" si="0"/>
        <v>128</v>
      </c>
      <c r="J78" s="92">
        <f t="shared" si="0"/>
        <v>92.7</v>
      </c>
      <c r="K78" s="103">
        <f t="shared" si="1"/>
        <v>72.421875</v>
      </c>
    </row>
    <row r="79" spans="1:11" ht="33.75">
      <c r="A79" s="99" t="s">
        <v>151</v>
      </c>
      <c r="B79" s="100" t="s">
        <v>215</v>
      </c>
      <c r="C79" s="90">
        <f>255351.8+185846</f>
        <v>441197.8</v>
      </c>
      <c r="D79" s="90">
        <v>58119.8</v>
      </c>
      <c r="E79" s="90">
        <f>D79/C79*100</f>
        <v>13.17318445377561</v>
      </c>
      <c r="F79" s="101">
        <v>0</v>
      </c>
      <c r="G79" s="91">
        <v>0</v>
      </c>
      <c r="H79" s="101">
        <v>0</v>
      </c>
      <c r="I79" s="102">
        <f>C79+F79</f>
        <v>441197.8</v>
      </c>
      <c r="J79" s="92">
        <f>D79+G79</f>
        <v>58119.8</v>
      </c>
      <c r="K79" s="103">
        <f>J79/I79*100</f>
        <v>13.17318445377561</v>
      </c>
    </row>
    <row r="80" spans="1:11" ht="12.75">
      <c r="A80" s="99" t="s">
        <v>154</v>
      </c>
      <c r="B80" s="100" t="s">
        <v>155</v>
      </c>
      <c r="C80" s="90">
        <v>20055.2</v>
      </c>
      <c r="D80" s="90">
        <v>18972.8</v>
      </c>
      <c r="E80" s="90">
        <f t="shared" si="5"/>
        <v>94.60289600702062</v>
      </c>
      <c r="F80" s="101">
        <v>4968.4</v>
      </c>
      <c r="G80" s="91">
        <v>3016.2</v>
      </c>
      <c r="H80" s="101">
        <f>G80/F80*100</f>
        <v>60.707672490137675</v>
      </c>
      <c r="I80" s="102">
        <f t="shared" si="0"/>
        <v>25023.6</v>
      </c>
      <c r="J80" s="92">
        <f t="shared" si="0"/>
        <v>21989</v>
      </c>
      <c r="K80" s="103">
        <f t="shared" si="1"/>
        <v>87.87304784283637</v>
      </c>
    </row>
    <row r="81" spans="1:11" ht="12.75">
      <c r="A81" s="99" t="s">
        <v>156</v>
      </c>
      <c r="B81" s="100" t="s">
        <v>157</v>
      </c>
      <c r="C81" s="90">
        <v>38465</v>
      </c>
      <c r="D81" s="90">
        <v>25505.4</v>
      </c>
      <c r="E81" s="90">
        <f t="shared" si="5"/>
        <v>66.30807227349538</v>
      </c>
      <c r="F81" s="101">
        <v>0</v>
      </c>
      <c r="G81" s="91">
        <v>0</v>
      </c>
      <c r="H81" s="101">
        <v>0</v>
      </c>
      <c r="I81" s="102">
        <f t="shared" si="0"/>
        <v>38465</v>
      </c>
      <c r="J81" s="92">
        <f t="shared" si="0"/>
        <v>25505.4</v>
      </c>
      <c r="K81" s="103">
        <f t="shared" si="1"/>
        <v>66.30807227349538</v>
      </c>
    </row>
    <row r="82" spans="1:11" ht="12.75">
      <c r="A82" s="93" t="s">
        <v>158</v>
      </c>
      <c r="B82" s="94" t="s">
        <v>159</v>
      </c>
      <c r="C82" s="95">
        <f>SUM(C83:C88)</f>
        <v>318336.7</v>
      </c>
      <c r="D82" s="95">
        <f>SUM(D83:D88)</f>
        <v>174206.5</v>
      </c>
      <c r="E82" s="95">
        <f>D82/C82*100</f>
        <v>54.72397621763372</v>
      </c>
      <c r="F82" s="97">
        <f>SUM(F83:F88)</f>
        <v>80387</v>
      </c>
      <c r="G82" s="97">
        <f>SUM(G83:G88)</f>
        <v>51560.9</v>
      </c>
      <c r="H82" s="96">
        <f>G82/F82*100</f>
        <v>64.14084366875241</v>
      </c>
      <c r="I82" s="97">
        <f>SUM(I83:I88)</f>
        <v>389619.7</v>
      </c>
      <c r="J82" s="97">
        <f>SUM(J83:J88)</f>
        <v>216663.40000000002</v>
      </c>
      <c r="K82" s="98">
        <f t="shared" si="1"/>
        <v>55.60894379827304</v>
      </c>
    </row>
    <row r="83" spans="1:11" ht="12.75">
      <c r="A83" s="99" t="s">
        <v>160</v>
      </c>
      <c r="B83" s="100" t="s">
        <v>161</v>
      </c>
      <c r="C83" s="90">
        <f>297175.7-C84-C86-C85</f>
        <v>47305.700000000026</v>
      </c>
      <c r="D83" s="90">
        <f>155766.1-D84-D86-D85</f>
        <v>33588.90000000001</v>
      </c>
      <c r="E83" s="90">
        <f t="shared" si="5"/>
        <v>71.00391707553212</v>
      </c>
      <c r="F83" s="101">
        <f>74426-F85</f>
        <v>72501</v>
      </c>
      <c r="G83" s="91">
        <f>46915-G85</f>
        <v>45464.3</v>
      </c>
      <c r="H83" s="101">
        <f>G83/F83*100</f>
        <v>62.708514365319104</v>
      </c>
      <c r="I83" s="102">
        <f>C83+F83-1847</f>
        <v>117959.70000000003</v>
      </c>
      <c r="J83" s="92">
        <f>D83+G83-1847</f>
        <v>77206.20000000001</v>
      </c>
      <c r="K83" s="103">
        <f t="shared" si="1"/>
        <v>65.45133634622673</v>
      </c>
    </row>
    <row r="84" spans="1:11" ht="56.25">
      <c r="A84" s="116" t="s">
        <v>160</v>
      </c>
      <c r="B84" s="117" t="s">
        <v>223</v>
      </c>
      <c r="C84" s="90">
        <v>210564.8</v>
      </c>
      <c r="D84" s="90">
        <v>97249.7</v>
      </c>
      <c r="E84" s="90">
        <f t="shared" si="5"/>
        <v>46.18516485186508</v>
      </c>
      <c r="F84" s="101">
        <v>0</v>
      </c>
      <c r="G84" s="91">
        <v>0</v>
      </c>
      <c r="H84" s="101">
        <v>0</v>
      </c>
      <c r="I84" s="102">
        <f>C84+F84</f>
        <v>210564.8</v>
      </c>
      <c r="J84" s="92">
        <f>D84+G84</f>
        <v>97249.7</v>
      </c>
      <c r="K84" s="103">
        <f>J84/I84*100</f>
        <v>46.18516485186508</v>
      </c>
    </row>
    <row r="85" spans="1:11" ht="12.75">
      <c r="A85" s="116" t="s">
        <v>160</v>
      </c>
      <c r="B85" s="117" t="s">
        <v>224</v>
      </c>
      <c r="C85" s="90">
        <v>3905.7</v>
      </c>
      <c r="D85" s="90">
        <v>2978.9</v>
      </c>
      <c r="E85" s="90">
        <f t="shared" si="5"/>
        <v>76.27057889750878</v>
      </c>
      <c r="F85" s="101">
        <v>1925</v>
      </c>
      <c r="G85" s="91">
        <v>1450.7</v>
      </c>
      <c r="H85" s="101">
        <f>G85/F85*100</f>
        <v>75.36103896103896</v>
      </c>
      <c r="I85" s="102">
        <f>C85+F85-1925</f>
        <v>3905.7</v>
      </c>
      <c r="J85" s="92">
        <f>D85+G85-1925</f>
        <v>2504.6000000000004</v>
      </c>
      <c r="K85" s="103">
        <f>J85/I85*100</f>
        <v>64.12678905189853</v>
      </c>
    </row>
    <row r="86" spans="1:11" ht="22.5">
      <c r="A86" s="116" t="s">
        <v>160</v>
      </c>
      <c r="B86" s="117" t="s">
        <v>242</v>
      </c>
      <c r="C86" s="90">
        <v>35399.5</v>
      </c>
      <c r="D86" s="90">
        <v>21948.6</v>
      </c>
      <c r="E86" s="90">
        <f t="shared" si="5"/>
        <v>62.002570657777646</v>
      </c>
      <c r="F86" s="101">
        <v>0</v>
      </c>
      <c r="G86" s="91">
        <v>0</v>
      </c>
      <c r="H86" s="101">
        <v>0</v>
      </c>
      <c r="I86" s="102">
        <f>C86+F86</f>
        <v>35399.5</v>
      </c>
      <c r="J86" s="92">
        <f>D86+G86</f>
        <v>21948.6</v>
      </c>
      <c r="K86" s="103">
        <f>J86/I86*100</f>
        <v>62.002570657777646</v>
      </c>
    </row>
    <row r="87" spans="1:11" ht="12.75">
      <c r="A87" s="99" t="s">
        <v>162</v>
      </c>
      <c r="B87" s="100" t="s">
        <v>163</v>
      </c>
      <c r="C87" s="90">
        <v>619</v>
      </c>
      <c r="D87" s="90">
        <v>556</v>
      </c>
      <c r="E87" s="90">
        <f t="shared" si="5"/>
        <v>89.82229402261711</v>
      </c>
      <c r="F87" s="101">
        <v>629</v>
      </c>
      <c r="G87" s="91">
        <v>365.9</v>
      </c>
      <c r="H87" s="101">
        <f>G87/F87*100</f>
        <v>58.171701112877585</v>
      </c>
      <c r="I87" s="102">
        <f aca="true" t="shared" si="7" ref="I87:J113">C87+F87</f>
        <v>1248</v>
      </c>
      <c r="J87" s="92">
        <f t="shared" si="7"/>
        <v>921.9</v>
      </c>
      <c r="K87" s="103">
        <f aca="true" t="shared" si="8" ref="K87:K118">J87/I87*100</f>
        <v>73.8701923076923</v>
      </c>
    </row>
    <row r="88" spans="1:11" ht="12.75">
      <c r="A88" s="99" t="s">
        <v>164</v>
      </c>
      <c r="B88" s="100" t="s">
        <v>165</v>
      </c>
      <c r="C88" s="90">
        <v>20542</v>
      </c>
      <c r="D88" s="90">
        <v>17884.4</v>
      </c>
      <c r="E88" s="90">
        <f t="shared" si="5"/>
        <v>87.06260344659722</v>
      </c>
      <c r="F88" s="101">
        <v>5332</v>
      </c>
      <c r="G88" s="91">
        <v>4280</v>
      </c>
      <c r="H88" s="101">
        <f>G88/F88*100</f>
        <v>80.27006751687922</v>
      </c>
      <c r="I88" s="102">
        <f>C88+F88-5332</f>
        <v>20542</v>
      </c>
      <c r="J88" s="92">
        <f>D88+G88-5332</f>
        <v>16832.4</v>
      </c>
      <c r="K88" s="103">
        <f t="shared" si="8"/>
        <v>81.94138837503651</v>
      </c>
    </row>
    <row r="89" spans="1:11" ht="12.75">
      <c r="A89" s="93" t="s">
        <v>166</v>
      </c>
      <c r="B89" s="94" t="s">
        <v>167</v>
      </c>
      <c r="C89" s="95">
        <f>SUM(C90:C94)</f>
        <v>373139.1</v>
      </c>
      <c r="D89" s="95">
        <f>SUM(D90:D94)</f>
        <v>168769.1</v>
      </c>
      <c r="E89" s="95">
        <f>D89/C89*100</f>
        <v>45.229540404637305</v>
      </c>
      <c r="F89" s="97">
        <f>SUM(F90:F93)</f>
        <v>0</v>
      </c>
      <c r="G89" s="97">
        <f>SUM(G90:G93)</f>
        <v>0</v>
      </c>
      <c r="H89" s="96"/>
      <c r="I89" s="97">
        <f>C89+F89</f>
        <v>373139.1</v>
      </c>
      <c r="J89" s="97">
        <f t="shared" si="7"/>
        <v>168769.1</v>
      </c>
      <c r="K89" s="98">
        <f t="shared" si="8"/>
        <v>45.229540404637305</v>
      </c>
    </row>
    <row r="90" spans="1:11" ht="12.75">
      <c r="A90" s="99" t="s">
        <v>168</v>
      </c>
      <c r="B90" s="100" t="s">
        <v>169</v>
      </c>
      <c r="C90" s="90">
        <v>179665.8</v>
      </c>
      <c r="D90" s="90">
        <v>121122.6</v>
      </c>
      <c r="E90" s="90">
        <f t="shared" si="5"/>
        <v>67.41550144768789</v>
      </c>
      <c r="F90" s="101">
        <v>0</v>
      </c>
      <c r="G90" s="91">
        <v>0</v>
      </c>
      <c r="H90" s="101">
        <v>0</v>
      </c>
      <c r="I90" s="102">
        <f t="shared" si="7"/>
        <v>179665.8</v>
      </c>
      <c r="J90" s="92">
        <f t="shared" si="7"/>
        <v>121122.6</v>
      </c>
      <c r="K90" s="103">
        <f t="shared" si="8"/>
        <v>67.41550144768789</v>
      </c>
    </row>
    <row r="91" spans="1:11" ht="12.75">
      <c r="A91" s="99" t="s">
        <v>170</v>
      </c>
      <c r="B91" s="100" t="s">
        <v>171</v>
      </c>
      <c r="C91" s="90">
        <v>34177.1</v>
      </c>
      <c r="D91" s="90">
        <v>25654.1</v>
      </c>
      <c r="E91" s="90">
        <f t="shared" si="5"/>
        <v>75.06224928387721</v>
      </c>
      <c r="F91" s="101">
        <v>0</v>
      </c>
      <c r="G91" s="91">
        <v>0</v>
      </c>
      <c r="H91" s="101">
        <v>0</v>
      </c>
      <c r="I91" s="102">
        <f t="shared" si="7"/>
        <v>34177.1</v>
      </c>
      <c r="J91" s="92">
        <f t="shared" si="7"/>
        <v>25654.1</v>
      </c>
      <c r="K91" s="103">
        <f t="shared" si="8"/>
        <v>75.06224928387721</v>
      </c>
    </row>
    <row r="92" spans="1:11" ht="12.75">
      <c r="A92" s="104" t="s">
        <v>172</v>
      </c>
      <c r="B92" s="100" t="s">
        <v>173</v>
      </c>
      <c r="C92" s="90">
        <v>6669.4</v>
      </c>
      <c r="D92" s="90">
        <v>4618.9</v>
      </c>
      <c r="E92" s="90">
        <f t="shared" si="5"/>
        <v>69.25510540678322</v>
      </c>
      <c r="F92" s="101">
        <v>0</v>
      </c>
      <c r="G92" s="91">
        <v>0</v>
      </c>
      <c r="H92" s="101">
        <v>0</v>
      </c>
      <c r="I92" s="102">
        <f t="shared" si="7"/>
        <v>6669.4</v>
      </c>
      <c r="J92" s="92">
        <f t="shared" si="7"/>
        <v>4618.9</v>
      </c>
      <c r="K92" s="103">
        <f t="shared" si="8"/>
        <v>69.25510540678322</v>
      </c>
    </row>
    <row r="93" spans="1:11" ht="12.75">
      <c r="A93" s="104" t="s">
        <v>174</v>
      </c>
      <c r="B93" s="100" t="s">
        <v>175</v>
      </c>
      <c r="C93" s="90">
        <f>152626.8-C94</f>
        <v>22927.499999999985</v>
      </c>
      <c r="D93" s="101">
        <f>17373.5-D94</f>
        <v>9742.6</v>
      </c>
      <c r="E93" s="90">
        <f t="shared" si="5"/>
        <v>42.49307600043618</v>
      </c>
      <c r="F93" s="101">
        <v>0</v>
      </c>
      <c r="G93" s="91">
        <v>0</v>
      </c>
      <c r="H93" s="101">
        <v>0</v>
      </c>
      <c r="I93" s="102">
        <f t="shared" si="7"/>
        <v>22927.499999999985</v>
      </c>
      <c r="J93" s="92">
        <f t="shared" si="7"/>
        <v>9742.6</v>
      </c>
      <c r="K93" s="103">
        <f t="shared" si="8"/>
        <v>42.49307600043618</v>
      </c>
    </row>
    <row r="94" spans="1:11" ht="22.5">
      <c r="A94" s="104" t="s">
        <v>174</v>
      </c>
      <c r="B94" s="117" t="s">
        <v>213</v>
      </c>
      <c r="C94" s="90">
        <v>129699.3</v>
      </c>
      <c r="D94" s="101">
        <v>7630.9</v>
      </c>
      <c r="E94" s="90">
        <f t="shared" si="5"/>
        <v>5.883532139340767</v>
      </c>
      <c r="F94" s="101">
        <v>0</v>
      </c>
      <c r="G94" s="91">
        <v>0</v>
      </c>
      <c r="H94" s="101">
        <v>0</v>
      </c>
      <c r="I94" s="102">
        <f t="shared" si="7"/>
        <v>129699.3</v>
      </c>
      <c r="J94" s="92">
        <f t="shared" si="7"/>
        <v>7630.9</v>
      </c>
      <c r="K94" s="103">
        <f t="shared" si="8"/>
        <v>5.883532139340767</v>
      </c>
    </row>
    <row r="95" spans="1:11" ht="12.75">
      <c r="A95" s="93">
        <v>10</v>
      </c>
      <c r="B95" s="94" t="s">
        <v>176</v>
      </c>
      <c r="C95" s="95">
        <f>SUM(C96:C105)</f>
        <v>150365</v>
      </c>
      <c r="D95" s="95">
        <f>SUM(D96:D105)</f>
        <v>77562.2</v>
      </c>
      <c r="E95" s="95">
        <f>D95/C95*100</f>
        <v>51.58261563528747</v>
      </c>
      <c r="F95" s="95">
        <f>SUM(F96:F103)</f>
        <v>172.8</v>
      </c>
      <c r="G95" s="95">
        <f>SUM(G96:G103)</f>
        <v>101.4</v>
      </c>
      <c r="H95" s="96">
        <f>G95/F95*100</f>
        <v>58.68055555555556</v>
      </c>
      <c r="I95" s="95">
        <f>SUM(I96:I105)</f>
        <v>150537.80000000002</v>
      </c>
      <c r="J95" s="95">
        <f>SUM(J96:J105)</f>
        <v>77663.6</v>
      </c>
      <c r="K95" s="98">
        <f t="shared" si="8"/>
        <v>51.59076325016042</v>
      </c>
    </row>
    <row r="96" spans="1:11" ht="12.75">
      <c r="A96" s="104">
        <v>1001</v>
      </c>
      <c r="B96" s="100" t="s">
        <v>177</v>
      </c>
      <c r="C96" s="90">
        <v>3415</v>
      </c>
      <c r="D96" s="90">
        <v>2089.3</v>
      </c>
      <c r="E96" s="90">
        <f t="shared" si="5"/>
        <v>61.180087847730604</v>
      </c>
      <c r="F96" s="101">
        <v>172.8</v>
      </c>
      <c r="G96" s="91">
        <v>101.4</v>
      </c>
      <c r="H96" s="101">
        <f>G96/F96*100</f>
        <v>58.68055555555556</v>
      </c>
      <c r="I96" s="102">
        <f t="shared" si="7"/>
        <v>3587.8</v>
      </c>
      <c r="J96" s="92">
        <f t="shared" si="7"/>
        <v>2190.7000000000003</v>
      </c>
      <c r="K96" s="103">
        <f t="shared" si="8"/>
        <v>61.0597023245443</v>
      </c>
    </row>
    <row r="97" spans="1:11" ht="22.5">
      <c r="A97" s="104">
        <v>1003</v>
      </c>
      <c r="B97" s="100" t="s">
        <v>179</v>
      </c>
      <c r="C97" s="90">
        <v>6964.1</v>
      </c>
      <c r="D97" s="90">
        <v>3807.5</v>
      </c>
      <c r="E97" s="90">
        <f t="shared" si="5"/>
        <v>54.67325282520355</v>
      </c>
      <c r="F97" s="101">
        <v>0</v>
      </c>
      <c r="G97" s="91">
        <v>0</v>
      </c>
      <c r="H97" s="101">
        <v>0</v>
      </c>
      <c r="I97" s="102">
        <f t="shared" si="7"/>
        <v>6964.1</v>
      </c>
      <c r="J97" s="92">
        <f t="shared" si="7"/>
        <v>3807.5</v>
      </c>
      <c r="K97" s="103">
        <f t="shared" si="8"/>
        <v>54.67325282520355</v>
      </c>
    </row>
    <row r="98" spans="1:11" ht="22.5">
      <c r="A98" s="104">
        <v>1003</v>
      </c>
      <c r="B98" s="100" t="s">
        <v>180</v>
      </c>
      <c r="C98" s="90">
        <v>12754.4</v>
      </c>
      <c r="D98" s="90">
        <v>3688.5</v>
      </c>
      <c r="E98" s="90">
        <f aca="true" t="shared" si="9" ref="E98:E116">D98/C98*100</f>
        <v>28.91943172552217</v>
      </c>
      <c r="F98" s="101">
        <v>0</v>
      </c>
      <c r="G98" s="91">
        <v>0</v>
      </c>
      <c r="H98" s="101">
        <v>0</v>
      </c>
      <c r="I98" s="102">
        <f t="shared" si="7"/>
        <v>12754.4</v>
      </c>
      <c r="J98" s="92">
        <f t="shared" si="7"/>
        <v>3688.5</v>
      </c>
      <c r="K98" s="103">
        <f t="shared" si="8"/>
        <v>28.91943172552217</v>
      </c>
    </row>
    <row r="99" spans="1:11" ht="22.5">
      <c r="A99" s="104">
        <v>1003</v>
      </c>
      <c r="B99" s="100" t="s">
        <v>181</v>
      </c>
      <c r="C99" s="90">
        <v>10694.9</v>
      </c>
      <c r="D99" s="90">
        <v>4800</v>
      </c>
      <c r="E99" s="90">
        <f t="shared" si="9"/>
        <v>44.881205060355875</v>
      </c>
      <c r="F99" s="101">
        <v>0</v>
      </c>
      <c r="G99" s="91">
        <v>0</v>
      </c>
      <c r="H99" s="101">
        <v>0</v>
      </c>
      <c r="I99" s="102">
        <f t="shared" si="7"/>
        <v>10694.9</v>
      </c>
      <c r="J99" s="92">
        <f t="shared" si="7"/>
        <v>4800</v>
      </c>
      <c r="K99" s="103">
        <f t="shared" si="8"/>
        <v>44.881205060355875</v>
      </c>
    </row>
    <row r="100" spans="1:11" ht="45">
      <c r="A100" s="104">
        <v>1004</v>
      </c>
      <c r="B100" s="100" t="s">
        <v>182</v>
      </c>
      <c r="C100" s="109">
        <v>9015</v>
      </c>
      <c r="D100" s="90">
        <v>7963.8</v>
      </c>
      <c r="E100" s="90">
        <f t="shared" si="9"/>
        <v>88.33943427620633</v>
      </c>
      <c r="F100" s="101">
        <v>0</v>
      </c>
      <c r="G100" s="91">
        <v>0</v>
      </c>
      <c r="H100" s="101">
        <v>0</v>
      </c>
      <c r="I100" s="102">
        <f t="shared" si="7"/>
        <v>9015</v>
      </c>
      <c r="J100" s="92">
        <f t="shared" si="7"/>
        <v>7963.8</v>
      </c>
      <c r="K100" s="103">
        <f t="shared" si="8"/>
        <v>88.33943427620633</v>
      </c>
    </row>
    <row r="101" spans="1:11" ht="33.75">
      <c r="A101" s="104">
        <v>1004</v>
      </c>
      <c r="B101" s="100" t="s">
        <v>214</v>
      </c>
      <c r="C101" s="109">
        <v>1758.5</v>
      </c>
      <c r="D101" s="90">
        <v>256.3</v>
      </c>
      <c r="E101" s="90">
        <f t="shared" si="9"/>
        <v>14.574921808359399</v>
      </c>
      <c r="F101" s="101">
        <v>0</v>
      </c>
      <c r="G101" s="101">
        <v>0</v>
      </c>
      <c r="H101" s="101">
        <v>0</v>
      </c>
      <c r="I101" s="102">
        <f t="shared" si="7"/>
        <v>1758.5</v>
      </c>
      <c r="J101" s="102">
        <f t="shared" si="7"/>
        <v>256.3</v>
      </c>
      <c r="K101" s="103">
        <f t="shared" si="8"/>
        <v>14.574921808359399</v>
      </c>
    </row>
    <row r="102" spans="1:11" ht="22.5">
      <c r="A102" s="104">
        <v>1004</v>
      </c>
      <c r="B102" s="100" t="s">
        <v>183</v>
      </c>
      <c r="C102" s="109">
        <v>64855</v>
      </c>
      <c r="D102" s="90">
        <v>35863.2</v>
      </c>
      <c r="E102" s="90">
        <f t="shared" si="9"/>
        <v>55.29750982961992</v>
      </c>
      <c r="F102" s="101">
        <v>0</v>
      </c>
      <c r="G102" s="91">
        <v>0</v>
      </c>
      <c r="H102" s="101">
        <v>0</v>
      </c>
      <c r="I102" s="102">
        <f t="shared" si="7"/>
        <v>64855</v>
      </c>
      <c r="J102" s="92">
        <f t="shared" si="7"/>
        <v>35863.2</v>
      </c>
      <c r="K102" s="103">
        <f t="shared" si="8"/>
        <v>55.29750982961992</v>
      </c>
    </row>
    <row r="103" spans="1:11" ht="12.75">
      <c r="A103" s="104">
        <v>1004</v>
      </c>
      <c r="B103" s="100" t="s">
        <v>178</v>
      </c>
      <c r="C103" s="109">
        <v>4808.6</v>
      </c>
      <c r="D103" s="90">
        <v>3978.3</v>
      </c>
      <c r="E103" s="90">
        <f t="shared" si="9"/>
        <v>82.7330200058229</v>
      </c>
      <c r="F103" s="101">
        <v>0</v>
      </c>
      <c r="G103" s="91">
        <v>0</v>
      </c>
      <c r="H103" s="101">
        <v>0</v>
      </c>
      <c r="I103" s="102">
        <f t="shared" si="7"/>
        <v>4808.6</v>
      </c>
      <c r="J103" s="92">
        <f t="shared" si="7"/>
        <v>3978.3</v>
      </c>
      <c r="K103" s="103">
        <f t="shared" si="8"/>
        <v>82.7330200058229</v>
      </c>
    </row>
    <row r="104" spans="1:11" ht="45">
      <c r="A104" s="104" t="s">
        <v>184</v>
      </c>
      <c r="B104" s="100" t="s">
        <v>216</v>
      </c>
      <c r="C104" s="109">
        <v>23542.3</v>
      </c>
      <c r="D104" s="90">
        <v>8410.3</v>
      </c>
      <c r="E104" s="90">
        <f>D104/C104*100</f>
        <v>35.724207065579826</v>
      </c>
      <c r="F104" s="101">
        <v>0</v>
      </c>
      <c r="G104" s="91">
        <v>0</v>
      </c>
      <c r="H104" s="101">
        <v>0</v>
      </c>
      <c r="I104" s="102">
        <f>C104+F104</f>
        <v>23542.3</v>
      </c>
      <c r="J104" s="92">
        <f>D104+G104</f>
        <v>8410.3</v>
      </c>
      <c r="K104" s="103">
        <f>J104/I104*100</f>
        <v>35.724207065579826</v>
      </c>
    </row>
    <row r="105" spans="1:11" ht="22.5">
      <c r="A105" s="104">
        <v>1006</v>
      </c>
      <c r="B105" s="100" t="s">
        <v>185</v>
      </c>
      <c r="C105" s="90">
        <v>12557.2</v>
      </c>
      <c r="D105" s="90">
        <v>6705</v>
      </c>
      <c r="E105" s="90">
        <f t="shared" si="9"/>
        <v>53.3956614531902</v>
      </c>
      <c r="F105" s="101">
        <v>0</v>
      </c>
      <c r="G105" s="91">
        <v>0</v>
      </c>
      <c r="H105" s="101">
        <v>0</v>
      </c>
      <c r="I105" s="102">
        <f t="shared" si="7"/>
        <v>12557.2</v>
      </c>
      <c r="J105" s="92">
        <f t="shared" si="7"/>
        <v>6705</v>
      </c>
      <c r="K105" s="103">
        <f t="shared" si="8"/>
        <v>53.3956614531902</v>
      </c>
    </row>
    <row r="106" spans="1:11" ht="12.75">
      <c r="A106" s="113">
        <v>1100</v>
      </c>
      <c r="B106" s="94" t="s">
        <v>186</v>
      </c>
      <c r="C106" s="95">
        <f>SUM(C107:C108)</f>
        <v>36554.5</v>
      </c>
      <c r="D106" s="95">
        <f>SUM(D107:D108)</f>
        <v>11015.7</v>
      </c>
      <c r="E106" s="95">
        <f>D106/C106*100</f>
        <v>30.135003898288858</v>
      </c>
      <c r="F106" s="97">
        <f>F107+F108</f>
        <v>9967.5</v>
      </c>
      <c r="G106" s="97">
        <f>G107+G108</f>
        <v>5718.700000000001</v>
      </c>
      <c r="H106" s="96">
        <f>G106/F106*100</f>
        <v>57.37346375721094</v>
      </c>
      <c r="I106" s="97">
        <f>SUM(I107:I108)</f>
        <v>46312</v>
      </c>
      <c r="J106" s="97">
        <f>SUM(J107:J108)</f>
        <v>16524.4</v>
      </c>
      <c r="K106" s="98">
        <f t="shared" si="8"/>
        <v>35.68060114009328</v>
      </c>
    </row>
    <row r="107" spans="1:11" ht="12.75">
      <c r="A107" s="104">
        <v>1101</v>
      </c>
      <c r="B107" s="100" t="s">
        <v>187</v>
      </c>
      <c r="C107" s="90">
        <v>10721</v>
      </c>
      <c r="D107" s="90">
        <v>7028.3</v>
      </c>
      <c r="E107" s="90">
        <f t="shared" si="9"/>
        <v>65.55638466560956</v>
      </c>
      <c r="F107" s="101">
        <v>9757.5</v>
      </c>
      <c r="G107" s="91">
        <v>5624.1</v>
      </c>
      <c r="H107" s="101">
        <f>G107/F107*100</f>
        <v>57.638739431206766</v>
      </c>
      <c r="I107" s="102">
        <f t="shared" si="7"/>
        <v>20478.5</v>
      </c>
      <c r="J107" s="102">
        <f t="shared" si="7"/>
        <v>12652.400000000001</v>
      </c>
      <c r="K107" s="103">
        <f t="shared" si="8"/>
        <v>61.78382205727959</v>
      </c>
    </row>
    <row r="108" spans="1:11" ht="12.75">
      <c r="A108" s="104">
        <v>1102</v>
      </c>
      <c r="B108" s="100" t="s">
        <v>188</v>
      </c>
      <c r="C108" s="90">
        <v>25833.5</v>
      </c>
      <c r="D108" s="90">
        <v>3987.4</v>
      </c>
      <c r="E108" s="90">
        <f t="shared" si="9"/>
        <v>15.434997193566494</v>
      </c>
      <c r="F108" s="101">
        <v>210</v>
      </c>
      <c r="G108" s="91">
        <v>94.6</v>
      </c>
      <c r="H108" s="101">
        <f>G108/F108*100</f>
        <v>45.04761904761905</v>
      </c>
      <c r="I108" s="102">
        <f>C108+F108-210</f>
        <v>25833.5</v>
      </c>
      <c r="J108" s="102">
        <f>D108+G108-210</f>
        <v>3872</v>
      </c>
      <c r="K108" s="103">
        <f t="shared" si="8"/>
        <v>14.988290398126464</v>
      </c>
    </row>
    <row r="109" spans="1:11" ht="12.75">
      <c r="A109" s="113">
        <v>1200</v>
      </c>
      <c r="B109" s="94" t="s">
        <v>189</v>
      </c>
      <c r="C109" s="95">
        <f>C111+C110</f>
        <v>9410</v>
      </c>
      <c r="D109" s="95">
        <f>D111+D110</f>
        <v>7960</v>
      </c>
      <c r="E109" s="95">
        <f>E111</f>
        <v>83.04347826086956</v>
      </c>
      <c r="F109" s="95">
        <f>F111+F110</f>
        <v>0</v>
      </c>
      <c r="G109" s="95">
        <f>G111+G110</f>
        <v>0</v>
      </c>
      <c r="H109" s="105">
        <f>H111</f>
        <v>0</v>
      </c>
      <c r="I109" s="95">
        <f t="shared" si="7"/>
        <v>9410</v>
      </c>
      <c r="J109" s="95">
        <f t="shared" si="7"/>
        <v>7960</v>
      </c>
      <c r="K109" s="106">
        <f t="shared" si="8"/>
        <v>84.59086078639744</v>
      </c>
    </row>
    <row r="110" spans="1:11" ht="12.75">
      <c r="A110" s="104" t="s">
        <v>190</v>
      </c>
      <c r="B110" s="100" t="s">
        <v>191</v>
      </c>
      <c r="C110" s="90">
        <v>3660</v>
      </c>
      <c r="D110" s="90">
        <v>3185</v>
      </c>
      <c r="E110" s="90">
        <f>D110/C110*100</f>
        <v>87.02185792349727</v>
      </c>
      <c r="F110" s="101">
        <v>0</v>
      </c>
      <c r="G110" s="91">
        <v>0</v>
      </c>
      <c r="H110" s="101">
        <v>0</v>
      </c>
      <c r="I110" s="102">
        <f>C110+F110</f>
        <v>3660</v>
      </c>
      <c r="J110" s="102">
        <f>D110+G110</f>
        <v>3185</v>
      </c>
      <c r="K110" s="103">
        <f>J110/I110*100</f>
        <v>87.02185792349727</v>
      </c>
    </row>
    <row r="111" spans="1:11" ht="12.75">
      <c r="A111" s="104">
        <v>1202</v>
      </c>
      <c r="B111" s="100" t="s">
        <v>192</v>
      </c>
      <c r="C111" s="90">
        <v>5750</v>
      </c>
      <c r="D111" s="90">
        <v>4775</v>
      </c>
      <c r="E111" s="90">
        <f t="shared" si="9"/>
        <v>83.04347826086956</v>
      </c>
      <c r="F111" s="101">
        <v>0</v>
      </c>
      <c r="G111" s="91">
        <v>0</v>
      </c>
      <c r="H111" s="101">
        <v>0</v>
      </c>
      <c r="I111" s="102">
        <f t="shared" si="7"/>
        <v>5750</v>
      </c>
      <c r="J111" s="102">
        <f t="shared" si="7"/>
        <v>4775</v>
      </c>
      <c r="K111" s="103">
        <f t="shared" si="8"/>
        <v>83.04347826086956</v>
      </c>
    </row>
    <row r="112" spans="1:11" ht="12.75">
      <c r="A112" s="113">
        <v>1300</v>
      </c>
      <c r="B112" s="94" t="s">
        <v>193</v>
      </c>
      <c r="C112" s="95">
        <f aca="true" t="shared" si="10" ref="C112:H112">C113</f>
        <v>1000</v>
      </c>
      <c r="D112" s="95">
        <f t="shared" si="10"/>
        <v>773.8</v>
      </c>
      <c r="E112" s="95">
        <f t="shared" si="10"/>
        <v>77.38</v>
      </c>
      <c r="F112" s="95">
        <f t="shared" si="10"/>
        <v>0</v>
      </c>
      <c r="G112" s="95">
        <f t="shared" si="10"/>
        <v>0</v>
      </c>
      <c r="H112" s="105">
        <f t="shared" si="10"/>
        <v>0</v>
      </c>
      <c r="I112" s="95">
        <f t="shared" si="7"/>
        <v>1000</v>
      </c>
      <c r="J112" s="95">
        <f t="shared" si="7"/>
        <v>773.8</v>
      </c>
      <c r="K112" s="106">
        <f t="shared" si="8"/>
        <v>77.38</v>
      </c>
    </row>
    <row r="113" spans="1:11" ht="22.5">
      <c r="A113" s="104">
        <v>1301</v>
      </c>
      <c r="B113" s="100" t="s">
        <v>194</v>
      </c>
      <c r="C113" s="90">
        <v>1000</v>
      </c>
      <c r="D113" s="90">
        <v>773.8</v>
      </c>
      <c r="E113" s="90">
        <f t="shared" si="9"/>
        <v>77.38</v>
      </c>
      <c r="F113" s="101"/>
      <c r="G113" s="91">
        <v>0</v>
      </c>
      <c r="H113" s="101">
        <v>0</v>
      </c>
      <c r="I113" s="102">
        <f t="shared" si="7"/>
        <v>1000</v>
      </c>
      <c r="J113" s="102">
        <f t="shared" si="7"/>
        <v>773.8</v>
      </c>
      <c r="K113" s="103">
        <f t="shared" si="8"/>
        <v>77.38</v>
      </c>
    </row>
    <row r="114" spans="1:11" ht="12.75">
      <c r="A114" s="113">
        <v>1400</v>
      </c>
      <c r="B114" s="94" t="s">
        <v>195</v>
      </c>
      <c r="C114" s="95">
        <f>SUM(C115:C116)</f>
        <v>324759.69999999995</v>
      </c>
      <c r="D114" s="95">
        <f>SUM(D115:D116)</f>
        <v>230386.40000000002</v>
      </c>
      <c r="E114" s="95">
        <f>D114/C114*100</f>
        <v>70.94057544701515</v>
      </c>
      <c r="F114" s="97">
        <f>F115+F116+F117</f>
        <v>29548.3</v>
      </c>
      <c r="G114" s="97">
        <f>SUM(G115:G117)</f>
        <v>14638</v>
      </c>
      <c r="H114" s="97">
        <f>G114/F114*100</f>
        <v>49.53922899117716</v>
      </c>
      <c r="I114" s="97">
        <v>0</v>
      </c>
      <c r="J114" s="97">
        <v>0</v>
      </c>
      <c r="K114" s="98">
        <v>0</v>
      </c>
    </row>
    <row r="115" spans="1:11" ht="22.5">
      <c r="A115" s="104">
        <v>1401</v>
      </c>
      <c r="B115" s="100" t="s">
        <v>196</v>
      </c>
      <c r="C115" s="90">
        <v>99098.4</v>
      </c>
      <c r="D115" s="90">
        <v>68544.2</v>
      </c>
      <c r="E115" s="90">
        <f t="shared" si="9"/>
        <v>69.16781703841838</v>
      </c>
      <c r="F115" s="101">
        <v>0</v>
      </c>
      <c r="G115" s="91">
        <v>0</v>
      </c>
      <c r="H115" s="101">
        <v>0</v>
      </c>
      <c r="I115" s="102">
        <v>0</v>
      </c>
      <c r="J115" s="92">
        <v>0</v>
      </c>
      <c r="K115" s="103">
        <v>0</v>
      </c>
    </row>
    <row r="116" spans="1:11" ht="13.5" customHeight="1">
      <c r="A116" s="104">
        <v>1402</v>
      </c>
      <c r="B116" s="100" t="s">
        <v>197</v>
      </c>
      <c r="C116" s="90">
        <v>225661.3</v>
      </c>
      <c r="D116" s="90">
        <v>161842.2</v>
      </c>
      <c r="E116" s="90">
        <f t="shared" si="9"/>
        <v>71.71907633253909</v>
      </c>
      <c r="F116" s="101">
        <v>0</v>
      </c>
      <c r="G116" s="91">
        <v>0</v>
      </c>
      <c r="H116" s="101">
        <v>0</v>
      </c>
      <c r="I116" s="102">
        <v>0</v>
      </c>
      <c r="J116" s="92">
        <v>0</v>
      </c>
      <c r="K116" s="103">
        <v>0</v>
      </c>
    </row>
    <row r="117" spans="1:11" ht="12.75">
      <c r="A117" s="104">
        <v>1403</v>
      </c>
      <c r="B117" s="100" t="s">
        <v>198</v>
      </c>
      <c r="C117" s="90"/>
      <c r="D117" s="90"/>
      <c r="E117" s="90">
        <v>0</v>
      </c>
      <c r="F117" s="101">
        <v>29548.3</v>
      </c>
      <c r="G117" s="91">
        <v>14638</v>
      </c>
      <c r="H117" s="101">
        <f>G117/F117*100</f>
        <v>49.53922899117716</v>
      </c>
      <c r="I117" s="102">
        <v>0</v>
      </c>
      <c r="J117" s="92">
        <v>0</v>
      </c>
      <c r="K117" s="103">
        <v>0</v>
      </c>
    </row>
    <row r="118" spans="1:11" ht="13.5" customHeight="1" thickBot="1">
      <c r="A118" s="155" t="s">
        <v>199</v>
      </c>
      <c r="B118" s="156"/>
      <c r="C118" s="118">
        <f>C9+C17+C19+C24+C42+C68+C70+C82+C89+C95+C106+C109+C112+C114</f>
        <v>4276221.2</v>
      </c>
      <c r="D118" s="118">
        <f>D114+D112+D109+D106+D95+D89+D82+D70+D68+D42+D24+D19+D17+D9</f>
        <v>2268668.7</v>
      </c>
      <c r="E118" s="118">
        <f>D118/C118*100</f>
        <v>53.05311848694825</v>
      </c>
      <c r="F118" s="118">
        <f>F9+F17+F19+F24+F42+F68+F70+F82+F89+F95+F106+F109+F112+F114</f>
        <v>624125.7000000002</v>
      </c>
      <c r="G118" s="118">
        <f>G114+G112+G109+G95+G89+G82+G70+G42+G24+G20+G17+G9+G19+G106</f>
        <v>353182.7</v>
      </c>
      <c r="H118" s="119">
        <f>G118/F118*100</f>
        <v>56.58839237031897</v>
      </c>
      <c r="I118" s="118">
        <f>I114+I112+I109+I106+I95+I89+I82+I70+I68+I42+I24+I19+I17+I9</f>
        <v>4390398.5</v>
      </c>
      <c r="J118" s="118">
        <f>J114+J112+J109+J106+J95+J89+J82+J70+J68+J42+J24+J19+J17+J9</f>
        <v>2266263.2</v>
      </c>
      <c r="K118" s="120">
        <f t="shared" si="8"/>
        <v>51.61862186314068</v>
      </c>
    </row>
    <row r="119" spans="1:11" ht="12.75">
      <c r="A119" s="121"/>
      <c r="B119" s="122"/>
      <c r="C119" s="123"/>
      <c r="D119" s="84"/>
      <c r="E119" s="124"/>
      <c r="F119" s="86"/>
      <c r="G119" s="87"/>
      <c r="H119" s="87"/>
      <c r="I119" s="89"/>
      <c r="J119" s="89"/>
      <c r="K119" s="89"/>
    </row>
    <row r="120" spans="1:11" ht="12.75">
      <c r="A120" s="125"/>
      <c r="B120" s="126"/>
      <c r="C120" s="127"/>
      <c r="D120" s="128"/>
      <c r="E120" s="124"/>
      <c r="F120" s="86"/>
      <c r="G120" s="87"/>
      <c r="H120" s="87"/>
      <c r="I120" s="88"/>
      <c r="J120" s="88"/>
      <c r="K120" s="89"/>
    </row>
    <row r="121" spans="1:11" ht="12.75">
      <c r="A121" s="125"/>
      <c r="B121" s="126"/>
      <c r="C121" s="127"/>
      <c r="D121" s="128"/>
      <c r="E121" s="124"/>
      <c r="F121" s="86"/>
      <c r="G121" s="87"/>
      <c r="H121" s="87"/>
      <c r="I121" s="88"/>
      <c r="J121" s="88"/>
      <c r="K121" s="89"/>
    </row>
    <row r="122" spans="1:11" ht="12.75" customHeight="1">
      <c r="A122" s="125"/>
      <c r="B122" s="126"/>
      <c r="C122" s="127"/>
      <c r="D122" s="128"/>
      <c r="E122" s="124"/>
      <c r="F122" s="86"/>
      <c r="G122" s="87"/>
      <c r="H122" s="87"/>
      <c r="I122" s="88"/>
      <c r="J122" s="88"/>
      <c r="K122" s="89"/>
    </row>
    <row r="123" spans="1:11" ht="13.5" customHeight="1">
      <c r="A123" s="125"/>
      <c r="B123" s="126"/>
      <c r="C123" s="127"/>
      <c r="D123" s="128"/>
      <c r="E123" s="124"/>
      <c r="F123" s="86"/>
      <c r="G123" s="87"/>
      <c r="H123" s="87"/>
      <c r="I123" s="88"/>
      <c r="J123" s="88"/>
      <c r="K123" s="89"/>
    </row>
    <row r="124" spans="1:11" ht="12.75" customHeight="1">
      <c r="A124" s="154" t="s">
        <v>206</v>
      </c>
      <c r="B124" s="154"/>
      <c r="C124" s="154"/>
      <c r="D124" s="86"/>
      <c r="E124" s="87"/>
      <c r="F124" s="87"/>
      <c r="G124" s="87"/>
      <c r="H124" s="87"/>
      <c r="I124" s="89"/>
      <c r="J124" s="89"/>
      <c r="K124" s="89"/>
    </row>
    <row r="125" spans="1:11" ht="12.75" customHeight="1">
      <c r="A125" s="154" t="s">
        <v>207</v>
      </c>
      <c r="B125" s="154"/>
      <c r="C125" s="154"/>
      <c r="D125" s="129"/>
      <c r="E125" s="158" t="s">
        <v>208</v>
      </c>
      <c r="F125" s="158"/>
      <c r="G125" s="87"/>
      <c r="H125" s="87"/>
      <c r="I125" s="88"/>
      <c r="J125" s="89"/>
      <c r="K125" s="89"/>
    </row>
    <row r="126" spans="1:11" ht="12.75">
      <c r="A126" s="130"/>
      <c r="B126" s="122"/>
      <c r="C126" s="123"/>
      <c r="D126" s="84"/>
      <c r="E126" s="131"/>
      <c r="F126" s="132"/>
      <c r="G126" s="87"/>
      <c r="H126" s="87"/>
      <c r="I126" s="88"/>
      <c r="J126" s="89"/>
      <c r="K126" s="89"/>
    </row>
    <row r="127" spans="1:11" ht="13.5" customHeight="1">
      <c r="A127" s="154" t="s">
        <v>243</v>
      </c>
      <c r="B127" s="154"/>
      <c r="C127" s="154"/>
      <c r="D127" s="133"/>
      <c r="E127" s="158" t="s">
        <v>200</v>
      </c>
      <c r="F127" s="158"/>
      <c r="G127" s="87"/>
      <c r="H127" s="87"/>
      <c r="I127" s="88"/>
      <c r="J127" s="89"/>
      <c r="K127" s="89"/>
    </row>
    <row r="128" spans="1:11" ht="12.75">
      <c r="A128" s="130"/>
      <c r="B128" s="126"/>
      <c r="C128" s="127"/>
      <c r="D128" s="128"/>
      <c r="E128" s="131"/>
      <c r="F128" s="132"/>
      <c r="G128" s="87"/>
      <c r="H128" s="87"/>
      <c r="I128" s="88"/>
      <c r="J128" s="89"/>
      <c r="K128" s="89"/>
    </row>
    <row r="129" spans="1:11" ht="12.75" customHeight="1">
      <c r="A129" s="154" t="s">
        <v>244</v>
      </c>
      <c r="B129" s="154"/>
      <c r="C129" s="154"/>
      <c r="D129" s="133"/>
      <c r="E129" s="157" t="s">
        <v>245</v>
      </c>
      <c r="F129" s="157"/>
      <c r="G129" s="87"/>
      <c r="H129" s="87"/>
      <c r="I129" s="88"/>
      <c r="J129" s="89"/>
      <c r="K129" s="89"/>
    </row>
    <row r="130" spans="1:11" ht="12.75">
      <c r="A130" s="134"/>
      <c r="B130" s="135" t="s">
        <v>246</v>
      </c>
      <c r="C130" s="136"/>
      <c r="D130" s="86"/>
      <c r="E130" s="86"/>
      <c r="F130" s="87"/>
      <c r="G130" s="87"/>
      <c r="H130" s="87"/>
      <c r="I130" s="89"/>
      <c r="J130" s="89"/>
      <c r="K130" s="89"/>
    </row>
    <row r="131" spans="1:11" ht="12.75">
      <c r="A131" s="130"/>
      <c r="B131" s="122"/>
      <c r="C131" s="123"/>
      <c r="D131" s="84"/>
      <c r="E131" s="131"/>
      <c r="F131" s="132"/>
      <c r="G131" s="87"/>
      <c r="H131" s="87"/>
      <c r="I131" s="88"/>
      <c r="J131" s="89"/>
      <c r="K131" s="89"/>
    </row>
    <row r="132" spans="1:11" ht="12.75">
      <c r="A132" s="154"/>
      <c r="B132" s="154"/>
      <c r="C132" s="154"/>
      <c r="D132" s="128"/>
      <c r="E132" s="158"/>
      <c r="F132" s="158"/>
      <c r="G132" s="87"/>
      <c r="H132" s="87"/>
      <c r="I132" s="88"/>
      <c r="J132" s="89"/>
      <c r="K132" s="89"/>
    </row>
    <row r="133" spans="1:11" ht="12.75" customHeight="1">
      <c r="A133" s="130"/>
      <c r="B133" s="126"/>
      <c r="C133" s="127"/>
      <c r="D133" s="128"/>
      <c r="E133" s="131"/>
      <c r="F133" s="132"/>
      <c r="G133" s="87"/>
      <c r="H133" s="87"/>
      <c r="I133" s="88"/>
      <c r="J133" s="89"/>
      <c r="K133" s="89"/>
    </row>
    <row r="134" spans="1:11" ht="12.75" customHeight="1">
      <c r="A134" s="154"/>
      <c r="B134" s="154"/>
      <c r="C134" s="154"/>
      <c r="D134" s="128"/>
      <c r="E134" s="157"/>
      <c r="F134" s="157"/>
      <c r="G134" s="87"/>
      <c r="H134" s="87"/>
      <c r="I134" s="88"/>
      <c r="J134" s="89"/>
      <c r="K134" s="89"/>
    </row>
    <row r="135" spans="1:11" ht="12.75">
      <c r="A135" s="134"/>
      <c r="B135" s="135"/>
      <c r="C135" s="136"/>
      <c r="D135" s="128"/>
      <c r="E135" s="86"/>
      <c r="F135" s="87"/>
      <c r="G135" s="87"/>
      <c r="H135" s="87"/>
      <c r="I135" s="89"/>
      <c r="J135" s="89"/>
      <c r="K135" s="89"/>
    </row>
    <row r="136" spans="1:11" ht="12.75">
      <c r="A136" s="154"/>
      <c r="B136" s="154"/>
      <c r="C136" s="154"/>
      <c r="D136" s="128"/>
      <c r="E136" s="158"/>
      <c r="F136" s="158"/>
      <c r="G136" s="87"/>
      <c r="H136" s="87"/>
      <c r="I136" s="88"/>
      <c r="J136" s="89"/>
      <c r="K136" s="89"/>
    </row>
    <row r="137" spans="1:11" ht="12.75">
      <c r="A137" s="130"/>
      <c r="B137" s="126"/>
      <c r="C137" s="127"/>
      <c r="D137" s="128"/>
      <c r="E137" s="131"/>
      <c r="F137" s="132"/>
      <c r="G137" s="87"/>
      <c r="H137" s="87"/>
      <c r="I137" s="88"/>
      <c r="J137" s="89"/>
      <c r="K137" s="89"/>
    </row>
    <row r="138" spans="1:11" ht="12.75">
      <c r="A138" s="154"/>
      <c r="B138" s="154"/>
      <c r="C138" s="154"/>
      <c r="D138" s="128"/>
      <c r="E138" s="157"/>
      <c r="F138" s="157"/>
      <c r="G138" s="87"/>
      <c r="H138" s="87"/>
      <c r="I138" s="88"/>
      <c r="J138" s="89"/>
      <c r="K138" s="89"/>
    </row>
    <row r="139" spans="1:11" ht="12.75">
      <c r="A139" s="134"/>
      <c r="B139" s="135"/>
      <c r="C139" s="136"/>
      <c r="D139" s="128"/>
      <c r="E139" s="86"/>
      <c r="F139" s="87"/>
      <c r="G139" s="87"/>
      <c r="H139" s="87"/>
      <c r="I139" s="89"/>
      <c r="J139" s="89"/>
      <c r="K139" s="89"/>
    </row>
    <row r="140" ht="12.75">
      <c r="D140" s="137"/>
    </row>
  </sheetData>
  <sheetProtection/>
  <mergeCells count="43">
    <mergeCell ref="G19:G20"/>
    <mergeCell ref="H19:H20"/>
    <mergeCell ref="I19:I20"/>
    <mergeCell ref="J19:J20"/>
    <mergeCell ref="K19:K20"/>
    <mergeCell ref="A19:A20"/>
    <mergeCell ref="B19:B20"/>
    <mergeCell ref="C19:C20"/>
    <mergeCell ref="D19:D20"/>
    <mergeCell ref="E19:E20"/>
    <mergeCell ref="F19:F20"/>
    <mergeCell ref="A134:C134"/>
    <mergeCell ref="E134:F134"/>
    <mergeCell ref="A136:C136"/>
    <mergeCell ref="E136:F136"/>
    <mergeCell ref="A138:C138"/>
    <mergeCell ref="E138:F138"/>
    <mergeCell ref="C4:C5"/>
    <mergeCell ref="G4:G5"/>
    <mergeCell ref="H4:H5"/>
    <mergeCell ref="I4:I5"/>
    <mergeCell ref="J4:J5"/>
    <mergeCell ref="E4:E5"/>
    <mergeCell ref="F4:F5"/>
    <mergeCell ref="E127:F127"/>
    <mergeCell ref="K4:K5"/>
    <mergeCell ref="B6:K8"/>
    <mergeCell ref="A1:K1"/>
    <mergeCell ref="A3:A8"/>
    <mergeCell ref="B3:B5"/>
    <mergeCell ref="C3:E3"/>
    <mergeCell ref="F3:H3"/>
    <mergeCell ref="I3:K3"/>
    <mergeCell ref="D4:D5"/>
    <mergeCell ref="A129:C129"/>
    <mergeCell ref="A118:B118"/>
    <mergeCell ref="A124:C124"/>
    <mergeCell ref="E129:F129"/>
    <mergeCell ref="A132:C132"/>
    <mergeCell ref="E132:F132"/>
    <mergeCell ref="A125:C125"/>
    <mergeCell ref="E125:F125"/>
    <mergeCell ref="A127:C12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2012-10-01T04:36:41Z</dcterms:modified>
  <cp:category/>
  <cp:version/>
  <cp:contentType/>
  <cp:contentStatus/>
</cp:coreProperties>
</file>