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Доходы" sheetId="1" r:id="rId1"/>
    <sheet name="Расходы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2" i="2" l="1"/>
  <c r="N132" i="2" s="1"/>
  <c r="K132" i="2"/>
  <c r="I132" i="2"/>
  <c r="E132" i="2"/>
  <c r="L131" i="2"/>
  <c r="N131" i="2" s="1"/>
  <c r="I131" i="2"/>
  <c r="E131" i="2"/>
  <c r="N130" i="2"/>
  <c r="L130" i="2"/>
  <c r="K130" i="2"/>
  <c r="I130" i="2"/>
  <c r="E130" i="2"/>
  <c r="M129" i="2"/>
  <c r="L129" i="2"/>
  <c r="J129" i="2"/>
  <c r="G129" i="2"/>
  <c r="F129" i="2"/>
  <c r="D129" i="2"/>
  <c r="C129" i="2"/>
  <c r="L128" i="2"/>
  <c r="I128" i="2"/>
  <c r="K128" i="2" s="1"/>
  <c r="K127" i="2" s="1"/>
  <c r="E128" i="2"/>
  <c r="M127" i="2"/>
  <c r="J127" i="2"/>
  <c r="H127" i="2"/>
  <c r="G127" i="2"/>
  <c r="F127" i="2"/>
  <c r="E127" i="2"/>
  <c r="D127" i="2"/>
  <c r="C127" i="2"/>
  <c r="N126" i="2"/>
  <c r="O126" i="2" s="1"/>
  <c r="L126" i="2"/>
  <c r="K126" i="2"/>
  <c r="K125" i="2" s="1"/>
  <c r="I126" i="2"/>
  <c r="E126" i="2"/>
  <c r="N125" i="2"/>
  <c r="M125" i="2"/>
  <c r="L125" i="2"/>
  <c r="J125" i="2"/>
  <c r="I125" i="2"/>
  <c r="E125" i="2"/>
  <c r="D125" i="2"/>
  <c r="C125" i="2"/>
  <c r="N124" i="2"/>
  <c r="O124" i="2" s="1"/>
  <c r="L124" i="2"/>
  <c r="I124" i="2"/>
  <c r="K124" i="2" s="1"/>
  <c r="E124" i="2"/>
  <c r="L123" i="2"/>
  <c r="L121" i="2" s="1"/>
  <c r="K123" i="2"/>
  <c r="I123" i="2"/>
  <c r="E123" i="2"/>
  <c r="N122" i="2"/>
  <c r="O122" i="2" s="1"/>
  <c r="L122" i="2"/>
  <c r="I122" i="2"/>
  <c r="K122" i="2" s="1"/>
  <c r="H122" i="2"/>
  <c r="E122" i="2"/>
  <c r="M121" i="2"/>
  <c r="K121" i="2"/>
  <c r="J121" i="2"/>
  <c r="G121" i="2"/>
  <c r="F121" i="2"/>
  <c r="D121" i="2"/>
  <c r="C121" i="2"/>
  <c r="E121" i="2" s="1"/>
  <c r="O120" i="2"/>
  <c r="N120" i="2"/>
  <c r="L120" i="2"/>
  <c r="I120" i="2"/>
  <c r="K120" i="2" s="1"/>
  <c r="E120" i="2"/>
  <c r="L119" i="2"/>
  <c r="N119" i="2" s="1"/>
  <c r="K119" i="2"/>
  <c r="I119" i="2"/>
  <c r="E119" i="2"/>
  <c r="N118" i="2"/>
  <c r="L118" i="2"/>
  <c r="I118" i="2"/>
  <c r="K118" i="2" s="1"/>
  <c r="E118" i="2"/>
  <c r="L117" i="2"/>
  <c r="N117" i="2" s="1"/>
  <c r="O117" i="2" s="1"/>
  <c r="K117" i="2"/>
  <c r="I117" i="2"/>
  <c r="E117" i="2"/>
  <c r="N116" i="2"/>
  <c r="L116" i="2"/>
  <c r="I116" i="2"/>
  <c r="K116" i="2" s="1"/>
  <c r="E116" i="2"/>
  <c r="L115" i="2"/>
  <c r="N115" i="2" s="1"/>
  <c r="I115" i="2"/>
  <c r="K115" i="2" s="1"/>
  <c r="L114" i="2"/>
  <c r="K114" i="2"/>
  <c r="I114" i="2"/>
  <c r="E114" i="2"/>
  <c r="O113" i="2"/>
  <c r="N113" i="2"/>
  <c r="L113" i="2"/>
  <c r="I113" i="2"/>
  <c r="K113" i="2" s="1"/>
  <c r="H113" i="2"/>
  <c r="E113" i="2"/>
  <c r="M112" i="2"/>
  <c r="J112" i="2"/>
  <c r="G112" i="2"/>
  <c r="F112" i="2"/>
  <c r="E112" i="2"/>
  <c r="D112" i="2"/>
  <c r="C112" i="2"/>
  <c r="N111" i="2"/>
  <c r="L111" i="2"/>
  <c r="I111" i="2"/>
  <c r="K111" i="2" s="1"/>
  <c r="E111" i="2"/>
  <c r="E108" i="2" s="1"/>
  <c r="N110" i="2"/>
  <c r="L110" i="2"/>
  <c r="K110" i="2"/>
  <c r="I110" i="2"/>
  <c r="E110" i="2"/>
  <c r="N109" i="2"/>
  <c r="O109" i="2" s="1"/>
  <c r="L109" i="2"/>
  <c r="K109" i="2"/>
  <c r="I109" i="2"/>
  <c r="E109" i="2"/>
  <c r="M108" i="2"/>
  <c r="L108" i="2"/>
  <c r="J108" i="2"/>
  <c r="I108" i="2"/>
  <c r="G108" i="2"/>
  <c r="F108" i="2"/>
  <c r="D108" i="2"/>
  <c r="C108" i="2"/>
  <c r="L107" i="2"/>
  <c r="N107" i="2" s="1"/>
  <c r="O107" i="2" s="1"/>
  <c r="K107" i="2"/>
  <c r="I107" i="2"/>
  <c r="H107" i="2"/>
  <c r="E107" i="2"/>
  <c r="L106" i="2"/>
  <c r="I106" i="2"/>
  <c r="K106" i="2" s="1"/>
  <c r="H106" i="2"/>
  <c r="E106" i="2"/>
  <c r="N105" i="2"/>
  <c r="L105" i="2"/>
  <c r="H105" i="2"/>
  <c r="C105" i="2"/>
  <c r="E105" i="2" s="1"/>
  <c r="O104" i="2"/>
  <c r="N104" i="2"/>
  <c r="L104" i="2"/>
  <c r="I104" i="2"/>
  <c r="K104" i="2" s="1"/>
  <c r="H104" i="2"/>
  <c r="E104" i="2"/>
  <c r="M103" i="2"/>
  <c r="J103" i="2"/>
  <c r="G103" i="2"/>
  <c r="F103" i="2"/>
  <c r="D103" i="2"/>
  <c r="N102" i="2"/>
  <c r="O102" i="2" s="1"/>
  <c r="L102" i="2"/>
  <c r="I102" i="2"/>
  <c r="K102" i="2" s="1"/>
  <c r="E102" i="2"/>
  <c r="N101" i="2"/>
  <c r="O101" i="2" s="1"/>
  <c r="L101" i="2"/>
  <c r="K101" i="2"/>
  <c r="I101" i="2"/>
  <c r="E101" i="2"/>
  <c r="N100" i="2"/>
  <c r="O100" i="2" s="1"/>
  <c r="L100" i="2"/>
  <c r="K100" i="2"/>
  <c r="I100" i="2"/>
  <c r="E100" i="2"/>
  <c r="L99" i="2"/>
  <c r="N99" i="2" s="1"/>
  <c r="K99" i="2"/>
  <c r="I99" i="2"/>
  <c r="L98" i="2"/>
  <c r="N98" i="2" s="1"/>
  <c r="O98" i="2" s="1"/>
  <c r="K98" i="2"/>
  <c r="I98" i="2"/>
  <c r="E98" i="2"/>
  <c r="L97" i="2"/>
  <c r="N97" i="2" s="1"/>
  <c r="I97" i="2"/>
  <c r="K97" i="2" s="1"/>
  <c r="N96" i="2"/>
  <c r="L96" i="2"/>
  <c r="I96" i="2"/>
  <c r="K96" i="2" s="1"/>
  <c r="E96" i="2"/>
  <c r="N95" i="2"/>
  <c r="O95" i="2" s="1"/>
  <c r="L95" i="2"/>
  <c r="K95" i="2"/>
  <c r="I95" i="2"/>
  <c r="E95" i="2"/>
  <c r="N94" i="2"/>
  <c r="O94" i="2" s="1"/>
  <c r="L94" i="2"/>
  <c r="K94" i="2"/>
  <c r="I94" i="2"/>
  <c r="E94" i="2"/>
  <c r="L93" i="2"/>
  <c r="C93" i="2"/>
  <c r="I93" i="2" s="1"/>
  <c r="K93" i="2" s="1"/>
  <c r="M92" i="2"/>
  <c r="J92" i="2"/>
  <c r="G92" i="2"/>
  <c r="F92" i="2"/>
  <c r="D92" i="2"/>
  <c r="L91" i="2"/>
  <c r="N91" i="2" s="1"/>
  <c r="N90" i="2" s="1"/>
  <c r="O90" i="2" s="1"/>
  <c r="K91" i="2"/>
  <c r="I91" i="2"/>
  <c r="I90" i="2" s="1"/>
  <c r="H91" i="2"/>
  <c r="E91" i="2"/>
  <c r="M90" i="2"/>
  <c r="L90" i="2"/>
  <c r="K90" i="2"/>
  <c r="J90" i="2"/>
  <c r="H90" i="2"/>
  <c r="G90" i="2"/>
  <c r="F90" i="2"/>
  <c r="D90" i="2"/>
  <c r="C90" i="2"/>
  <c r="L89" i="2"/>
  <c r="N89" i="2" s="1"/>
  <c r="I89" i="2"/>
  <c r="K89" i="2" s="1"/>
  <c r="E89" i="2"/>
  <c r="L88" i="2"/>
  <c r="N88" i="2" s="1"/>
  <c r="O88" i="2" s="1"/>
  <c r="I88" i="2"/>
  <c r="K88" i="2" s="1"/>
  <c r="H88" i="2"/>
  <c r="L87" i="2"/>
  <c r="N87" i="2" s="1"/>
  <c r="I87" i="2"/>
  <c r="K87" i="2" s="1"/>
  <c r="L86" i="2"/>
  <c r="N86" i="2" s="1"/>
  <c r="I86" i="2"/>
  <c r="K86" i="2" s="1"/>
  <c r="L85" i="2"/>
  <c r="N85" i="2" s="1"/>
  <c r="I85" i="2"/>
  <c r="K85" i="2" s="1"/>
  <c r="L84" i="2"/>
  <c r="N84" i="2" s="1"/>
  <c r="I84" i="2"/>
  <c r="K84" i="2" s="1"/>
  <c r="H84" i="2"/>
  <c r="E84" i="2"/>
  <c r="N83" i="2"/>
  <c r="O83" i="2" s="1"/>
  <c r="L83" i="2"/>
  <c r="I83" i="2"/>
  <c r="K83" i="2" s="1"/>
  <c r="H83" i="2"/>
  <c r="L82" i="2"/>
  <c r="N82" i="2" s="1"/>
  <c r="O82" i="2" s="1"/>
  <c r="K82" i="2"/>
  <c r="I82" i="2"/>
  <c r="E82" i="2"/>
  <c r="L81" i="2"/>
  <c r="N81" i="2" s="1"/>
  <c r="I81" i="2"/>
  <c r="K81" i="2" s="1"/>
  <c r="N80" i="2"/>
  <c r="L80" i="2"/>
  <c r="K80" i="2"/>
  <c r="I80" i="2"/>
  <c r="H80" i="2"/>
  <c r="L79" i="2"/>
  <c r="N79" i="2" s="1"/>
  <c r="O79" i="2" s="1"/>
  <c r="K79" i="2"/>
  <c r="I79" i="2"/>
  <c r="H79" i="2"/>
  <c r="E79" i="2"/>
  <c r="L78" i="2"/>
  <c r="N78" i="2" s="1"/>
  <c r="I78" i="2"/>
  <c r="K78" i="2" s="1"/>
  <c r="L77" i="2"/>
  <c r="N77" i="2" s="1"/>
  <c r="I77" i="2"/>
  <c r="K77" i="2" s="1"/>
  <c r="L76" i="2"/>
  <c r="N76" i="2" s="1"/>
  <c r="I76" i="2"/>
  <c r="K76" i="2" s="1"/>
  <c r="H76" i="2"/>
  <c r="E76" i="2"/>
  <c r="L75" i="2"/>
  <c r="N75" i="2" s="1"/>
  <c r="I75" i="2"/>
  <c r="K75" i="2" s="1"/>
  <c r="L74" i="2"/>
  <c r="N74" i="2" s="1"/>
  <c r="I74" i="2"/>
  <c r="K74" i="2" s="1"/>
  <c r="H74" i="2"/>
  <c r="L73" i="2"/>
  <c r="N73" i="2" s="1"/>
  <c r="K73" i="2"/>
  <c r="I73" i="2"/>
  <c r="E73" i="2"/>
  <c r="N72" i="2"/>
  <c r="O72" i="2" s="1"/>
  <c r="L72" i="2"/>
  <c r="I72" i="2"/>
  <c r="K72" i="2" s="1"/>
  <c r="H72" i="2"/>
  <c r="O71" i="2"/>
  <c r="L71" i="2"/>
  <c r="N71" i="2" s="1"/>
  <c r="I71" i="2"/>
  <c r="K71" i="2" s="1"/>
  <c r="H71" i="2"/>
  <c r="L70" i="2"/>
  <c r="N70" i="2" s="1"/>
  <c r="I70" i="2"/>
  <c r="K70" i="2" s="1"/>
  <c r="L69" i="2"/>
  <c r="N69" i="2" s="1"/>
  <c r="I69" i="2"/>
  <c r="K69" i="2" s="1"/>
  <c r="H69" i="2"/>
  <c r="N68" i="2"/>
  <c r="L68" i="2"/>
  <c r="I68" i="2"/>
  <c r="K68" i="2" s="1"/>
  <c r="N67" i="2"/>
  <c r="L67" i="2"/>
  <c r="I67" i="2"/>
  <c r="K67" i="2" s="1"/>
  <c r="L66" i="2"/>
  <c r="N66" i="2" s="1"/>
  <c r="K66" i="2"/>
  <c r="J66" i="2"/>
  <c r="I66" i="2"/>
  <c r="H66" i="2"/>
  <c r="E66" i="2"/>
  <c r="L65" i="2"/>
  <c r="N65" i="2" s="1"/>
  <c r="I65" i="2"/>
  <c r="K65" i="2" s="1"/>
  <c r="E65" i="2"/>
  <c r="N64" i="2"/>
  <c r="O64" i="2" s="1"/>
  <c r="L64" i="2"/>
  <c r="I64" i="2"/>
  <c r="K64" i="2" s="1"/>
  <c r="E64" i="2"/>
  <c r="O63" i="2"/>
  <c r="L63" i="2"/>
  <c r="N63" i="2" s="1"/>
  <c r="I63" i="2"/>
  <c r="K63" i="2" s="1"/>
  <c r="E63" i="2"/>
  <c r="O62" i="2"/>
  <c r="L62" i="2"/>
  <c r="N62" i="2" s="1"/>
  <c r="I62" i="2"/>
  <c r="K62" i="2" s="1"/>
  <c r="H62" i="2"/>
  <c r="E62" i="2"/>
  <c r="L61" i="2"/>
  <c r="N61" i="2" s="1"/>
  <c r="K61" i="2"/>
  <c r="I61" i="2"/>
  <c r="H61" i="2"/>
  <c r="E61" i="2"/>
  <c r="L60" i="2"/>
  <c r="N60" i="2" s="1"/>
  <c r="I60" i="2"/>
  <c r="K60" i="2" s="1"/>
  <c r="O60" i="2" s="1"/>
  <c r="H60" i="2"/>
  <c r="E60" i="2"/>
  <c r="N59" i="2"/>
  <c r="O59" i="2" s="1"/>
  <c r="L59" i="2"/>
  <c r="I59" i="2"/>
  <c r="K59" i="2" s="1"/>
  <c r="H59" i="2"/>
  <c r="N58" i="2"/>
  <c r="O58" i="2" s="1"/>
  <c r="L58" i="2"/>
  <c r="K58" i="2"/>
  <c r="I58" i="2"/>
  <c r="E58" i="2"/>
  <c r="N57" i="2"/>
  <c r="O57" i="2" s="1"/>
  <c r="L57" i="2"/>
  <c r="K57" i="2"/>
  <c r="I57" i="2"/>
  <c r="E57" i="2"/>
  <c r="L56" i="2"/>
  <c r="N56" i="2" s="1"/>
  <c r="O56" i="2" s="1"/>
  <c r="K56" i="2"/>
  <c r="I56" i="2"/>
  <c r="E56" i="2"/>
  <c r="N55" i="2"/>
  <c r="L55" i="2"/>
  <c r="I55" i="2"/>
  <c r="K55" i="2" s="1"/>
  <c r="L54" i="2"/>
  <c r="N54" i="2" s="1"/>
  <c r="I54" i="2"/>
  <c r="K54" i="2" s="1"/>
  <c r="L53" i="2"/>
  <c r="N53" i="2" s="1"/>
  <c r="I53" i="2"/>
  <c r="K53" i="2" s="1"/>
  <c r="N52" i="2"/>
  <c r="L52" i="2"/>
  <c r="K52" i="2"/>
  <c r="I52" i="2"/>
  <c r="E52" i="2"/>
  <c r="L51" i="2"/>
  <c r="K51" i="2"/>
  <c r="I51" i="2"/>
  <c r="E51" i="2"/>
  <c r="M50" i="2"/>
  <c r="J50" i="2"/>
  <c r="G50" i="2"/>
  <c r="F50" i="2"/>
  <c r="D50" i="2"/>
  <c r="C50" i="2"/>
  <c r="L49" i="2"/>
  <c r="N49" i="2" s="1"/>
  <c r="O49" i="2" s="1"/>
  <c r="I49" i="2"/>
  <c r="K49" i="2" s="1"/>
  <c r="N48" i="2"/>
  <c r="O48" i="2" s="1"/>
  <c r="L48" i="2"/>
  <c r="K48" i="2"/>
  <c r="I48" i="2"/>
  <c r="E48" i="2"/>
  <c r="N47" i="2"/>
  <c r="L47" i="2"/>
  <c r="K47" i="2"/>
  <c r="O47" i="2" s="1"/>
  <c r="I47" i="2"/>
  <c r="E47" i="2"/>
  <c r="L46" i="2"/>
  <c r="N46" i="2" s="1"/>
  <c r="K46" i="2"/>
  <c r="I46" i="2"/>
  <c r="E46" i="2"/>
  <c r="N45" i="2"/>
  <c r="O45" i="2" s="1"/>
  <c r="L45" i="2"/>
  <c r="I45" i="2"/>
  <c r="K45" i="2" s="1"/>
  <c r="E45" i="2"/>
  <c r="L44" i="2"/>
  <c r="N44" i="2" s="1"/>
  <c r="O44" i="2" s="1"/>
  <c r="K44" i="2"/>
  <c r="E44" i="2"/>
  <c r="C44" i="2"/>
  <c r="I44" i="2" s="1"/>
  <c r="L43" i="2"/>
  <c r="N43" i="2" s="1"/>
  <c r="O43" i="2" s="1"/>
  <c r="K43" i="2"/>
  <c r="I43" i="2"/>
  <c r="E43" i="2"/>
  <c r="O42" i="2"/>
  <c r="N42" i="2"/>
  <c r="L42" i="2"/>
  <c r="I42" i="2"/>
  <c r="K42" i="2" s="1"/>
  <c r="E42" i="2"/>
  <c r="L41" i="2"/>
  <c r="N41" i="2" s="1"/>
  <c r="I41" i="2"/>
  <c r="K41" i="2" s="1"/>
  <c r="O41" i="2" s="1"/>
  <c r="H41" i="2"/>
  <c r="E41" i="2"/>
  <c r="N40" i="2"/>
  <c r="L40" i="2"/>
  <c r="I40" i="2"/>
  <c r="K40" i="2" s="1"/>
  <c r="H40" i="2"/>
  <c r="E40" i="2"/>
  <c r="L39" i="2"/>
  <c r="N39" i="2" s="1"/>
  <c r="I39" i="2"/>
  <c r="K39" i="2" s="1"/>
  <c r="H39" i="2"/>
  <c r="L38" i="2"/>
  <c r="N38" i="2" s="1"/>
  <c r="K38" i="2"/>
  <c r="I38" i="2"/>
  <c r="H38" i="2"/>
  <c r="N37" i="2"/>
  <c r="O37" i="2" s="1"/>
  <c r="L37" i="2"/>
  <c r="I37" i="2"/>
  <c r="K37" i="2" s="1"/>
  <c r="H37" i="2"/>
  <c r="O36" i="2"/>
  <c r="L36" i="2"/>
  <c r="N36" i="2" s="1"/>
  <c r="I36" i="2"/>
  <c r="K36" i="2" s="1"/>
  <c r="H36" i="2"/>
  <c r="E36" i="2"/>
  <c r="N35" i="2"/>
  <c r="O35" i="2" s="1"/>
  <c r="L35" i="2"/>
  <c r="I35" i="2"/>
  <c r="K35" i="2" s="1"/>
  <c r="H35" i="2"/>
  <c r="N34" i="2"/>
  <c r="O34" i="2" s="1"/>
  <c r="L34" i="2"/>
  <c r="K34" i="2"/>
  <c r="I34" i="2"/>
  <c r="E34" i="2"/>
  <c r="N33" i="2"/>
  <c r="L33" i="2"/>
  <c r="K33" i="2"/>
  <c r="I33" i="2"/>
  <c r="H33" i="2"/>
  <c r="E33" i="2"/>
  <c r="L32" i="2"/>
  <c r="N32" i="2" s="1"/>
  <c r="I32" i="2"/>
  <c r="K32" i="2" s="1"/>
  <c r="L31" i="2"/>
  <c r="N31" i="2" s="1"/>
  <c r="I31" i="2"/>
  <c r="K31" i="2" s="1"/>
  <c r="L30" i="2"/>
  <c r="N30" i="2" s="1"/>
  <c r="O30" i="2" s="1"/>
  <c r="I30" i="2"/>
  <c r="K30" i="2" s="1"/>
  <c r="E30" i="2"/>
  <c r="L29" i="2"/>
  <c r="N29" i="2" s="1"/>
  <c r="K29" i="2"/>
  <c r="I29" i="2"/>
  <c r="H29" i="2"/>
  <c r="E29" i="2"/>
  <c r="O28" i="2"/>
  <c r="N28" i="2"/>
  <c r="L28" i="2"/>
  <c r="I28" i="2"/>
  <c r="K28" i="2" s="1"/>
  <c r="E28" i="2"/>
  <c r="L27" i="2"/>
  <c r="N27" i="2" s="1"/>
  <c r="I27" i="2"/>
  <c r="E27" i="2"/>
  <c r="L26" i="2"/>
  <c r="N26" i="2" s="1"/>
  <c r="I26" i="2"/>
  <c r="K26" i="2" s="1"/>
  <c r="H26" i="2"/>
  <c r="E26" i="2"/>
  <c r="M25" i="2"/>
  <c r="J25" i="2"/>
  <c r="G25" i="2"/>
  <c r="H25" i="2" s="1"/>
  <c r="F25" i="2"/>
  <c r="D25" i="2"/>
  <c r="E25" i="2" s="1"/>
  <c r="C25" i="2"/>
  <c r="N24" i="2"/>
  <c r="O24" i="2" s="1"/>
  <c r="L24" i="2"/>
  <c r="I24" i="2"/>
  <c r="K24" i="2" s="1"/>
  <c r="H24" i="2"/>
  <c r="E24" i="2"/>
  <c r="L23" i="2"/>
  <c r="K23" i="2"/>
  <c r="I23" i="2"/>
  <c r="H23" i="2"/>
  <c r="E23" i="2"/>
  <c r="L22" i="2"/>
  <c r="N22" i="2" s="1"/>
  <c r="K22" i="2"/>
  <c r="K21" i="2" s="1"/>
  <c r="I22" i="2"/>
  <c r="I21" i="2" s="1"/>
  <c r="H22" i="2"/>
  <c r="E22" i="2"/>
  <c r="M21" i="2"/>
  <c r="J21" i="2"/>
  <c r="G21" i="2"/>
  <c r="F21" i="2"/>
  <c r="D21" i="2"/>
  <c r="C21" i="2"/>
  <c r="L20" i="2"/>
  <c r="N20" i="2" s="1"/>
  <c r="I20" i="2"/>
  <c r="I19" i="2" s="1"/>
  <c r="H20" i="2"/>
  <c r="E20" i="2"/>
  <c r="E19" i="2" s="1"/>
  <c r="N19" i="2"/>
  <c r="M19" i="2"/>
  <c r="L19" i="2"/>
  <c r="J19" i="2"/>
  <c r="H19" i="2"/>
  <c r="G19" i="2"/>
  <c r="F19" i="2"/>
  <c r="D19" i="2"/>
  <c r="C19" i="2"/>
  <c r="L18" i="2"/>
  <c r="N18" i="2" s="1"/>
  <c r="O18" i="2" s="1"/>
  <c r="K18" i="2"/>
  <c r="I18" i="2"/>
  <c r="H18" i="2"/>
  <c r="E18" i="2"/>
  <c r="O17" i="2"/>
  <c r="N17" i="2"/>
  <c r="L17" i="2"/>
  <c r="I17" i="2"/>
  <c r="K17" i="2" s="1"/>
  <c r="H17" i="2"/>
  <c r="E17" i="2"/>
  <c r="L16" i="2"/>
  <c r="N16" i="2" s="1"/>
  <c r="O16" i="2" s="1"/>
  <c r="I16" i="2"/>
  <c r="K16" i="2" s="1"/>
  <c r="H16" i="2"/>
  <c r="L15" i="2"/>
  <c r="N15" i="2" s="1"/>
  <c r="O15" i="2" s="1"/>
  <c r="K15" i="2"/>
  <c r="I15" i="2"/>
  <c r="E15" i="2"/>
  <c r="L14" i="2"/>
  <c r="N14" i="2" s="1"/>
  <c r="O14" i="2" s="1"/>
  <c r="I14" i="2"/>
  <c r="K14" i="2" s="1"/>
  <c r="E14" i="2"/>
  <c r="L13" i="2"/>
  <c r="N13" i="2" s="1"/>
  <c r="I13" i="2"/>
  <c r="K13" i="2" s="1"/>
  <c r="H13" i="2"/>
  <c r="E13" i="2"/>
  <c r="N12" i="2"/>
  <c r="L12" i="2"/>
  <c r="I12" i="2"/>
  <c r="E12" i="2"/>
  <c r="L11" i="2"/>
  <c r="N11" i="2" s="1"/>
  <c r="K11" i="2"/>
  <c r="I11" i="2"/>
  <c r="H11" i="2"/>
  <c r="E11" i="2"/>
  <c r="M10" i="2"/>
  <c r="J10" i="2"/>
  <c r="H10" i="2"/>
  <c r="G10" i="2"/>
  <c r="F10" i="2"/>
  <c r="D10" i="2"/>
  <c r="C10" i="2"/>
  <c r="F8" i="1"/>
  <c r="G8" i="1"/>
  <c r="H8" i="1"/>
  <c r="I8" i="1"/>
  <c r="F22" i="1"/>
  <c r="G22" i="1"/>
  <c r="G27" i="1" s="1"/>
  <c r="I22" i="1"/>
  <c r="H23" i="1"/>
  <c r="H22" i="1" s="1"/>
  <c r="H27" i="1" s="1"/>
  <c r="F27" i="1"/>
  <c r="I27" i="1"/>
  <c r="F30" i="1"/>
  <c r="G30" i="1"/>
  <c r="H30" i="1"/>
  <c r="I30" i="1"/>
  <c r="G40" i="1"/>
  <c r="H40" i="1"/>
  <c r="I40" i="1"/>
  <c r="I43" i="1" s="1"/>
  <c r="F41" i="1"/>
  <c r="F40" i="1" s="1"/>
  <c r="F43" i="1" s="1"/>
  <c r="H41" i="1"/>
  <c r="G43" i="1"/>
  <c r="H43" i="1"/>
  <c r="F46" i="1"/>
  <c r="G46" i="1"/>
  <c r="H46" i="1"/>
  <c r="I46" i="1"/>
  <c r="F57" i="1"/>
  <c r="G57" i="1"/>
  <c r="H57" i="1"/>
  <c r="H61" i="1" s="1"/>
  <c r="I57" i="1"/>
  <c r="H58" i="1"/>
  <c r="F61" i="1"/>
  <c r="G61" i="1"/>
  <c r="I61" i="1"/>
  <c r="F64" i="1"/>
  <c r="G64" i="1"/>
  <c r="H64" i="1"/>
  <c r="I64" i="1"/>
  <c r="I75" i="1"/>
  <c r="I78" i="1" s="1"/>
  <c r="F76" i="1"/>
  <c r="F75" i="1" s="1"/>
  <c r="F78" i="1" s="1"/>
  <c r="G76" i="1"/>
  <c r="D76" i="1" s="1"/>
  <c r="H76" i="1"/>
  <c r="H75" i="1" s="1"/>
  <c r="H78" i="1" s="1"/>
  <c r="F81" i="1"/>
  <c r="G81" i="1"/>
  <c r="H81" i="1"/>
  <c r="I81" i="1"/>
  <c r="H92" i="1"/>
  <c r="F93" i="1"/>
  <c r="G93" i="1"/>
  <c r="G96" i="1" s="1"/>
  <c r="I93" i="1"/>
  <c r="H94" i="1"/>
  <c r="H93" i="1" s="1"/>
  <c r="H96" i="1" s="1"/>
  <c r="F96" i="1"/>
  <c r="I96" i="1"/>
  <c r="F99" i="1"/>
  <c r="G99" i="1"/>
  <c r="H99" i="1"/>
  <c r="I99" i="1"/>
  <c r="G109" i="1"/>
  <c r="H109" i="1"/>
  <c r="I109" i="1"/>
  <c r="I112" i="1" s="1"/>
  <c r="F110" i="1"/>
  <c r="D110" i="1" s="1"/>
  <c r="H110" i="1"/>
  <c r="G112" i="1"/>
  <c r="H112" i="1"/>
  <c r="F115" i="1"/>
  <c r="G115" i="1"/>
  <c r="H115" i="1"/>
  <c r="I115" i="1"/>
  <c r="G127" i="1"/>
  <c r="G129" i="1" s="1"/>
  <c r="H127" i="1"/>
  <c r="H129" i="1" s="1"/>
  <c r="I127" i="1"/>
  <c r="F128" i="1"/>
  <c r="F127" i="1" s="1"/>
  <c r="F129" i="1" s="1"/>
  <c r="H128" i="1"/>
  <c r="I129" i="1"/>
  <c r="F132" i="1"/>
  <c r="G132" i="1"/>
  <c r="H132" i="1"/>
  <c r="I132" i="1"/>
  <c r="F142" i="1"/>
  <c r="F147" i="1" s="1"/>
  <c r="G142" i="1"/>
  <c r="I142" i="1"/>
  <c r="H143" i="1"/>
  <c r="H142" i="1" s="1"/>
  <c r="H147" i="1" s="1"/>
  <c r="G147" i="1"/>
  <c r="I147" i="1"/>
  <c r="F150" i="1"/>
  <c r="G150" i="1"/>
  <c r="H150" i="1"/>
  <c r="I150" i="1"/>
  <c r="F161" i="1"/>
  <c r="G161" i="1"/>
  <c r="H161" i="1"/>
  <c r="I161" i="1"/>
  <c r="I164" i="1" s="1"/>
  <c r="H162" i="1"/>
  <c r="F164" i="1"/>
  <c r="G164" i="1"/>
  <c r="H164" i="1"/>
  <c r="F167" i="1"/>
  <c r="G167" i="1"/>
  <c r="H167" i="1"/>
  <c r="I167" i="1"/>
  <c r="F178" i="1"/>
  <c r="G178" i="1"/>
  <c r="H178" i="1"/>
  <c r="H181" i="1" s="1"/>
  <c r="I178" i="1"/>
  <c r="H179" i="1"/>
  <c r="F181" i="1"/>
  <c r="G181" i="1"/>
  <c r="I181" i="1"/>
  <c r="F184" i="1"/>
  <c r="G184" i="1"/>
  <c r="H184" i="1"/>
  <c r="I184" i="1"/>
  <c r="G195" i="1"/>
  <c r="G198" i="1" s="1"/>
  <c r="I195" i="1"/>
  <c r="F196" i="1"/>
  <c r="E196" i="1" s="1"/>
  <c r="K196" i="1" s="1"/>
  <c r="H196" i="1"/>
  <c r="H195" i="1" s="1"/>
  <c r="H198" i="1" s="1"/>
  <c r="I198" i="1"/>
  <c r="F201" i="1"/>
  <c r="G201" i="1"/>
  <c r="H201" i="1"/>
  <c r="I201" i="1"/>
  <c r="F211" i="1"/>
  <c r="G211" i="1"/>
  <c r="H211" i="1"/>
  <c r="I211" i="1"/>
  <c r="I214" i="1" s="1"/>
  <c r="H212" i="1"/>
  <c r="F214" i="1"/>
  <c r="G214" i="1"/>
  <c r="H214" i="1"/>
  <c r="F218" i="1"/>
  <c r="F217" i="1" s="1"/>
  <c r="G218" i="1"/>
  <c r="G217" i="1" s="1"/>
  <c r="H218" i="1"/>
  <c r="H217" i="1" s="1"/>
  <c r="I218" i="1"/>
  <c r="I217" i="1" s="1"/>
  <c r="F219" i="1"/>
  <c r="G219" i="1"/>
  <c r="H219" i="1"/>
  <c r="I219" i="1"/>
  <c r="F220" i="1"/>
  <c r="G220" i="1"/>
  <c r="H220" i="1"/>
  <c r="D220" i="1" s="1"/>
  <c r="L220" i="1" s="1"/>
  <c r="I220" i="1"/>
  <c r="F221" i="1"/>
  <c r="G221" i="1"/>
  <c r="H221" i="1"/>
  <c r="I221" i="1"/>
  <c r="F222" i="1"/>
  <c r="E222" i="1" s="1"/>
  <c r="G222" i="1"/>
  <c r="H222" i="1"/>
  <c r="I222" i="1"/>
  <c r="F223" i="1"/>
  <c r="G223" i="1"/>
  <c r="H223" i="1"/>
  <c r="I223" i="1"/>
  <c r="F224" i="1"/>
  <c r="G224" i="1"/>
  <c r="H224" i="1"/>
  <c r="I224" i="1"/>
  <c r="F225" i="1"/>
  <c r="G225" i="1"/>
  <c r="H225" i="1"/>
  <c r="D225" i="1" s="1"/>
  <c r="I225" i="1"/>
  <c r="F226" i="1"/>
  <c r="G226" i="1"/>
  <c r="H226" i="1"/>
  <c r="I226" i="1"/>
  <c r="F227" i="1"/>
  <c r="G227" i="1"/>
  <c r="H227" i="1"/>
  <c r="I227" i="1"/>
  <c r="F228" i="1"/>
  <c r="G228" i="1"/>
  <c r="H228" i="1"/>
  <c r="E228" i="1" s="1"/>
  <c r="I228" i="1"/>
  <c r="F229" i="1"/>
  <c r="G229" i="1"/>
  <c r="H229" i="1"/>
  <c r="I229" i="1"/>
  <c r="G230" i="1"/>
  <c r="D230" i="1" s="1"/>
  <c r="H230" i="1"/>
  <c r="E230" i="1" s="1"/>
  <c r="I230" i="1"/>
  <c r="F232" i="1"/>
  <c r="F231" i="1" s="1"/>
  <c r="G232" i="1"/>
  <c r="G231" i="1" s="1"/>
  <c r="H232" i="1"/>
  <c r="H231" i="1" s="1"/>
  <c r="H235" i="1" s="1"/>
  <c r="I232" i="1"/>
  <c r="I231" i="1" s="1"/>
  <c r="F233" i="1"/>
  <c r="G233" i="1"/>
  <c r="H233" i="1"/>
  <c r="I233" i="1"/>
  <c r="F234" i="1"/>
  <c r="G234" i="1"/>
  <c r="H234" i="1"/>
  <c r="E234" i="1" s="1"/>
  <c r="I234" i="1"/>
  <c r="J234" i="1"/>
  <c r="C234" i="1"/>
  <c r="J233" i="1"/>
  <c r="C233" i="1"/>
  <c r="J232" i="1"/>
  <c r="C232" i="1"/>
  <c r="J230" i="1"/>
  <c r="C230" i="1"/>
  <c r="J229" i="1"/>
  <c r="C229" i="1"/>
  <c r="J228" i="1"/>
  <c r="C228" i="1"/>
  <c r="J227" i="1"/>
  <c r="C227" i="1"/>
  <c r="J226" i="1"/>
  <c r="E226" i="1"/>
  <c r="C226" i="1"/>
  <c r="J225" i="1"/>
  <c r="C225" i="1"/>
  <c r="C224" i="1"/>
  <c r="J223" i="1"/>
  <c r="C223" i="1"/>
  <c r="J222" i="1"/>
  <c r="M222" i="1" s="1"/>
  <c r="C222" i="1"/>
  <c r="J221" i="1"/>
  <c r="C221" i="1"/>
  <c r="J220" i="1"/>
  <c r="M220" i="1" s="1"/>
  <c r="C220" i="1"/>
  <c r="J219" i="1"/>
  <c r="C219" i="1"/>
  <c r="J218" i="1"/>
  <c r="E218" i="1"/>
  <c r="C218" i="1"/>
  <c r="E213" i="1"/>
  <c r="D213" i="1"/>
  <c r="M212" i="1"/>
  <c r="D212" i="1"/>
  <c r="J211" i="1"/>
  <c r="C211" i="1"/>
  <c r="M211" i="1" s="1"/>
  <c r="E210" i="1"/>
  <c r="D210" i="1"/>
  <c r="M209" i="1"/>
  <c r="E209" i="1"/>
  <c r="D209" i="1"/>
  <c r="M208" i="1"/>
  <c r="E208" i="1"/>
  <c r="D208" i="1"/>
  <c r="M207" i="1"/>
  <c r="E207" i="1"/>
  <c r="K207" i="1" s="1"/>
  <c r="D207" i="1"/>
  <c r="L207" i="1" s="1"/>
  <c r="M206" i="1"/>
  <c r="L206" i="1"/>
  <c r="E206" i="1"/>
  <c r="K206" i="1" s="1"/>
  <c r="D206" i="1"/>
  <c r="M205" i="1"/>
  <c r="E205" i="1"/>
  <c r="K205" i="1" s="1"/>
  <c r="D205" i="1"/>
  <c r="L205" i="1" s="1"/>
  <c r="M204" i="1"/>
  <c r="E204" i="1"/>
  <c r="K204" i="1" s="1"/>
  <c r="D204" i="1"/>
  <c r="L204" i="1" s="1"/>
  <c r="M203" i="1"/>
  <c r="E203" i="1"/>
  <c r="K203" i="1" s="1"/>
  <c r="D203" i="1"/>
  <c r="L203" i="1" s="1"/>
  <c r="M202" i="1"/>
  <c r="E202" i="1"/>
  <c r="K202" i="1" s="1"/>
  <c r="D202" i="1"/>
  <c r="J201" i="1"/>
  <c r="C201" i="1"/>
  <c r="E197" i="1"/>
  <c r="K197" i="1" s="1"/>
  <c r="D197" i="1"/>
  <c r="L197" i="1" s="1"/>
  <c r="M196" i="1"/>
  <c r="D196" i="1"/>
  <c r="J195" i="1"/>
  <c r="C195" i="1"/>
  <c r="E194" i="1"/>
  <c r="D194" i="1"/>
  <c r="E193" i="1"/>
  <c r="D193" i="1"/>
  <c r="E192" i="1"/>
  <c r="D192" i="1"/>
  <c r="E191" i="1"/>
  <c r="D191" i="1"/>
  <c r="M190" i="1"/>
  <c r="E190" i="1"/>
  <c r="K190" i="1" s="1"/>
  <c r="D190" i="1"/>
  <c r="L190" i="1" s="1"/>
  <c r="M189" i="1"/>
  <c r="E189" i="1"/>
  <c r="K189" i="1" s="1"/>
  <c r="D189" i="1"/>
  <c r="L189" i="1" s="1"/>
  <c r="M188" i="1"/>
  <c r="E188" i="1"/>
  <c r="K188" i="1" s="1"/>
  <c r="D188" i="1"/>
  <c r="L188" i="1" s="1"/>
  <c r="M187" i="1"/>
  <c r="E187" i="1"/>
  <c r="D187" i="1"/>
  <c r="L187" i="1" s="1"/>
  <c r="M186" i="1"/>
  <c r="E186" i="1"/>
  <c r="K186" i="1" s="1"/>
  <c r="D186" i="1"/>
  <c r="L186" i="1" s="1"/>
  <c r="M185" i="1"/>
  <c r="E185" i="1"/>
  <c r="D185" i="1"/>
  <c r="L185" i="1" s="1"/>
  <c r="J184" i="1"/>
  <c r="C184" i="1"/>
  <c r="E180" i="1"/>
  <c r="D180" i="1"/>
  <c r="M179" i="1"/>
  <c r="E179" i="1"/>
  <c r="D179" i="1"/>
  <c r="J178" i="1"/>
  <c r="C178" i="1"/>
  <c r="E177" i="1"/>
  <c r="D177" i="1"/>
  <c r="E176" i="1"/>
  <c r="K176" i="1" s="1"/>
  <c r="D176" i="1"/>
  <c r="L176" i="1" s="1"/>
  <c r="E175" i="1"/>
  <c r="K175" i="1" s="1"/>
  <c r="D175" i="1"/>
  <c r="L175" i="1" s="1"/>
  <c r="E174" i="1"/>
  <c r="K174" i="1" s="1"/>
  <c r="D174" i="1"/>
  <c r="L174" i="1" s="1"/>
  <c r="J173" i="1"/>
  <c r="E173" i="1"/>
  <c r="D173" i="1"/>
  <c r="M172" i="1"/>
  <c r="E172" i="1"/>
  <c r="K172" i="1" s="1"/>
  <c r="D172" i="1"/>
  <c r="L172" i="1" s="1"/>
  <c r="M171" i="1"/>
  <c r="E171" i="1"/>
  <c r="K171" i="1" s="1"/>
  <c r="D171" i="1"/>
  <c r="L171" i="1" s="1"/>
  <c r="E170" i="1"/>
  <c r="K170" i="1" s="1"/>
  <c r="D170" i="1"/>
  <c r="L170" i="1" s="1"/>
  <c r="M169" i="1"/>
  <c r="E169" i="1"/>
  <c r="K169" i="1" s="1"/>
  <c r="D169" i="1"/>
  <c r="L169" i="1" s="1"/>
  <c r="M168" i="1"/>
  <c r="E168" i="1"/>
  <c r="K168" i="1" s="1"/>
  <c r="D168" i="1"/>
  <c r="L168" i="1" s="1"/>
  <c r="C167" i="1"/>
  <c r="E163" i="1"/>
  <c r="K163" i="1" s="1"/>
  <c r="D163" i="1"/>
  <c r="L163" i="1" s="1"/>
  <c r="M162" i="1"/>
  <c r="E162" i="1"/>
  <c r="J161" i="1"/>
  <c r="C161" i="1"/>
  <c r="E160" i="1"/>
  <c r="D160" i="1"/>
  <c r="E159" i="1"/>
  <c r="D159" i="1"/>
  <c r="E158" i="1"/>
  <c r="D158" i="1"/>
  <c r="E157" i="1"/>
  <c r="K157" i="1" s="1"/>
  <c r="D157" i="1"/>
  <c r="L157" i="1" s="1"/>
  <c r="M156" i="1"/>
  <c r="E156" i="1"/>
  <c r="K156" i="1" s="1"/>
  <c r="D156" i="1"/>
  <c r="L156" i="1" s="1"/>
  <c r="M155" i="1"/>
  <c r="E155" i="1"/>
  <c r="K155" i="1" s="1"/>
  <c r="D155" i="1"/>
  <c r="L155" i="1" s="1"/>
  <c r="M154" i="1"/>
  <c r="E154" i="1"/>
  <c r="K154" i="1" s="1"/>
  <c r="D154" i="1"/>
  <c r="L154" i="1" s="1"/>
  <c r="M153" i="1"/>
  <c r="E153" i="1"/>
  <c r="K153" i="1" s="1"/>
  <c r="D153" i="1"/>
  <c r="L153" i="1" s="1"/>
  <c r="M152" i="1"/>
  <c r="E152" i="1"/>
  <c r="K152" i="1" s="1"/>
  <c r="D152" i="1"/>
  <c r="L152" i="1" s="1"/>
  <c r="M151" i="1"/>
  <c r="E151" i="1"/>
  <c r="D151" i="1"/>
  <c r="L151" i="1" s="1"/>
  <c r="J150" i="1"/>
  <c r="C150" i="1"/>
  <c r="E146" i="1"/>
  <c r="K146" i="1" s="1"/>
  <c r="D146" i="1"/>
  <c r="L146" i="1" s="1"/>
  <c r="M145" i="1"/>
  <c r="E145" i="1"/>
  <c r="K145" i="1" s="1"/>
  <c r="D145" i="1"/>
  <c r="L145" i="1" s="1"/>
  <c r="M144" i="1"/>
  <c r="E144" i="1"/>
  <c r="K144" i="1" s="1"/>
  <c r="D144" i="1"/>
  <c r="L144" i="1" s="1"/>
  <c r="M143" i="1"/>
  <c r="D143" i="1"/>
  <c r="J142" i="1"/>
  <c r="C142" i="1"/>
  <c r="E141" i="1"/>
  <c r="D141" i="1"/>
  <c r="E140" i="1"/>
  <c r="D140" i="1"/>
  <c r="E139" i="1"/>
  <c r="K139" i="1" s="1"/>
  <c r="D139" i="1"/>
  <c r="L139" i="1" s="1"/>
  <c r="E138" i="1"/>
  <c r="D138" i="1"/>
  <c r="M137" i="1"/>
  <c r="E137" i="1"/>
  <c r="K137" i="1" s="1"/>
  <c r="D137" i="1"/>
  <c r="L137" i="1" s="1"/>
  <c r="M136" i="1"/>
  <c r="E136" i="1"/>
  <c r="K136" i="1" s="1"/>
  <c r="D136" i="1"/>
  <c r="L136" i="1" s="1"/>
  <c r="M135" i="1"/>
  <c r="E135" i="1"/>
  <c r="K135" i="1" s="1"/>
  <c r="D135" i="1"/>
  <c r="L135" i="1" s="1"/>
  <c r="M134" i="1"/>
  <c r="E134" i="1"/>
  <c r="K134" i="1" s="1"/>
  <c r="D134" i="1"/>
  <c r="L134" i="1" s="1"/>
  <c r="M133" i="1"/>
  <c r="E133" i="1"/>
  <c r="D133" i="1"/>
  <c r="L133" i="1" s="1"/>
  <c r="J132" i="1"/>
  <c r="C132" i="1"/>
  <c r="M128" i="1"/>
  <c r="J127" i="1"/>
  <c r="C127" i="1"/>
  <c r="E126" i="1"/>
  <c r="D126" i="1"/>
  <c r="M125" i="1"/>
  <c r="E125" i="1"/>
  <c r="K125" i="1" s="1"/>
  <c r="D125" i="1"/>
  <c r="L125" i="1" s="1"/>
  <c r="E124" i="1"/>
  <c r="D124" i="1"/>
  <c r="E123" i="1"/>
  <c r="D123" i="1"/>
  <c r="M122" i="1"/>
  <c r="E122" i="1"/>
  <c r="K122" i="1" s="1"/>
  <c r="D122" i="1"/>
  <c r="L122" i="1" s="1"/>
  <c r="M121" i="1"/>
  <c r="E121" i="1"/>
  <c r="D121" i="1"/>
  <c r="L121" i="1" s="1"/>
  <c r="M120" i="1"/>
  <c r="E120" i="1"/>
  <c r="K120" i="1" s="1"/>
  <c r="D120" i="1"/>
  <c r="M119" i="1"/>
  <c r="E119" i="1"/>
  <c r="K119" i="1" s="1"/>
  <c r="D119" i="1"/>
  <c r="L119" i="1" s="1"/>
  <c r="M118" i="1"/>
  <c r="E118" i="1"/>
  <c r="K118" i="1" s="1"/>
  <c r="D118" i="1"/>
  <c r="L118" i="1" s="1"/>
  <c r="M117" i="1"/>
  <c r="E117" i="1"/>
  <c r="K117" i="1" s="1"/>
  <c r="D117" i="1"/>
  <c r="L117" i="1" s="1"/>
  <c r="M116" i="1"/>
  <c r="L116" i="1"/>
  <c r="E116" i="1"/>
  <c r="K116" i="1" s="1"/>
  <c r="D116" i="1"/>
  <c r="J115" i="1"/>
  <c r="C115" i="1"/>
  <c r="M115" i="1" s="1"/>
  <c r="M111" i="1"/>
  <c r="E111" i="1"/>
  <c r="D111" i="1"/>
  <c r="M110" i="1"/>
  <c r="J109" i="1"/>
  <c r="C109" i="1"/>
  <c r="E108" i="1"/>
  <c r="D108" i="1"/>
  <c r="E107" i="1"/>
  <c r="D107" i="1"/>
  <c r="E106" i="1"/>
  <c r="D106" i="1"/>
  <c r="J105" i="1"/>
  <c r="E105" i="1"/>
  <c r="D105" i="1"/>
  <c r="L105" i="1" s="1"/>
  <c r="M104" i="1"/>
  <c r="E104" i="1"/>
  <c r="K104" i="1" s="1"/>
  <c r="D104" i="1"/>
  <c r="L104" i="1" s="1"/>
  <c r="M103" i="1"/>
  <c r="E103" i="1"/>
  <c r="K103" i="1" s="1"/>
  <c r="D103" i="1"/>
  <c r="M102" i="1"/>
  <c r="E102" i="1"/>
  <c r="K102" i="1" s="1"/>
  <c r="D102" i="1"/>
  <c r="L102" i="1" s="1"/>
  <c r="M101" i="1"/>
  <c r="E101" i="1"/>
  <c r="K101" i="1" s="1"/>
  <c r="D101" i="1"/>
  <c r="L101" i="1" s="1"/>
  <c r="M100" i="1"/>
  <c r="E100" i="1"/>
  <c r="D100" i="1"/>
  <c r="L100" i="1" s="1"/>
  <c r="J99" i="1"/>
  <c r="C99" i="1"/>
  <c r="E95" i="1"/>
  <c r="K95" i="1" s="1"/>
  <c r="D95" i="1"/>
  <c r="L95" i="1" s="1"/>
  <c r="M94" i="1"/>
  <c r="J93" i="1"/>
  <c r="C93" i="1"/>
  <c r="M92" i="1"/>
  <c r="L92" i="1"/>
  <c r="E92" i="1"/>
  <c r="K92" i="1" s="1"/>
  <c r="E91" i="1"/>
  <c r="D91" i="1"/>
  <c r="E90" i="1"/>
  <c r="D90" i="1"/>
  <c r="M89" i="1"/>
  <c r="E89" i="1"/>
  <c r="K89" i="1" s="1"/>
  <c r="D89" i="1"/>
  <c r="L89" i="1" s="1"/>
  <c r="E88" i="1"/>
  <c r="D88" i="1"/>
  <c r="M87" i="1"/>
  <c r="E87" i="1"/>
  <c r="K87" i="1" s="1"/>
  <c r="D87" i="1"/>
  <c r="M86" i="1"/>
  <c r="E86" i="1"/>
  <c r="K86" i="1" s="1"/>
  <c r="D86" i="1"/>
  <c r="L86" i="1" s="1"/>
  <c r="M85" i="1"/>
  <c r="E85" i="1"/>
  <c r="K85" i="1" s="1"/>
  <c r="D85" i="1"/>
  <c r="L85" i="1" s="1"/>
  <c r="M84" i="1"/>
  <c r="E84" i="1"/>
  <c r="K84" i="1" s="1"/>
  <c r="D84" i="1"/>
  <c r="L84" i="1" s="1"/>
  <c r="M83" i="1"/>
  <c r="E83" i="1"/>
  <c r="K83" i="1" s="1"/>
  <c r="D83" i="1"/>
  <c r="L83" i="1" s="1"/>
  <c r="M82" i="1"/>
  <c r="E82" i="1"/>
  <c r="D82" i="1"/>
  <c r="L82" i="1" s="1"/>
  <c r="J81" i="1"/>
  <c r="C81" i="1"/>
  <c r="E77" i="1"/>
  <c r="K77" i="1" s="1"/>
  <c r="D77" i="1"/>
  <c r="L77" i="1" s="1"/>
  <c r="M76" i="1"/>
  <c r="J75" i="1"/>
  <c r="C75" i="1"/>
  <c r="E74" i="1"/>
  <c r="K74" i="1" s="1"/>
  <c r="D74" i="1"/>
  <c r="L74" i="1" s="1"/>
  <c r="E73" i="1"/>
  <c r="K73" i="1" s="1"/>
  <c r="D73" i="1"/>
  <c r="L73" i="1" s="1"/>
  <c r="M72" i="1"/>
  <c r="E72" i="1"/>
  <c r="D72" i="1"/>
  <c r="L72" i="1" s="1"/>
  <c r="E71" i="1"/>
  <c r="D71" i="1"/>
  <c r="M70" i="1"/>
  <c r="E70" i="1"/>
  <c r="K70" i="1" s="1"/>
  <c r="D70" i="1"/>
  <c r="L70" i="1" s="1"/>
  <c r="M69" i="1"/>
  <c r="E69" i="1"/>
  <c r="K69" i="1" s="1"/>
  <c r="D69" i="1"/>
  <c r="L69" i="1" s="1"/>
  <c r="M68" i="1"/>
  <c r="E68" i="1"/>
  <c r="K68" i="1" s="1"/>
  <c r="D68" i="1"/>
  <c r="L68" i="1" s="1"/>
  <c r="M67" i="1"/>
  <c r="E67" i="1"/>
  <c r="K67" i="1" s="1"/>
  <c r="D67" i="1"/>
  <c r="L67" i="1" s="1"/>
  <c r="M66" i="1"/>
  <c r="E66" i="1"/>
  <c r="K66" i="1" s="1"/>
  <c r="D66" i="1"/>
  <c r="L66" i="1" s="1"/>
  <c r="M65" i="1"/>
  <c r="E65" i="1"/>
  <c r="K65" i="1" s="1"/>
  <c r="D65" i="1"/>
  <c r="J64" i="1"/>
  <c r="C64" i="1"/>
  <c r="M60" i="1"/>
  <c r="E60" i="1"/>
  <c r="D60" i="1"/>
  <c r="E59" i="1"/>
  <c r="K59" i="1" s="1"/>
  <c r="D59" i="1"/>
  <c r="L59" i="1" s="1"/>
  <c r="M58" i="1"/>
  <c r="E58" i="1"/>
  <c r="D58" i="1"/>
  <c r="L58" i="1" s="1"/>
  <c r="J57" i="1"/>
  <c r="C57" i="1"/>
  <c r="E56" i="1"/>
  <c r="D56" i="1"/>
  <c r="K55" i="1"/>
  <c r="E55" i="1"/>
  <c r="D55" i="1"/>
  <c r="L55" i="1" s="1"/>
  <c r="M54" i="1"/>
  <c r="L54" i="1"/>
  <c r="E54" i="1"/>
  <c r="K54" i="1" s="1"/>
  <c r="D54" i="1"/>
  <c r="E53" i="1"/>
  <c r="K53" i="1" s="1"/>
  <c r="D53" i="1"/>
  <c r="L53" i="1" s="1"/>
  <c r="M52" i="1"/>
  <c r="E52" i="1"/>
  <c r="D52" i="1"/>
  <c r="L52" i="1" s="1"/>
  <c r="E51" i="1"/>
  <c r="D51" i="1"/>
  <c r="M50" i="1"/>
  <c r="E50" i="1"/>
  <c r="K50" i="1" s="1"/>
  <c r="D50" i="1"/>
  <c r="L50" i="1" s="1"/>
  <c r="M49" i="1"/>
  <c r="E49" i="1"/>
  <c r="K49" i="1" s="1"/>
  <c r="D49" i="1"/>
  <c r="L49" i="1" s="1"/>
  <c r="M48" i="1"/>
  <c r="E48" i="1"/>
  <c r="K48" i="1" s="1"/>
  <c r="D48" i="1"/>
  <c r="L48" i="1" s="1"/>
  <c r="M47" i="1"/>
  <c r="E47" i="1"/>
  <c r="K47" i="1" s="1"/>
  <c r="D47" i="1"/>
  <c r="L47" i="1" s="1"/>
  <c r="J46" i="1"/>
  <c r="C46" i="1"/>
  <c r="E42" i="1"/>
  <c r="K42" i="1" s="1"/>
  <c r="D42" i="1"/>
  <c r="L42" i="1" s="1"/>
  <c r="M41" i="1"/>
  <c r="J40" i="1"/>
  <c r="C40" i="1"/>
  <c r="E39" i="1"/>
  <c r="E38" i="1"/>
  <c r="M37" i="1"/>
  <c r="E37" i="1"/>
  <c r="D37" i="1"/>
  <c r="L37" i="1" s="1"/>
  <c r="E36" i="1"/>
  <c r="K36" i="1" s="1"/>
  <c r="D36" i="1"/>
  <c r="L36" i="1" s="1"/>
  <c r="M35" i="1"/>
  <c r="E35" i="1"/>
  <c r="K35" i="1" s="1"/>
  <c r="D35" i="1"/>
  <c r="L35" i="1" s="1"/>
  <c r="M34" i="1"/>
  <c r="E34" i="1"/>
  <c r="K34" i="1" s="1"/>
  <c r="D34" i="1"/>
  <c r="L34" i="1" s="1"/>
  <c r="M33" i="1"/>
  <c r="E33" i="1"/>
  <c r="K33" i="1" s="1"/>
  <c r="D33" i="1"/>
  <c r="L33" i="1" s="1"/>
  <c r="M32" i="1"/>
  <c r="E32" i="1"/>
  <c r="K32" i="1" s="1"/>
  <c r="D32" i="1"/>
  <c r="L32" i="1" s="1"/>
  <c r="M31" i="1"/>
  <c r="E31" i="1"/>
  <c r="K31" i="1" s="1"/>
  <c r="D31" i="1"/>
  <c r="L31" i="1" s="1"/>
  <c r="J30" i="1"/>
  <c r="C30" i="1"/>
  <c r="M30" i="1" s="1"/>
  <c r="E26" i="1"/>
  <c r="K26" i="1" s="1"/>
  <c r="D26" i="1"/>
  <c r="L26" i="1" s="1"/>
  <c r="E25" i="1"/>
  <c r="K25" i="1" s="1"/>
  <c r="D25" i="1"/>
  <c r="L25" i="1" s="1"/>
  <c r="E24" i="1"/>
  <c r="K24" i="1" s="1"/>
  <c r="D24" i="1"/>
  <c r="L24" i="1" s="1"/>
  <c r="M23" i="1"/>
  <c r="E23" i="1"/>
  <c r="J22" i="1"/>
  <c r="C22" i="1"/>
  <c r="E21" i="1"/>
  <c r="D21" i="1"/>
  <c r="E20" i="1"/>
  <c r="K20" i="1" s="1"/>
  <c r="D20" i="1"/>
  <c r="L20" i="1" s="1"/>
  <c r="M19" i="1"/>
  <c r="E19" i="1"/>
  <c r="K19" i="1" s="1"/>
  <c r="D19" i="1"/>
  <c r="L19" i="1" s="1"/>
  <c r="M18" i="1"/>
  <c r="E18" i="1"/>
  <c r="K18" i="1" s="1"/>
  <c r="D18" i="1"/>
  <c r="L18" i="1" s="1"/>
  <c r="M17" i="1"/>
  <c r="E17" i="1"/>
  <c r="K17" i="1" s="1"/>
  <c r="D17" i="1"/>
  <c r="L17" i="1" s="1"/>
  <c r="M16" i="1"/>
  <c r="E16" i="1"/>
  <c r="K16" i="1" s="1"/>
  <c r="D16" i="1"/>
  <c r="L16" i="1" s="1"/>
  <c r="M15" i="1"/>
  <c r="E15" i="1"/>
  <c r="K15" i="1" s="1"/>
  <c r="D15" i="1"/>
  <c r="L15" i="1" s="1"/>
  <c r="M14" i="1"/>
  <c r="E14" i="1"/>
  <c r="D14" i="1"/>
  <c r="M13" i="1"/>
  <c r="E13" i="1"/>
  <c r="K13" i="1" s="1"/>
  <c r="D13" i="1"/>
  <c r="L13" i="1" s="1"/>
  <c r="M12" i="1"/>
  <c r="E12" i="1"/>
  <c r="K12" i="1" s="1"/>
  <c r="D12" i="1"/>
  <c r="L12" i="1" s="1"/>
  <c r="M11" i="1"/>
  <c r="E11" i="1"/>
  <c r="K11" i="1" s="1"/>
  <c r="D11" i="1"/>
  <c r="L11" i="1" s="1"/>
  <c r="M10" i="1"/>
  <c r="E10" i="1"/>
  <c r="K10" i="1" s="1"/>
  <c r="D10" i="1"/>
  <c r="L10" i="1" s="1"/>
  <c r="M9" i="1"/>
  <c r="E9" i="1"/>
  <c r="K9" i="1" s="1"/>
  <c r="D9" i="1"/>
  <c r="J8" i="1"/>
  <c r="C8" i="1"/>
  <c r="I112" i="2" l="1"/>
  <c r="L50" i="2"/>
  <c r="J133" i="2"/>
  <c r="J136" i="2" s="1"/>
  <c r="I25" i="2"/>
  <c r="O19" i="2"/>
  <c r="O26" i="2"/>
  <c r="N25" i="2"/>
  <c r="K10" i="2"/>
  <c r="O13" i="2"/>
  <c r="K50" i="2"/>
  <c r="C133" i="2"/>
  <c r="K12" i="2"/>
  <c r="O12" i="2" s="1"/>
  <c r="I10" i="2"/>
  <c r="O65" i="2"/>
  <c r="L92" i="2"/>
  <c r="N93" i="2"/>
  <c r="K131" i="2"/>
  <c r="K129" i="2" s="1"/>
  <c r="I129" i="2"/>
  <c r="E10" i="2"/>
  <c r="F133" i="2"/>
  <c r="K20" i="2"/>
  <c r="K19" i="2" s="1"/>
  <c r="E21" i="2"/>
  <c r="L25" i="2"/>
  <c r="K25" i="2"/>
  <c r="O29" i="2"/>
  <c r="O39" i="2"/>
  <c r="O46" i="2"/>
  <c r="N51" i="2"/>
  <c r="O69" i="2"/>
  <c r="O73" i="2"/>
  <c r="O84" i="2"/>
  <c r="O89" i="2"/>
  <c r="E92" i="2"/>
  <c r="L112" i="2"/>
  <c r="N114" i="2"/>
  <c r="O11" i="2"/>
  <c r="N10" i="2"/>
  <c r="O22" i="2"/>
  <c r="K27" i="2"/>
  <c r="O38" i="2"/>
  <c r="O40" i="2"/>
  <c r="O52" i="2"/>
  <c r="O66" i="2"/>
  <c r="O96" i="2"/>
  <c r="O110" i="2"/>
  <c r="N108" i="2"/>
  <c r="O111" i="2"/>
  <c r="K112" i="2"/>
  <c r="D133" i="2"/>
  <c r="G133" i="2"/>
  <c r="L10" i="2"/>
  <c r="H21" i="2"/>
  <c r="N23" i="2"/>
  <c r="O23" i="2" s="1"/>
  <c r="L21" i="2"/>
  <c r="O27" i="2"/>
  <c r="O33" i="2"/>
  <c r="H50" i="2"/>
  <c r="O61" i="2"/>
  <c r="O76" i="2"/>
  <c r="O80" i="2"/>
  <c r="K92" i="2"/>
  <c r="N106" i="2"/>
  <c r="L103" i="2"/>
  <c r="K108" i="2"/>
  <c r="O116" i="2"/>
  <c r="O118" i="2"/>
  <c r="O119" i="2"/>
  <c r="H121" i="2"/>
  <c r="O125" i="2"/>
  <c r="M133" i="2"/>
  <c r="M136" i="2" s="1"/>
  <c r="O91" i="2"/>
  <c r="E93" i="2"/>
  <c r="I121" i="2"/>
  <c r="I127" i="2"/>
  <c r="E129" i="2"/>
  <c r="N129" i="2"/>
  <c r="E50" i="2"/>
  <c r="I50" i="2"/>
  <c r="E90" i="2"/>
  <c r="C92" i="2"/>
  <c r="I92" i="2"/>
  <c r="C103" i="2"/>
  <c r="E103" i="2" s="1"/>
  <c r="H103" i="2"/>
  <c r="I105" i="2"/>
  <c r="H112" i="2"/>
  <c r="N123" i="2"/>
  <c r="O123" i="2" s="1"/>
  <c r="N128" i="2"/>
  <c r="L127" i="2"/>
  <c r="G235" i="1"/>
  <c r="F235" i="1"/>
  <c r="I235" i="1"/>
  <c r="F109" i="1"/>
  <c r="F112" i="1" s="1"/>
  <c r="G75" i="1"/>
  <c r="G78" i="1" s="1"/>
  <c r="F195" i="1"/>
  <c r="F198" i="1" s="1"/>
  <c r="M81" i="1"/>
  <c r="M228" i="1"/>
  <c r="E94" i="1"/>
  <c r="C217" i="1"/>
  <c r="C235" i="1" s="1"/>
  <c r="C231" i="1"/>
  <c r="E22" i="1"/>
  <c r="C181" i="1"/>
  <c r="M201" i="1"/>
  <c r="C164" i="1"/>
  <c r="L173" i="1"/>
  <c r="C27" i="1"/>
  <c r="M40" i="1"/>
  <c r="J112" i="1"/>
  <c r="K228" i="1"/>
  <c r="E8" i="1"/>
  <c r="K8" i="1" s="1"/>
  <c r="K218" i="1"/>
  <c r="C43" i="1"/>
  <c r="E64" i="1"/>
  <c r="K64" i="1" s="1"/>
  <c r="C112" i="1"/>
  <c r="E115" i="1"/>
  <c r="K115" i="1" s="1"/>
  <c r="E150" i="1"/>
  <c r="K150" i="1" s="1"/>
  <c r="E167" i="1"/>
  <c r="D184" i="1"/>
  <c r="L184" i="1" s="1"/>
  <c r="E201" i="1"/>
  <c r="K201" i="1" s="1"/>
  <c r="J224" i="1"/>
  <c r="K105" i="1"/>
  <c r="E110" i="1"/>
  <c r="E109" i="1" s="1"/>
  <c r="J129" i="1"/>
  <c r="E132" i="1"/>
  <c r="K132" i="1" s="1"/>
  <c r="C147" i="1"/>
  <c r="J167" i="1"/>
  <c r="J181" i="1" s="1"/>
  <c r="E219" i="1"/>
  <c r="K219" i="1" s="1"/>
  <c r="E221" i="1"/>
  <c r="K221" i="1" s="1"/>
  <c r="E225" i="1"/>
  <c r="K225" i="1" s="1"/>
  <c r="D226" i="1"/>
  <c r="L226" i="1" s="1"/>
  <c r="E233" i="1"/>
  <c r="K233" i="1" s="1"/>
  <c r="D234" i="1"/>
  <c r="C129" i="1"/>
  <c r="M127" i="1"/>
  <c r="E30" i="1"/>
  <c r="E46" i="1"/>
  <c r="K46" i="1" s="1"/>
  <c r="M64" i="1"/>
  <c r="C96" i="1"/>
  <c r="E143" i="1"/>
  <c r="K143" i="1" s="1"/>
  <c r="C198" i="1"/>
  <c r="C214" i="1"/>
  <c r="M219" i="1"/>
  <c r="J27" i="1"/>
  <c r="M22" i="1"/>
  <c r="K23" i="1"/>
  <c r="K37" i="1"/>
  <c r="J61" i="1"/>
  <c r="K72" i="1"/>
  <c r="D75" i="1"/>
  <c r="L76" i="1"/>
  <c r="L110" i="1"/>
  <c r="D109" i="1"/>
  <c r="K121" i="1"/>
  <c r="L196" i="1"/>
  <c r="D195" i="1"/>
  <c r="D223" i="1"/>
  <c r="E223" i="1"/>
  <c r="M223" i="1"/>
  <c r="D23" i="1"/>
  <c r="K52" i="1"/>
  <c r="C78" i="1"/>
  <c r="E76" i="1"/>
  <c r="L120" i="1"/>
  <c r="D115" i="1"/>
  <c r="L115" i="1" s="1"/>
  <c r="E128" i="1"/>
  <c r="D128" i="1"/>
  <c r="M178" i="1"/>
  <c r="L212" i="1"/>
  <c r="D211" i="1"/>
  <c r="D219" i="1"/>
  <c r="L219" i="1" s="1"/>
  <c r="D8" i="1"/>
  <c r="L8" i="1" s="1"/>
  <c r="L9" i="1"/>
  <c r="K22" i="1"/>
  <c r="J43" i="1"/>
  <c r="E161" i="1"/>
  <c r="K162" i="1"/>
  <c r="L179" i="1"/>
  <c r="D178" i="1"/>
  <c r="L178" i="1" s="1"/>
  <c r="E224" i="1"/>
  <c r="D224" i="1"/>
  <c r="L224" i="1" s="1"/>
  <c r="M224" i="1"/>
  <c r="E227" i="1"/>
  <c r="K227" i="1" s="1"/>
  <c r="D227" i="1"/>
  <c r="L227" i="1" s="1"/>
  <c r="M8" i="1"/>
  <c r="K30" i="1"/>
  <c r="E41" i="1"/>
  <c r="D41" i="1"/>
  <c r="M46" i="1"/>
  <c r="D57" i="1"/>
  <c r="M57" i="1"/>
  <c r="L87" i="1"/>
  <c r="D81" i="1"/>
  <c r="L81" i="1" s="1"/>
  <c r="E93" i="1"/>
  <c r="K94" i="1"/>
  <c r="L103" i="1"/>
  <c r="D99" i="1"/>
  <c r="L99" i="1" s="1"/>
  <c r="D132" i="1"/>
  <c r="L132" i="1" s="1"/>
  <c r="K133" i="1"/>
  <c r="E142" i="1"/>
  <c r="K142" i="1" s="1"/>
  <c r="J147" i="1"/>
  <c r="M142" i="1"/>
  <c r="D150" i="1"/>
  <c r="L150" i="1" s="1"/>
  <c r="K151" i="1"/>
  <c r="M227" i="1"/>
  <c r="E229" i="1"/>
  <c r="K229" i="1" s="1"/>
  <c r="D229" i="1"/>
  <c r="L229" i="1" s="1"/>
  <c r="D233" i="1"/>
  <c r="L233" i="1" s="1"/>
  <c r="D94" i="1"/>
  <c r="K100" i="1"/>
  <c r="E99" i="1"/>
  <c r="K99" i="1" s="1"/>
  <c r="L143" i="1"/>
  <c r="D142" i="1"/>
  <c r="D162" i="1"/>
  <c r="M173" i="1"/>
  <c r="K179" i="1"/>
  <c r="E178" i="1"/>
  <c r="M184" i="1"/>
  <c r="D201" i="1"/>
  <c r="L201" i="1" s="1"/>
  <c r="L202" i="1"/>
  <c r="E212" i="1"/>
  <c r="K222" i="1"/>
  <c r="K226" i="1"/>
  <c r="K234" i="1"/>
  <c r="D46" i="1"/>
  <c r="L46" i="1" s="1"/>
  <c r="K58" i="1"/>
  <c r="E57" i="1"/>
  <c r="D64" i="1"/>
  <c r="L64" i="1" s="1"/>
  <c r="E81" i="1"/>
  <c r="K81" i="1" s="1"/>
  <c r="K82" i="1"/>
  <c r="J96" i="1"/>
  <c r="M109" i="1"/>
  <c r="M132" i="1"/>
  <c r="M150" i="1"/>
  <c r="J164" i="1"/>
  <c r="E184" i="1"/>
  <c r="K184" i="1" s="1"/>
  <c r="K185" i="1"/>
  <c r="D222" i="1"/>
  <c r="L222" i="1" s="1"/>
  <c r="M226" i="1"/>
  <c r="D30" i="1"/>
  <c r="L30" i="1" s="1"/>
  <c r="C61" i="1"/>
  <c r="L65" i="1"/>
  <c r="M75" i="1"/>
  <c r="L75" i="1"/>
  <c r="J78" i="1"/>
  <c r="M93" i="1"/>
  <c r="M99" i="1"/>
  <c r="M105" i="1"/>
  <c r="M161" i="1"/>
  <c r="D167" i="1"/>
  <c r="K173" i="1"/>
  <c r="E195" i="1"/>
  <c r="D218" i="1"/>
  <c r="M218" i="1"/>
  <c r="J217" i="1"/>
  <c r="E220" i="1"/>
  <c r="K220" i="1" s="1"/>
  <c r="D221" i="1"/>
  <c r="L221" i="1" s="1"/>
  <c r="M221" i="1"/>
  <c r="D228" i="1"/>
  <c r="L228" i="1"/>
  <c r="M232" i="1"/>
  <c r="J231" i="1"/>
  <c r="L234" i="1"/>
  <c r="M195" i="1"/>
  <c r="J198" i="1"/>
  <c r="J214" i="1"/>
  <c r="L225" i="1"/>
  <c r="M225" i="1"/>
  <c r="O25" i="2" l="1"/>
  <c r="N127" i="2"/>
  <c r="O127" i="2" s="1"/>
  <c r="O128" i="2"/>
  <c r="H133" i="2"/>
  <c r="O108" i="2"/>
  <c r="E133" i="2"/>
  <c r="O10" i="2"/>
  <c r="N21" i="2"/>
  <c r="O21" i="2" s="1"/>
  <c r="N121" i="2"/>
  <c r="O121" i="2" s="1"/>
  <c r="O106" i="2"/>
  <c r="N103" i="2"/>
  <c r="O51" i="2"/>
  <c r="N50" i="2"/>
  <c r="O50" i="2" s="1"/>
  <c r="K105" i="2"/>
  <c r="I103" i="2"/>
  <c r="O114" i="2"/>
  <c r="N112" i="2"/>
  <c r="O112" i="2" s="1"/>
  <c r="O93" i="2"/>
  <c r="N92" i="2"/>
  <c r="O92" i="2" s="1"/>
  <c r="O20" i="2"/>
  <c r="K110" i="1"/>
  <c r="K224" i="1"/>
  <c r="D198" i="1"/>
  <c r="M129" i="1"/>
  <c r="M112" i="1"/>
  <c r="L195" i="1"/>
  <c r="L167" i="1"/>
  <c r="M167" i="1"/>
  <c r="E27" i="1"/>
  <c r="K27" i="1" s="1"/>
  <c r="E61" i="1"/>
  <c r="K61" i="1" s="1"/>
  <c r="E181" i="1"/>
  <c r="K167" i="1"/>
  <c r="E147" i="1"/>
  <c r="K147" i="1" s="1"/>
  <c r="M78" i="1"/>
  <c r="M96" i="1"/>
  <c r="D40" i="1"/>
  <c r="L41" i="1"/>
  <c r="M43" i="1"/>
  <c r="K178" i="1"/>
  <c r="E75" i="1"/>
  <c r="K76" i="1"/>
  <c r="L23" i="1"/>
  <c r="D22" i="1"/>
  <c r="L198" i="1"/>
  <c r="M198" i="1"/>
  <c r="M231" i="1"/>
  <c r="J235" i="1"/>
  <c r="E198" i="1"/>
  <c r="K198" i="1" s="1"/>
  <c r="K195" i="1"/>
  <c r="E217" i="1"/>
  <c r="K217" i="1" s="1"/>
  <c r="M164" i="1"/>
  <c r="E211" i="1"/>
  <c r="K212" i="1"/>
  <c r="D147" i="1"/>
  <c r="L142" i="1"/>
  <c r="L94" i="1"/>
  <c r="D93" i="1"/>
  <c r="E96" i="1"/>
  <c r="K96" i="1" s="1"/>
  <c r="K93" i="1"/>
  <c r="E127" i="1"/>
  <c r="K128" i="1"/>
  <c r="K57" i="1"/>
  <c r="M27" i="1"/>
  <c r="M217" i="1"/>
  <c r="L218" i="1"/>
  <c r="D217" i="1"/>
  <c r="L217" i="1" s="1"/>
  <c r="E40" i="1"/>
  <c r="K41" i="1"/>
  <c r="E164" i="1"/>
  <c r="K164" i="1" s="1"/>
  <c r="K161" i="1"/>
  <c r="D214" i="1"/>
  <c r="L214" i="1" s="1"/>
  <c r="L211" i="1"/>
  <c r="D112" i="1"/>
  <c r="L112" i="1" s="1"/>
  <c r="M61" i="1"/>
  <c r="D232" i="1"/>
  <c r="M214" i="1"/>
  <c r="L109" i="1"/>
  <c r="L162" i="1"/>
  <c r="D161" i="1"/>
  <c r="M147" i="1"/>
  <c r="L147" i="1"/>
  <c r="E112" i="1"/>
  <c r="K112" i="1" s="1"/>
  <c r="K109" i="1"/>
  <c r="D61" i="1"/>
  <c r="L61" i="1" s="1"/>
  <c r="E232" i="1"/>
  <c r="D181" i="1"/>
  <c r="L181" i="1" s="1"/>
  <c r="M181" i="1"/>
  <c r="K181" i="1"/>
  <c r="L128" i="1"/>
  <c r="D127" i="1"/>
  <c r="D78" i="1"/>
  <c r="L78" i="1" s="1"/>
  <c r="L57" i="1"/>
  <c r="N133" i="2" l="1"/>
  <c r="O103" i="2"/>
  <c r="O105" i="2"/>
  <c r="K103" i="2"/>
  <c r="K133" i="2" s="1"/>
  <c r="E43" i="1"/>
  <c r="K43" i="1" s="1"/>
  <c r="K40" i="1"/>
  <c r="E129" i="1"/>
  <c r="K129" i="1" s="1"/>
  <c r="K127" i="1"/>
  <c r="D164" i="1"/>
  <c r="L164" i="1" s="1"/>
  <c r="L161" i="1"/>
  <c r="E214" i="1"/>
  <c r="K214" i="1" s="1"/>
  <c r="K211" i="1"/>
  <c r="E78" i="1"/>
  <c r="K78" i="1" s="1"/>
  <c r="K75" i="1"/>
  <c r="L127" i="1"/>
  <c r="D129" i="1"/>
  <c r="L129" i="1" s="1"/>
  <c r="D231" i="1"/>
  <c r="L232" i="1"/>
  <c r="M235" i="1"/>
  <c r="D27" i="1"/>
  <c r="L27" i="1" s="1"/>
  <c r="L22" i="1"/>
  <c r="D43" i="1"/>
  <c r="L43" i="1" s="1"/>
  <c r="L40" i="1"/>
  <c r="E231" i="1"/>
  <c r="K232" i="1"/>
  <c r="D96" i="1"/>
  <c r="L96" i="1" s="1"/>
  <c r="L93" i="1"/>
  <c r="O133" i="2" l="1"/>
  <c r="E235" i="1"/>
  <c r="K235" i="1" s="1"/>
  <c r="K231" i="1"/>
  <c r="D235" i="1"/>
  <c r="L235" i="1" s="1"/>
  <c r="L231" i="1"/>
</calcChain>
</file>

<file path=xl/sharedStrings.xml><?xml version="1.0" encoding="utf-8"?>
<sst xmlns="http://schemas.openxmlformats.org/spreadsheetml/2006/main" count="685" uniqueCount="265">
  <si>
    <t>Отчет об исполнении консолидированного бюджета Октябрьского района по состоянию на 01.09.2020</t>
  </si>
  <si>
    <t>(тыс.руб.)</t>
  </si>
  <si>
    <t xml:space="preserve"> </t>
  </si>
  <si>
    <t>Первонач. план на 2020 год</t>
  </si>
  <si>
    <t>Уточн. план на 2020 год</t>
  </si>
  <si>
    <t>План                 на 9 месяцев 2020 года</t>
  </si>
  <si>
    <t>1 квартал</t>
  </si>
  <si>
    <t>2 квартал</t>
  </si>
  <si>
    <t>3 квартал</t>
  </si>
  <si>
    <t>4 квартал</t>
  </si>
  <si>
    <t>Исполнение на 01.09.2020</t>
  </si>
  <si>
    <t xml:space="preserve">% исп-ия к плану за 9 месяцев 2020 года </t>
  </si>
  <si>
    <t xml:space="preserve">% исп-ия к уточн. плану на 2020 год </t>
  </si>
  <si>
    <t xml:space="preserve">% исп-ия к первонач. плану на 2020 год </t>
  </si>
  <si>
    <t>КБК</t>
  </si>
  <si>
    <t>Наименование дохода</t>
  </si>
  <si>
    <t>Октябрьский район</t>
  </si>
  <si>
    <t>00010000000000000000</t>
  </si>
  <si>
    <t>НАЛОГОВЫЕ И НЕНАЛОГОВЫЕ ДОХОДЫ</t>
  </si>
  <si>
    <t>00010100000000000000</t>
  </si>
  <si>
    <t xml:space="preserve">Налоги на прибыль, доходы </t>
  </si>
  <si>
    <t>00010302000010000110</t>
  </si>
  <si>
    <t xml:space="preserve">Акцизы по подакцизным товарам (продукции), производимым на территории Российской Федерации
</t>
  </si>
  <si>
    <t>00010500000000000000</t>
  </si>
  <si>
    <t>Налоги на совокупный доход</t>
  </si>
  <si>
    <t>00010600000000000000</t>
  </si>
  <si>
    <t>Налоги  на  имущество</t>
  </si>
  <si>
    <t>00010800000000000000</t>
  </si>
  <si>
    <t>Государственная пошлина</t>
  </si>
  <si>
    <t>00010900000000000000</t>
  </si>
  <si>
    <t>Задолженность и перерасчеты по отмененным налогам, сборам и иным обязательным платежам</t>
  </si>
  <si>
    <t>00011100000000000000</t>
  </si>
  <si>
    <t>Доходы от использования имущества , находящегося  в государственной и муниципальной собственности</t>
  </si>
  <si>
    <t>00011200000000000000</t>
  </si>
  <si>
    <t>Платежи при пользовании  природными  ресурсами</t>
  </si>
  <si>
    <t>00011300000000000000</t>
  </si>
  <si>
    <t>Доходы от оказания платных услуг и компенсации затрат государства</t>
  </si>
  <si>
    <t>00011400000000000000</t>
  </si>
  <si>
    <t>Доходы от продажи материальных и нематериальных активов</t>
  </si>
  <si>
    <t>00011500000000000000</t>
  </si>
  <si>
    <t>Административные платежи и сборы</t>
  </si>
  <si>
    <t>00011600000000000000</t>
  </si>
  <si>
    <t>Штрафы, санкции, возмещение  ущерба</t>
  </si>
  <si>
    <t>00011700000000000000</t>
  </si>
  <si>
    <t>Прочие неналоговые доходы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</si>
  <si>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</si>
  <si>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</si>
  <si>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</si>
  <si>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</si>
  <si>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00020700000000000000</t>
  </si>
  <si>
    <t>Прочие безвозмездные поступления</t>
  </si>
  <si>
    <t>00021800000000000000</t>
  </si>
  <si>
    <t>Доходы бюджетов бюджетной системы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</si>
  <si>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</si>
  <si>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</si>
  <si>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</si>
  <si>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городское поселение Андра</t>
  </si>
  <si>
    <t>городское поселение Октябрьское</t>
  </si>
  <si>
    <t>городское поселение Приобье</t>
  </si>
  <si>
    <t>городское поселение Талинка</t>
  </si>
  <si>
    <t>00011900000000000000</t>
  </si>
  <si>
    <t>Возврат остатков субсидий и субвенций прошлых лет</t>
  </si>
  <si>
    <t>сельское поселение Каменное</t>
  </si>
  <si>
    <t>00020700000000000180</t>
  </si>
  <si>
    <t>сельское поселение Карымкары</t>
  </si>
  <si>
    <t>сельское поселение М-Атлым</t>
  </si>
  <si>
    <t>сельское поселение Перегрёбное</t>
  </si>
  <si>
    <t>сельское поселение Сергино</t>
  </si>
  <si>
    <t>сельское поселение Унъюган</t>
  </si>
  <si>
    <t>сельское поселение Шеркалы</t>
  </si>
  <si>
    <t>Октябрьский район (консолидированный бюджет)</t>
  </si>
  <si>
    <t>Отчет  об  исполнении  консолидированного  бюджета  района  по  расходам на 1 сентября 2020 года</t>
  </si>
  <si>
    <t>ФКР</t>
  </si>
  <si>
    <t>Наименование показателя</t>
  </si>
  <si>
    <t>Бюджет Район</t>
  </si>
  <si>
    <t>Бюджет Поселения</t>
  </si>
  <si>
    <t>Консолидированный бюджет</t>
  </si>
  <si>
    <t>План на год</t>
  </si>
  <si>
    <t>исполнение на 01.09.2020</t>
  </si>
  <si>
    <t>% исполнения</t>
  </si>
  <si>
    <r>
      <t xml:space="preserve">план                </t>
    </r>
    <r>
      <rPr>
        <b/>
        <i/>
        <sz val="12"/>
        <rFont val="Times New Roman"/>
        <family val="1"/>
        <charset val="204"/>
      </rPr>
      <t xml:space="preserve"> итого</t>
    </r>
    <r>
      <rPr>
        <b/>
        <i/>
        <sz val="11"/>
        <rFont val="Times New Roman"/>
        <family val="1"/>
        <charset val="204"/>
      </rPr>
      <t xml:space="preserve"> </t>
    </r>
  </si>
  <si>
    <t>суммы подлежащие исключению</t>
  </si>
  <si>
    <r>
      <t xml:space="preserve">исполнение               </t>
    </r>
    <r>
      <rPr>
        <i/>
        <sz val="12"/>
        <rFont val="Times New Roman"/>
        <family val="1"/>
        <charset val="204"/>
      </rPr>
      <t xml:space="preserve"> итого</t>
    </r>
    <r>
      <rPr>
        <i/>
        <sz val="11"/>
        <rFont val="Times New Roman"/>
        <family val="1"/>
        <charset val="204"/>
      </rPr>
      <t xml:space="preserve"> </t>
    </r>
  </si>
  <si>
    <t>исполнения на 01.09.2020</t>
  </si>
  <si>
    <t>РАСХОДЫ</t>
  </si>
  <si>
    <t>01</t>
  </si>
  <si>
    <t>Общегосударственные  вопросы</t>
  </si>
  <si>
    <t>0102</t>
  </si>
  <si>
    <t>Функционирование  высшего  должностного  лица</t>
  </si>
  <si>
    <t>0103</t>
  </si>
  <si>
    <t>Функционирование  законодательных (представительных)  органов власти</t>
  </si>
  <si>
    <t>0104</t>
  </si>
  <si>
    <t>Функционирование  органов  местного   самоуправления</t>
  </si>
  <si>
    <t>0105</t>
  </si>
  <si>
    <t>Судебная система</t>
  </si>
  <si>
    <t>0106</t>
  </si>
  <si>
    <t>Обеспечение  деятельности  финансовых  органов</t>
  </si>
  <si>
    <t>0107</t>
  </si>
  <si>
    <t>Обеспечение проведения выборов и референдумов</t>
  </si>
  <si>
    <t>0111</t>
  </si>
  <si>
    <t>Резервный  фонд</t>
  </si>
  <si>
    <t>0113</t>
  </si>
  <si>
    <t>Другие  общегосударственные  вопросы</t>
  </si>
  <si>
    <t>02</t>
  </si>
  <si>
    <t>Национальная оборона</t>
  </si>
  <si>
    <t>0203</t>
  </si>
  <si>
    <t>Содержание инспекторов ВУС</t>
  </si>
  <si>
    <t>03</t>
  </si>
  <si>
    <t>Национальная  безопасность и правоохранительная деятельность</t>
  </si>
  <si>
    <t>0304</t>
  </si>
  <si>
    <t xml:space="preserve">ЗАГС </t>
  </si>
  <si>
    <t>0309</t>
  </si>
  <si>
    <t>Предупреждение и  ликвидация  последствий ЧС</t>
  </si>
  <si>
    <t>0314</t>
  </si>
  <si>
    <t>Другие вопросы в области национальной безопасности и правоохранительной деятельности</t>
  </si>
  <si>
    <t>04</t>
  </si>
  <si>
    <t>Национальная  экономика</t>
  </si>
  <si>
    <t>0401</t>
  </si>
  <si>
    <t>Государственная программа "Содействие занятости населения в Ханты-Мансийском автономном округе – Югре на 2014 – 2020 годы"</t>
  </si>
  <si>
    <t>0405</t>
  </si>
  <si>
    <t>Сельское хозяйство и рыболовство</t>
  </si>
  <si>
    <t>0408</t>
  </si>
  <si>
    <t>Воздушный транспорт (1120161100)</t>
  </si>
  <si>
    <t>Автомобильный транспорт (1140199990 - район, 4030061100 - поселения)</t>
  </si>
  <si>
    <t>Водный транспорт (1130161100)</t>
  </si>
  <si>
    <t>0409</t>
  </si>
  <si>
    <t>Муниципальная  программа" Развитие транспортной  системы муниципального  образования Октябрьский  район" (11101S2390)</t>
  </si>
  <si>
    <t>Муниципальная  программа" Развитие транспортной  системы муниципального  образования Октябрьский  район"  (1110182390) окружные средства</t>
  </si>
  <si>
    <t>Содержание автомобильных дорог общего пользования (1110199990, 1150182730, 11501S2730)  (дорожный фонд)</t>
  </si>
  <si>
    <t>Основное мероприятие "Внедрение автоматизированных и роботизированных технологий организации дорожного движения и контроля за собдюдением правил дорожного движения". (1150199999)</t>
  </si>
  <si>
    <t>Основное мероприятие "Реализация мероприятий в рамках дорожной деятельности" (0110199990)</t>
  </si>
  <si>
    <t>Реализация  мероприятий  муниципальной  программы "Осуществление поселком городского  типа Октябрьское функций  административного центра  муниципального  образования Октябрьский  район" (1500299990)</t>
  </si>
  <si>
    <t>Основное мероприятие "Закупка товаров, работ и услуг для обеспечения  государственных (муниципальных) нужд" (0100199990)</t>
  </si>
  <si>
    <t>Расходы на реализацию мероприятий (2560199990, 2570199990)</t>
  </si>
  <si>
    <t>Содержание и ремонт автомобильных дорог общего пользования (4030099990) (средства бюджетов поселений)</t>
  </si>
  <si>
    <t>0410</t>
  </si>
  <si>
    <t>Связь и информатика</t>
  </si>
  <si>
    <t>0412</t>
  </si>
  <si>
    <t>Реализация мероприятий муниципальной  программы "Управление  муниципальной  собственностью Октябрьского района" земля (1800299990)</t>
  </si>
  <si>
    <t>Расходы на стимулирование развития жилищного строительства (0910282671, 09102S2671)</t>
  </si>
  <si>
    <t>Реализация мероприятий муниципальной программы "Поддержка малого и среднего предпринимательства в Октябрьском районе" (0800299990, 080I8S2380, 0810199990) местный бюджет</t>
  </si>
  <si>
    <t>Субсидии на государственную поддержку малого и среднего предпринимательства в рамках программы "Поддержка малого и среднего предпринимательства в Октябрьском районе" (081I882380, 082I482380, 082I4S2380) окружной бюджет</t>
  </si>
  <si>
    <t>Осуществление полномочий по государственному управлению охраной труда (1910184120) тс. 01.30.39</t>
  </si>
  <si>
    <t xml:space="preserve">Реализация мероприятий муниципальной программы "Финансовая поддержка субъектов малого и среднего предпринимательства в Октябрьском районе" (0820199990) </t>
  </si>
  <si>
    <t xml:space="preserve">Реализация мероприятий муниципальной программы "Расходы на поддержку  малого и среднего предпринимательства в Октябрьском районе" (081I8S2380, 0820182380, 08201S2380) </t>
  </si>
  <si>
    <t>Осуществление полномочий по государственному управлению охраной труда (1910199990) местный бюджет</t>
  </si>
  <si>
    <t>Реализация мероприятий в рамках непрограммного направления деятельности (4030099990)</t>
  </si>
  <si>
    <t>05</t>
  </si>
  <si>
    <t>Жилищно-коммунальное хозяйство</t>
  </si>
  <si>
    <t>0501</t>
  </si>
  <si>
    <t>Развитие жилищной сферы в муниципальном образовании Октябрьский район" (0910182661, 0910199990, 09101S2661, 091F382661, 091F3S2661, 0910342110) 01.40.04, 01.02.00, 01.00.00</t>
  </si>
  <si>
    <t xml:space="preserve"> "Управление и распоряжение  муниципальным  имуществом муниципального  образования Октябрьский  район" (1800199990)</t>
  </si>
  <si>
    <t>Укрепление материально-технической базы объектов муниципальной собственности (1800742110)</t>
  </si>
  <si>
    <t>Строительство и реконструкция  объектов  муниципальной  собственности (0910342110)</t>
  </si>
  <si>
    <t>Основное мероприятие "Реализация мероприятий обеспечения качественными коммунальными услугами" (1010199990)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</si>
  <si>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бюджета автономного округа (091F367484)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</si>
  <si>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местного бюджета  (091F36748S)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</si>
  <si>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поступивших от гос.корпорации - Фонда содействия реформированию ЖКХ. (091F367483)</t>
  </si>
  <si>
    <t>Основное мероприятие "Повышение эффективности, качества и надежности поставки коммунальных ресурсов (0240199990)</t>
  </si>
  <si>
    <t>Капитальный ремонт жилого фонда 1030142120, 1030199990 (4060099990, 40600S2420,  40600S2430 средства поселений)</t>
  </si>
  <si>
    <t>0502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</si>
  <si>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(предоставление субсидий организациям на теплоснабжение, водоснабжение, водоотведение, услуги бани) (1020161100 т.с 01.00)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</si>
  <si>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(предоставление субсидий организациям в городских поселениях Талинка, Октябрьское) (1020161100 т.с. 01.04)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</si>
  <si>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 (электроснабжение) (10201S2240)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</si>
  <si>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(электроснабжение) (1020182240) окружной бюджет</t>
  </si>
  <si>
    <t>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автономного округа по социально ориентированным тарифам и сжиженного газа по социально-ориентированным розничным ценам в рамках  подпрограммы "Обеспечение  равных  прав потребителей на получение  энергетических  ресурсов" муниципальной  программы "Жилищно-коммунальный комплекс и городская среда в муниципальном образовании Октябрьский район"  (1020184230)</t>
  </si>
  <si>
    <t>Иные  межбюджетные трансферты  на реконструкцию, расширение, модернизацию, строительство и капитальный ремонт объектов коммунального комплекса в рамках подпрограммы "Создание условий для обеспечения качественными коммунальными услугами"  муниципальной  программы "Жилищно-коммунальный комплекс и городская среда в муниципальном образовании Октябрьский район" ОЗП (1010182190, 1010182591, 1010199990, 10101S2190, 10101S2591)</t>
  </si>
  <si>
    <t>Основное мероприятие "Реализация мероприятий обеспечения качественными коммунальными услугами". Расходы на реализацию полномочий в сфере ЖКХ (1010182591, 10101S2591)</t>
  </si>
  <si>
    <t>Повышение эффективности, качества и надежности поставки коммунальных ресурсов (2110199990)</t>
  </si>
  <si>
    <t>Основное мероприятие "Реализация мероприятий обеспечения качественными коммунальными услугами". Реализация мероприятий (0210199990)</t>
  </si>
  <si>
    <t>Основное мероприятие "Реализация мероприятий обеспечения качественными коммунальными услугами".Подпрограмма "Формирование комфортной городской среды" (1050199990)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</si>
  <si>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(40600221400, 4060021410, 4060061100</t>
  </si>
  <si>
    <t>Подготовка к зиме (4060099990)</t>
  </si>
  <si>
    <t>Строительство и реконструкция  объектов  муниципальной  собственности (1010142110)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</si>
  <si>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(4110089020)</t>
  </si>
  <si>
    <t>0503</t>
  </si>
  <si>
    <t>Реализация  мероприятий  муниципальной  программы "Снижение рисков и смягчение последствий чрезвычайных ситуаций природного и техногенного характера на территории Октябрьского  района" (140019990)</t>
  </si>
  <si>
    <t>Реализация  мероприятий  муниципальной  программы "Осуществление поселком городского  типа Октябрьское функций  административного центра  муниципального  образования Октябрьский  район" (1500199990)</t>
  </si>
  <si>
    <t>Иные межбюджетные трансферты на финансирование наказов избирателей депутатам Думы ХМАО-Югры  (4120085160)</t>
  </si>
  <si>
    <t>"Улучшение экологической ситуации на территории Октябрьского района" строительство и реконструкция объектов муниципальной собственности (0600242110)</t>
  </si>
  <si>
    <t>"Улучшение экологической ситуации на территории Октябрьского района"  утилизация  отходов на территории муниципального образования Октябрьский район (0600299990)</t>
  </si>
  <si>
    <t xml:space="preserve">Реализация мероприятий муниципальной программы "Развитие гражданских инициатив" (2200289010) </t>
  </si>
  <si>
    <t>"Улучшение экологической ситуации на территории Октябрьского района"  за счет средств резервного фонда Правительства Ханты-Мансийского автономного округа -Югры(0600285150)</t>
  </si>
  <si>
    <t>Основное мероприятие "Увеличение количества благоустроенных дворовых территорий и мест общего пользования" (1050199990)</t>
  </si>
  <si>
    <t>Расходы по содействию местному самоуправлению в развитии исторических и иных местных традиций в рамках непрограммного направления  деятельности (1640482420) 4060082420, 0100199990 доля поселения 40600S2420</t>
  </si>
  <si>
    <t>Субсидии на формирование современной городской среды (105F255550)</t>
  </si>
  <si>
    <t>Расходы на капитальный ремонт муниципального жилищного фонда (10501S2600, 105F282600)</t>
  </si>
  <si>
    <t>Расходы на благоустройство территорий муниципальных образований (105F2S2600)</t>
  </si>
  <si>
    <t>Увеличение количества благоустроенных дворовых территорий и мест общего пользования (1050199990)</t>
  </si>
  <si>
    <t>Внешнее благоустройство 1060199990 (4060099990)</t>
  </si>
  <si>
    <t>0505</t>
  </si>
  <si>
    <t>Администрирование по жилищному отделу</t>
  </si>
  <si>
    <t>06</t>
  </si>
  <si>
    <t>Охрана окружающей среды</t>
  </si>
  <si>
    <t>0605</t>
  </si>
  <si>
    <t>Другие вопросы в области охраны окружающей среды</t>
  </si>
  <si>
    <t>07</t>
  </si>
  <si>
    <t>Образование</t>
  </si>
  <si>
    <t>0701</t>
  </si>
  <si>
    <t>Дошкольное образование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</si>
  <si>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районе" (0140482030, 01404S2030) 01.40.18 и местн.</t>
  </si>
  <si>
    <t>0702</t>
  </si>
  <si>
    <t>Общее образование</t>
  </si>
  <si>
    <t>Бесплатное питание (0140284030)</t>
  </si>
  <si>
    <t>Расходы на строительство и реконструкцию дошкольных образовательных и общеобразовательных организаций, осуществляющих образовательную деятельность по образовательным программам дошкольного образования (014Р282700, 014Р2S2700)</t>
  </si>
  <si>
    <t>Муниципальная программа  "Развитие образоания в муниципальном образовании Октябрьский район" Расходы на создание в общеобразовательных организациях, расположенных в сельской местности, условий для занятий физ культурой и спортом. (014E250970)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</si>
  <si>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районе" (0140482030) 01.40.18 и местн. 01404S2030</t>
  </si>
  <si>
    <t>0703</t>
  </si>
  <si>
    <t>Дополнительное образование детей</t>
  </si>
  <si>
    <t>0707</t>
  </si>
  <si>
    <t>Молодежная политика  и оздоровление   детей</t>
  </si>
  <si>
    <t>0709</t>
  </si>
  <si>
    <t>Другие вопросы в области  образования</t>
  </si>
  <si>
    <t>08</t>
  </si>
  <si>
    <t>Культура и кинематография</t>
  </si>
  <si>
    <t>0801</t>
  </si>
  <si>
    <t>Культура</t>
  </si>
  <si>
    <t>Подпрограмма "Библиотечное дело" (0310182520, 03101S2520)</t>
  </si>
  <si>
    <t>0802</t>
  </si>
  <si>
    <t>Кинематография</t>
  </si>
  <si>
    <t>0804</t>
  </si>
  <si>
    <t>Другие вопросы в области культуры, кинематографии</t>
  </si>
  <si>
    <t>09</t>
  </si>
  <si>
    <t xml:space="preserve">Здравоохранение </t>
  </si>
  <si>
    <t>0907</t>
  </si>
  <si>
    <t>Дотация по обеспечению  санитарно-эпидемиологической безопасности при подготовке к проведению общероссийского голосования (140W058530)</t>
  </si>
  <si>
    <t>0909</t>
  </si>
  <si>
    <t>Бюджетные инвестиции в объекты капитального строительства государственной собственности субъектов РФ (1800542110)</t>
  </si>
  <si>
    <t>Расходы на организацию мероприятий по проведению дезинсекции и дератизации (1800684280)</t>
  </si>
  <si>
    <t>Социальная политика</t>
  </si>
  <si>
    <t>Пенсионное обеспечение</t>
  </si>
  <si>
    <t>Субвенции на осуществление полномочий по обеспечению жильем отдельных категорий граждан, установленных федеральным законом от 12.01.1995 № 5-ФЗ "О ветеранах" и …" (0920251350) 01.20.04 (09202D1340 01.30.15) 0920251340</t>
  </si>
  <si>
    <t>1003</t>
  </si>
  <si>
    <t>Субсидии на софинансирование мероприятий подпрограммы "Обеспечение жильем молодых семей"  за счет средств бюджета автономного округа (0920251760)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</si>
  <si>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(0140284050) тс 01.30.09</t>
  </si>
  <si>
    <t>Субвенции на предоставление дополнительных мер социальной поддержки детям-сиротам и детям, оставшимся без попечения родителей, а так же лицам из числа детей-сирот и детей, оставшихся без попечения родителей, усыновителям, приемным родителям, патронатных воспитателям и воспитателям детских домов семейного типа в рамках подпрограммы "Дети Югры" государственной программы "Социальная поддержка жителей ХМАО-Югры на 2014-2020 годы" (1310184060)</t>
  </si>
  <si>
    <t>1004</t>
  </si>
  <si>
    <t>Субвенции на 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 - Югры" за счет средств автономного округа (1310184310)</t>
  </si>
  <si>
    <t>Обеспечение жильем молодых семей (09201L4970) 01.40.02, 01.02.00, 01.41.04,</t>
  </si>
  <si>
    <t>Осуществление деятельности отдела по опеке и попечительству</t>
  </si>
  <si>
    <t>Физическая культура и спорт</t>
  </si>
  <si>
    <t>Физическая культура</t>
  </si>
  <si>
    <t>Массовый спорт</t>
  </si>
  <si>
    <t>1103</t>
  </si>
  <si>
    <t>Спорт высших достижений</t>
  </si>
  <si>
    <t>Средства массовой информации</t>
  </si>
  <si>
    <t>1202</t>
  </si>
  <si>
    <t>Периодическая печать и издательства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</si>
  <si>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</si>
  <si>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</si>
  <si>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</t>
  </si>
  <si>
    <t>Дотации на выравнивание  бюджетной обеспеченности субъектов РФ и муниципальных образований</t>
  </si>
  <si>
    <t>Иные дотации</t>
  </si>
  <si>
    <t>Прочие межбюджетные трансферты</t>
  </si>
  <si>
    <t>ИТОГО РАСХОДОВ</t>
  </si>
  <si>
    <t>Председатель Комитета по управлению муниципальными</t>
  </si>
  <si>
    <t>финансами администрации Октябрьского района</t>
  </si>
  <si>
    <t>Куклина Н.Г.</t>
  </si>
  <si>
    <t>Заведующий отделом учета исполнения бюджета</t>
  </si>
  <si>
    <t>Мальгин С.В.</t>
  </si>
  <si>
    <t>Заведующий бюджетным отделом</t>
  </si>
  <si>
    <t>Заворотынская Н.А.</t>
  </si>
  <si>
    <t>Заведующий отделом  доходов</t>
  </si>
  <si>
    <t>Мартюшова О.Г.</t>
  </si>
  <si>
    <t xml:space="preserve">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</si>
</sst>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_-* #,##0.0_р_._-;\-* #,##0.0_р_._-;_-* &quot;-&quot;?_р_._-;_-@_-"/>
    <numFmt numFmtId="167" formatCode="#,##0.00_ ;\-#,##0.00\ 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b/>
      <sz val="9"/>
      <name val="Arial Cyr"/>
      <charset val="204"/>
    </font>
    <font>
      <b/>
      <sz val="9"/>
      <name val="Arial"/>
      <family val="2"/>
    </font>
    <font>
      <sz val="9"/>
      <name val="Arial Cyr"/>
      <charset val="204"/>
    </font>
    <font>
      <sz val="9"/>
      <name val="Arial"/>
      <family val="2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name val="Arial Cyr"/>
      <charset val="204"/>
    </font>
    <font>
      <sz val="10"/>
      <name val="Arial Cyr"/>
    </font>
    <font>
      <b/>
      <sz val="12"/>
      <color indexed="3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Arial Cyr"/>
      <charset val="204"/>
    </font>
    <font>
      <b/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1"/>
      <color indexed="36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3" fillId="0" borderId="0"/>
    <xf numFmtId="0" fontId="30" fillId="0" borderId="0"/>
  </cellStyleXfs>
  <cellXfs count="195">
    <xf numFmtId="0" fontId="0" fillId="0" borderId="0" xfId="0"/>
    <xf numFmtId="0" fontId="0" fillId="0" borderId="0" xfId="0" applyFill="1"/>
    <xf numFmtId="0" fontId="3" fillId="0" borderId="0" xfId="0" applyFont="1" applyFill="1" applyAlignment="1"/>
    <xf numFmtId="0" fontId="4" fillId="0" borderId="0" xfId="0" applyFont="1" applyFill="1" applyAlignment="1"/>
    <xf numFmtId="0" fontId="0" fillId="0" borderId="0" xfId="0" applyFill="1" applyAlignment="1"/>
    <xf numFmtId="0" fontId="0" fillId="0" borderId="0" xfId="0" applyFill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left" vertical="top"/>
    </xf>
    <xf numFmtId="164" fontId="6" fillId="0" borderId="8" xfId="0" applyNumberFormat="1" applyFont="1" applyFill="1" applyBorder="1" applyAlignment="1">
      <alignment horizontal="right" vertical="top"/>
    </xf>
    <xf numFmtId="164" fontId="6" fillId="0" borderId="8" xfId="0" applyNumberFormat="1" applyFont="1" applyFill="1" applyBorder="1" applyAlignment="1">
      <alignment vertical="top"/>
    </xf>
    <xf numFmtId="49" fontId="9" fillId="0" borderId="5" xfId="0" applyNumberFormat="1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vertical="top" wrapText="1"/>
    </xf>
    <xf numFmtId="164" fontId="10" fillId="0" borderId="5" xfId="0" applyNumberFormat="1" applyFont="1" applyFill="1" applyBorder="1" applyAlignment="1">
      <alignment vertical="top" wrapText="1"/>
    </xf>
    <xf numFmtId="164" fontId="8" fillId="0" borderId="5" xfId="0" applyNumberFormat="1" applyFont="1" applyFill="1" applyBorder="1" applyAlignment="1">
      <alignment horizontal="right" vertical="top"/>
    </xf>
    <xf numFmtId="164" fontId="8" fillId="0" borderId="5" xfId="0" applyNumberFormat="1" applyFont="1" applyFill="1" applyBorder="1" applyAlignment="1">
      <alignment vertical="top"/>
    </xf>
    <xf numFmtId="164" fontId="8" fillId="0" borderId="8" xfId="0" applyNumberFormat="1" applyFont="1" applyFill="1" applyBorder="1" applyAlignment="1">
      <alignment vertical="top"/>
    </xf>
    <xf numFmtId="0" fontId="10" fillId="0" borderId="8" xfId="0" applyFont="1" applyFill="1" applyBorder="1" applyAlignment="1">
      <alignment vertical="top" wrapText="1"/>
    </xf>
    <xf numFmtId="164" fontId="10" fillId="0" borderId="8" xfId="0" applyNumberFormat="1" applyFont="1" applyFill="1" applyBorder="1" applyAlignment="1">
      <alignment vertical="top" wrapText="1"/>
    </xf>
    <xf numFmtId="164" fontId="8" fillId="0" borderId="8" xfId="0" applyNumberFormat="1" applyFont="1" applyFill="1" applyBorder="1" applyAlignment="1">
      <alignment horizontal="right" vertical="top"/>
    </xf>
    <xf numFmtId="49" fontId="9" fillId="0" borderId="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>
      <alignment horizontal="center" vertical="top"/>
    </xf>
    <xf numFmtId="49" fontId="9" fillId="0" borderId="8" xfId="0" applyNumberFormat="1" applyFont="1" applyFill="1" applyBorder="1" applyAlignment="1">
      <alignment horizontal="center" vertical="top" wrapText="1"/>
    </xf>
    <xf numFmtId="49" fontId="10" fillId="0" borderId="5" xfId="0" applyNumberFormat="1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vertical="top" wrapText="1"/>
    </xf>
    <xf numFmtId="49" fontId="7" fillId="0" borderId="5" xfId="0" applyNumberFormat="1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vertical="top"/>
    </xf>
    <xf numFmtId="164" fontId="7" fillId="0" borderId="8" xfId="0" applyNumberFormat="1" applyFont="1" applyFill="1" applyBorder="1" applyAlignment="1">
      <alignment horizontal="right" vertical="top" wrapText="1"/>
    </xf>
    <xf numFmtId="164" fontId="6" fillId="0" borderId="5" xfId="0" applyNumberFormat="1" applyFont="1" applyFill="1" applyBorder="1" applyAlignment="1">
      <alignment horizontal="right" vertical="top"/>
    </xf>
    <xf numFmtId="49" fontId="10" fillId="0" borderId="5" xfId="0" applyNumberFormat="1" applyFont="1" applyFill="1" applyBorder="1" applyAlignment="1">
      <alignment vertical="top" wrapText="1"/>
    </xf>
    <xf numFmtId="0" fontId="10" fillId="0" borderId="8" xfId="0" applyFont="1" applyFill="1" applyBorder="1" applyAlignment="1">
      <alignment horizontal="justify" vertical="top" wrapText="1"/>
    </xf>
    <xf numFmtId="164" fontId="10" fillId="0" borderId="8" xfId="0" applyNumberFormat="1" applyFont="1" applyFill="1" applyBorder="1" applyAlignment="1">
      <alignment horizontal="right" vertical="top" wrapText="1"/>
    </xf>
    <xf numFmtId="0" fontId="10" fillId="0" borderId="8" xfId="0" applyFont="1" applyFill="1" applyBorder="1" applyAlignment="1">
      <alignment vertical="top"/>
    </xf>
    <xf numFmtId="164" fontId="10" fillId="0" borderId="8" xfId="0" applyNumberFormat="1" applyFont="1" applyFill="1" applyBorder="1" applyAlignment="1">
      <alignment vertical="top"/>
    </xf>
    <xf numFmtId="0" fontId="10" fillId="0" borderId="9" xfId="0" applyFont="1" applyFill="1" applyBorder="1" applyAlignment="1">
      <alignment vertical="top" wrapText="1" shrinkToFit="1"/>
    </xf>
    <xf numFmtId="164" fontId="10" fillId="0" borderId="8" xfId="0" applyNumberFormat="1" applyFont="1" applyFill="1" applyBorder="1" applyAlignment="1">
      <alignment vertical="top" wrapText="1" shrinkToFit="1"/>
    </xf>
    <xf numFmtId="0" fontId="7" fillId="0" borderId="9" xfId="0" applyFont="1" applyFill="1" applyBorder="1" applyAlignment="1">
      <alignment horizontal="center" vertical="top" wrapText="1"/>
    </xf>
    <xf numFmtId="164" fontId="8" fillId="0" borderId="2" xfId="0" applyNumberFormat="1" applyFont="1" applyFill="1" applyBorder="1" applyAlignment="1">
      <alignment horizontal="right" vertical="top"/>
    </xf>
    <xf numFmtId="0" fontId="4" fillId="0" borderId="5" xfId="0" applyFont="1" applyFill="1" applyBorder="1" applyAlignment="1">
      <alignment horizontal="left" vertical="top"/>
    </xf>
    <xf numFmtId="164" fontId="10" fillId="0" borderId="9" xfId="0" applyNumberFormat="1" applyFont="1" applyFill="1" applyBorder="1" applyAlignment="1">
      <alignment vertical="top" wrapText="1"/>
    </xf>
    <xf numFmtId="164" fontId="6" fillId="0" borderId="3" xfId="0" applyNumberFormat="1" applyFont="1" applyFill="1" applyBorder="1" applyAlignment="1">
      <alignment vertical="top"/>
    </xf>
    <xf numFmtId="49" fontId="10" fillId="0" borderId="8" xfId="0" applyNumberFormat="1" applyFont="1" applyFill="1" applyBorder="1" applyAlignment="1">
      <alignment horizontal="center" vertical="top" wrapText="1"/>
    </xf>
    <xf numFmtId="164" fontId="10" fillId="0" borderId="8" xfId="0" applyNumberFormat="1" applyFont="1" applyFill="1" applyBorder="1" applyAlignment="1">
      <alignment horizontal="right" vertical="top" wrapText="1" shrinkToFit="1"/>
    </xf>
    <xf numFmtId="0" fontId="7" fillId="0" borderId="0" xfId="0" applyFont="1" applyFill="1" applyBorder="1" applyAlignment="1">
      <alignment horizontal="center" vertical="top" wrapText="1"/>
    </xf>
    <xf numFmtId="164" fontId="6" fillId="0" borderId="2" xfId="0" applyNumberFormat="1" applyFont="1" applyFill="1" applyBorder="1" applyAlignment="1">
      <alignment vertical="top"/>
    </xf>
    <xf numFmtId="164" fontId="10" fillId="0" borderId="5" xfId="0" applyNumberFormat="1" applyFont="1" applyFill="1" applyBorder="1" applyAlignment="1">
      <alignment horizontal="right" vertical="top" wrapText="1"/>
    </xf>
    <xf numFmtId="164" fontId="7" fillId="0" borderId="6" xfId="0" applyNumberFormat="1" applyFont="1" applyFill="1" applyBorder="1" applyAlignment="1">
      <alignment horizontal="right" vertical="top" wrapText="1"/>
    </xf>
    <xf numFmtId="164" fontId="10" fillId="0" borderId="8" xfId="0" applyNumberFormat="1" applyFont="1" applyFill="1" applyBorder="1" applyAlignment="1">
      <alignment horizontal="right" vertical="top"/>
    </xf>
    <xf numFmtId="0" fontId="10" fillId="0" borderId="6" xfId="0" applyFont="1" applyFill="1" applyBorder="1" applyAlignment="1">
      <alignment vertical="top" wrapText="1"/>
    </xf>
    <xf numFmtId="164" fontId="7" fillId="0" borderId="8" xfId="0" applyNumberFormat="1" applyFont="1" applyFill="1" applyBorder="1" applyAlignment="1">
      <alignment vertical="top" wrapText="1"/>
    </xf>
    <xf numFmtId="49" fontId="10" fillId="0" borderId="8" xfId="0" applyNumberFormat="1" applyFont="1" applyFill="1" applyBorder="1" applyAlignment="1">
      <alignment vertical="top" wrapText="1"/>
    </xf>
    <xf numFmtId="165" fontId="8" fillId="0" borderId="8" xfId="0" applyNumberFormat="1" applyFont="1" applyFill="1" applyBorder="1" applyAlignment="1">
      <alignment vertical="top"/>
    </xf>
    <xf numFmtId="164" fontId="9" fillId="0" borderId="8" xfId="0" applyNumberFormat="1" applyFont="1" applyFill="1" applyBorder="1" applyAlignment="1">
      <alignment horizontal="right" vertical="top" wrapText="1"/>
    </xf>
    <xf numFmtId="49" fontId="15" fillId="0" borderId="0" xfId="2" applyNumberFormat="1" applyFont="1" applyAlignment="1">
      <alignment horizontal="center" vertical="center" wrapText="1"/>
    </xf>
    <xf numFmtId="0" fontId="15" fillId="0" borderId="0" xfId="2" applyNumberFormat="1" applyFont="1" applyAlignment="1">
      <alignment horizontal="left" vertical="center" wrapText="1"/>
    </xf>
    <xf numFmtId="166" fontId="16" fillId="2" borderId="0" xfId="2" applyNumberFormat="1" applyFont="1" applyFill="1" applyAlignment="1">
      <alignment horizontal="center" vertical="center" wrapText="1"/>
    </xf>
    <xf numFmtId="166" fontId="17" fillId="2" borderId="0" xfId="2" applyNumberFormat="1" applyFont="1" applyFill="1" applyBorder="1" applyAlignment="1">
      <alignment horizontal="center" vertical="center" wrapText="1"/>
    </xf>
    <xf numFmtId="166" fontId="17" fillId="0" borderId="0" xfId="2" applyNumberFormat="1" applyFont="1" applyFill="1" applyAlignment="1">
      <alignment horizontal="center" vertical="center" wrapText="1"/>
    </xf>
    <xf numFmtId="166" fontId="17" fillId="2" borderId="0" xfId="0" applyNumberFormat="1" applyFont="1" applyFill="1" applyAlignment="1">
      <alignment horizontal="center" vertical="center" wrapText="1"/>
    </xf>
    <xf numFmtId="166" fontId="17" fillId="0" borderId="0" xfId="0" applyNumberFormat="1" applyFont="1" applyAlignment="1">
      <alignment horizontal="center" vertical="center" wrapText="1"/>
    </xf>
    <xf numFmtId="166" fontId="18" fillId="0" borderId="0" xfId="0" applyNumberFormat="1" applyFont="1" applyFill="1" applyAlignment="1">
      <alignment horizontal="center" vertical="center" wrapText="1"/>
    </xf>
    <xf numFmtId="166" fontId="17" fillId="0" borderId="0" xfId="0" applyNumberFormat="1" applyFont="1" applyFill="1" applyAlignment="1">
      <alignment horizontal="center" vertical="center" wrapText="1"/>
    </xf>
    <xf numFmtId="166" fontId="18" fillId="2" borderId="0" xfId="0" applyNumberFormat="1" applyFont="1" applyFill="1" applyAlignment="1">
      <alignment horizontal="center" vertical="center" wrapText="1"/>
    </xf>
    <xf numFmtId="166" fontId="18" fillId="0" borderId="0" xfId="0" applyNumberFormat="1" applyFont="1" applyAlignment="1">
      <alignment horizontal="center" vertical="center" wrapText="1"/>
    </xf>
    <xf numFmtId="49" fontId="19" fillId="0" borderId="17" xfId="2" applyNumberFormat="1" applyFont="1" applyBorder="1" applyAlignment="1">
      <alignment horizontal="center" vertical="center" wrapText="1"/>
    </xf>
    <xf numFmtId="0" fontId="27" fillId="0" borderId="8" xfId="2" applyNumberFormat="1" applyFont="1" applyFill="1" applyBorder="1" applyAlignment="1">
      <alignment horizontal="center" vertical="center" wrapText="1"/>
    </xf>
    <xf numFmtId="0" fontId="19" fillId="0" borderId="8" xfId="2" applyNumberFormat="1" applyFont="1" applyFill="1" applyBorder="1" applyAlignment="1">
      <alignment horizontal="center" vertical="center" wrapText="1"/>
    </xf>
    <xf numFmtId="0" fontId="27" fillId="0" borderId="18" xfId="2" applyNumberFormat="1" applyFont="1" applyFill="1" applyBorder="1" applyAlignment="1">
      <alignment horizontal="center" vertical="center" wrapText="1"/>
    </xf>
    <xf numFmtId="49" fontId="27" fillId="4" borderId="17" xfId="2" quotePrefix="1" applyNumberFormat="1" applyFont="1" applyFill="1" applyBorder="1" applyAlignment="1">
      <alignment horizontal="center" vertical="center" wrapText="1"/>
    </xf>
    <xf numFmtId="0" fontId="27" fillId="4" borderId="8" xfId="2" applyNumberFormat="1" applyFont="1" applyFill="1" applyBorder="1" applyAlignment="1">
      <alignment horizontal="left" vertical="center" wrapText="1"/>
    </xf>
    <xf numFmtId="166" fontId="21" fillId="4" borderId="8" xfId="2" applyNumberFormat="1" applyFont="1" applyFill="1" applyBorder="1" applyAlignment="1">
      <alignment horizontal="center" vertical="center" wrapText="1"/>
    </xf>
    <xf numFmtId="166" fontId="20" fillId="4" borderId="8" xfId="0" applyNumberFormat="1" applyFont="1" applyFill="1" applyBorder="1" applyAlignment="1">
      <alignment horizontal="center" vertical="center" wrapText="1"/>
    </xf>
    <xf numFmtId="166" fontId="21" fillId="4" borderId="18" xfId="0" applyNumberFormat="1" applyFont="1" applyFill="1" applyBorder="1" applyAlignment="1">
      <alignment horizontal="center" vertical="center" wrapText="1"/>
    </xf>
    <xf numFmtId="49" fontId="19" fillId="0" borderId="17" xfId="2" quotePrefix="1" applyNumberFormat="1" applyFont="1" applyFill="1" applyBorder="1" applyAlignment="1">
      <alignment horizontal="center" vertical="center" wrapText="1"/>
    </xf>
    <xf numFmtId="0" fontId="19" fillId="0" borderId="8" xfId="2" applyNumberFormat="1" applyFont="1" applyFill="1" applyBorder="1" applyAlignment="1">
      <alignment horizontal="left" vertical="center" wrapText="1"/>
    </xf>
    <xf numFmtId="166" fontId="20" fillId="2" borderId="8" xfId="2" applyNumberFormat="1" applyFont="1" applyFill="1" applyBorder="1" applyAlignment="1">
      <alignment horizontal="center" vertical="center" wrapText="1"/>
    </xf>
    <xf numFmtId="166" fontId="20" fillId="0" borderId="8" xfId="2" applyNumberFormat="1" applyFont="1" applyFill="1" applyBorder="1" applyAlignment="1">
      <alignment horizontal="center" vertical="center" wrapText="1"/>
    </xf>
    <xf numFmtId="166" fontId="20" fillId="2" borderId="8" xfId="0" applyNumberFormat="1" applyFont="1" applyFill="1" applyBorder="1" applyAlignment="1">
      <alignment horizontal="center" vertical="center" wrapText="1"/>
    </xf>
    <xf numFmtId="166" fontId="20" fillId="0" borderId="8" xfId="0" applyNumberFormat="1" applyFont="1" applyFill="1" applyBorder="1" applyAlignment="1">
      <alignment horizontal="center" vertical="center" wrapText="1"/>
    </xf>
    <xf numFmtId="166" fontId="28" fillId="5" borderId="8" xfId="0" applyNumberFormat="1" applyFont="1" applyFill="1" applyBorder="1" applyAlignment="1">
      <alignment horizontal="center" vertical="center" wrapText="1"/>
    </xf>
    <xf numFmtId="166" fontId="28" fillId="3" borderId="8" xfId="0" applyNumberFormat="1" applyFont="1" applyFill="1" applyBorder="1" applyAlignment="1">
      <alignment horizontal="center" vertical="center" wrapText="1"/>
    </xf>
    <xf numFmtId="166" fontId="21" fillId="2" borderId="8" xfId="0" applyNumberFormat="1" applyFont="1" applyFill="1" applyBorder="1" applyAlignment="1">
      <alignment horizontal="center" vertical="center" wrapText="1"/>
    </xf>
    <xf numFmtId="166" fontId="21" fillId="0" borderId="18" xfId="0" applyNumberFormat="1" applyFont="1" applyFill="1" applyBorder="1" applyAlignment="1">
      <alignment horizontal="center" vertical="center" wrapText="1"/>
    </xf>
    <xf numFmtId="49" fontId="19" fillId="0" borderId="17" xfId="2" applyNumberFormat="1" applyFont="1" applyFill="1" applyBorder="1" applyAlignment="1">
      <alignment horizontal="center" vertical="center" wrapText="1"/>
    </xf>
    <xf numFmtId="166" fontId="29" fillId="3" borderId="8" xfId="0" applyNumberFormat="1" applyFont="1" applyFill="1" applyBorder="1" applyAlignment="1">
      <alignment horizontal="center" vertical="center" wrapText="1"/>
    </xf>
    <xf numFmtId="166" fontId="20" fillId="4" borderId="8" xfId="2" applyNumberFormat="1" applyFont="1" applyFill="1" applyBorder="1" applyAlignment="1">
      <alignment horizontal="center" vertical="center" wrapText="1"/>
    </xf>
    <xf numFmtId="166" fontId="21" fillId="4" borderId="18" xfId="2" applyNumberFormat="1" applyFont="1" applyFill="1" applyBorder="1" applyAlignment="1">
      <alignment horizontal="center" vertical="center" wrapText="1"/>
    </xf>
    <xf numFmtId="0" fontId="27" fillId="4" borderId="2" xfId="2" applyNumberFormat="1" applyFont="1" applyFill="1" applyBorder="1" applyAlignment="1">
      <alignment vertical="center" wrapText="1"/>
    </xf>
    <xf numFmtId="166" fontId="21" fillId="4" borderId="2" xfId="2" applyNumberFormat="1" applyFont="1" applyFill="1" applyBorder="1" applyAlignment="1">
      <alignment vertical="center" wrapText="1"/>
    </xf>
    <xf numFmtId="166" fontId="21" fillId="4" borderId="2" xfId="2" applyNumberFormat="1" applyFont="1" applyFill="1" applyBorder="1" applyAlignment="1">
      <alignment horizontal="center" wrapText="1"/>
    </xf>
    <xf numFmtId="49" fontId="19" fillId="2" borderId="17" xfId="2" quotePrefix="1" applyNumberFormat="1" applyFont="1" applyFill="1" applyBorder="1" applyAlignment="1">
      <alignment horizontal="center" vertical="center" wrapText="1"/>
    </xf>
    <xf numFmtId="0" fontId="19" fillId="6" borderId="8" xfId="2" applyNumberFormat="1" applyFont="1" applyFill="1" applyBorder="1" applyAlignment="1">
      <alignment horizontal="left" vertical="center" wrapText="1"/>
    </xf>
    <xf numFmtId="0" fontId="20" fillId="0" borderId="8" xfId="3" applyNumberFormat="1" applyFont="1" applyFill="1" applyBorder="1" applyAlignment="1" applyProtection="1">
      <alignment horizontal="left" vertical="center" wrapText="1"/>
      <protection hidden="1"/>
    </xf>
    <xf numFmtId="166" fontId="21" fillId="4" borderId="8" xfId="0" applyNumberFormat="1" applyFont="1" applyFill="1" applyBorder="1" applyAlignment="1">
      <alignment horizontal="center" vertical="center" wrapText="1"/>
    </xf>
    <xf numFmtId="0" fontId="31" fillId="0" borderId="8" xfId="2" applyNumberFormat="1" applyFont="1" applyFill="1" applyBorder="1" applyAlignment="1">
      <alignment horizontal="left" vertical="center" wrapText="1"/>
    </xf>
    <xf numFmtId="2" fontId="21" fillId="0" borderId="18" xfId="0" applyNumberFormat="1" applyFont="1" applyFill="1" applyBorder="1" applyAlignment="1">
      <alignment horizontal="center" vertical="center" wrapText="1"/>
    </xf>
    <xf numFmtId="49" fontId="20" fillId="0" borderId="17" xfId="2" applyNumberFormat="1" applyFont="1" applyFill="1" applyBorder="1" applyAlignment="1">
      <alignment horizontal="center" vertical="center" wrapText="1"/>
    </xf>
    <xf numFmtId="0" fontId="20" fillId="0" borderId="8" xfId="2" applyNumberFormat="1" applyFont="1" applyFill="1" applyBorder="1" applyAlignment="1">
      <alignment horizontal="left" vertical="center" wrapText="1"/>
    </xf>
    <xf numFmtId="0" fontId="19" fillId="2" borderId="8" xfId="2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 wrapText="1"/>
    </xf>
    <xf numFmtId="165" fontId="21" fillId="0" borderId="18" xfId="0" applyNumberFormat="1" applyFont="1" applyFill="1" applyBorder="1" applyAlignment="1">
      <alignment horizontal="center" vertical="center" wrapText="1"/>
    </xf>
    <xf numFmtId="49" fontId="27" fillId="4" borderId="17" xfId="2" applyNumberFormat="1" applyFont="1" applyFill="1" applyBorder="1" applyAlignment="1">
      <alignment horizontal="center" vertical="center" wrapText="1"/>
    </xf>
    <xf numFmtId="0" fontId="27" fillId="4" borderId="8" xfId="0" applyNumberFormat="1" applyFont="1" applyFill="1" applyBorder="1" applyAlignment="1">
      <alignment horizontal="left" vertical="center" wrapText="1"/>
    </xf>
    <xf numFmtId="165" fontId="21" fillId="4" borderId="18" xfId="0" applyNumberFormat="1" applyFont="1" applyFill="1" applyBorder="1" applyAlignment="1">
      <alignment horizontal="center" vertical="center" wrapText="1"/>
    </xf>
    <xf numFmtId="0" fontId="19" fillId="0" borderId="8" xfId="0" applyNumberFormat="1" applyFont="1" applyFill="1" applyBorder="1" applyAlignment="1">
      <alignment horizontal="left" vertical="center" wrapText="1"/>
    </xf>
    <xf numFmtId="166" fontId="21" fillId="2" borderId="18" xfId="0" applyNumberFormat="1" applyFont="1" applyFill="1" applyBorder="1" applyAlignment="1">
      <alignment horizontal="center" vertical="center" wrapText="1"/>
    </xf>
    <xf numFmtId="166" fontId="20" fillId="7" borderId="8" xfId="0" applyNumberFormat="1" applyFont="1" applyFill="1" applyBorder="1" applyAlignment="1">
      <alignment horizontal="center" vertical="center" wrapText="1"/>
    </xf>
    <xf numFmtId="166" fontId="28" fillId="3" borderId="8" xfId="2" applyNumberFormat="1" applyFont="1" applyFill="1" applyBorder="1" applyAlignment="1">
      <alignment horizontal="center" vertical="center" wrapText="1"/>
    </xf>
    <xf numFmtId="166" fontId="21" fillId="4" borderId="20" xfId="2" applyNumberFormat="1" applyFont="1" applyFill="1" applyBorder="1" applyAlignment="1">
      <alignment horizontal="center" vertical="center" wrapText="1"/>
    </xf>
    <xf numFmtId="166" fontId="21" fillId="4" borderId="20" xfId="0" applyNumberFormat="1" applyFont="1" applyFill="1" applyBorder="1" applyAlignment="1">
      <alignment horizontal="center" vertical="center" wrapText="1"/>
    </xf>
    <xf numFmtId="166" fontId="20" fillId="4" borderId="20" xfId="2" applyNumberFormat="1" applyFont="1" applyFill="1" applyBorder="1" applyAlignment="1">
      <alignment horizontal="center" vertical="center" wrapText="1"/>
    </xf>
    <xf numFmtId="166" fontId="21" fillId="4" borderId="21" xfId="0" applyNumberFormat="1" applyFont="1" applyFill="1" applyBorder="1" applyAlignment="1">
      <alignment horizontal="center" vertical="center" wrapText="1"/>
    </xf>
    <xf numFmtId="49" fontId="15" fillId="0" borderId="0" xfId="2" applyNumberFormat="1" applyFont="1" applyFill="1" applyBorder="1" applyAlignment="1">
      <alignment horizontal="center" vertical="center" wrapText="1"/>
    </xf>
    <xf numFmtId="0" fontId="15" fillId="0" borderId="0" xfId="2" applyNumberFormat="1" applyFont="1" applyFill="1" applyBorder="1" applyAlignment="1">
      <alignment horizontal="left" vertical="center" wrapText="1"/>
    </xf>
    <xf numFmtId="167" fontId="16" fillId="2" borderId="0" xfId="2" applyNumberFormat="1" applyFont="1" applyFill="1" applyBorder="1" applyAlignment="1">
      <alignment horizontal="center" vertical="center" wrapText="1"/>
    </xf>
    <xf numFmtId="166" fontId="18" fillId="0" borderId="0" xfId="2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left" vertical="center" wrapText="1"/>
    </xf>
    <xf numFmtId="166" fontId="33" fillId="2" borderId="0" xfId="0" applyNumberFormat="1" applyFont="1" applyFill="1" applyAlignment="1">
      <alignment horizontal="center" vertical="center" wrapText="1"/>
    </xf>
    <xf numFmtId="166" fontId="33" fillId="0" borderId="0" xfId="0" applyNumberFormat="1" applyFont="1" applyAlignment="1">
      <alignment horizontal="center" vertical="center" wrapText="1"/>
    </xf>
    <xf numFmtId="166" fontId="33" fillId="2" borderId="9" xfId="2" applyNumberFormat="1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right" vertical="center" wrapText="1"/>
    </xf>
    <xf numFmtId="0" fontId="31" fillId="0" borderId="0" xfId="2" applyNumberFormat="1" applyFont="1" applyFill="1" applyBorder="1" applyAlignment="1">
      <alignment horizontal="left" vertical="center" wrapText="1"/>
    </xf>
    <xf numFmtId="166" fontId="34" fillId="2" borderId="0" xfId="2" applyNumberFormat="1" applyFont="1" applyFill="1" applyBorder="1" applyAlignment="1">
      <alignment horizontal="center" vertical="center" wrapText="1"/>
    </xf>
    <xf numFmtId="166" fontId="33" fillId="2" borderId="0" xfId="2" applyNumberFormat="1" applyFont="1" applyFill="1" applyBorder="1" applyAlignment="1">
      <alignment horizontal="center" vertical="center" wrapText="1"/>
    </xf>
    <xf numFmtId="166" fontId="33" fillId="0" borderId="0" xfId="0" applyNumberFormat="1" applyFont="1" applyFill="1" applyBorder="1" applyAlignment="1">
      <alignment horizontal="left" vertical="center" wrapText="1"/>
    </xf>
    <xf numFmtId="166" fontId="33" fillId="2" borderId="0" xfId="0" applyNumberFormat="1" applyFont="1" applyFill="1" applyAlignment="1">
      <alignment horizontal="left" vertical="center" wrapText="1"/>
    </xf>
    <xf numFmtId="166" fontId="33" fillId="2" borderId="9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 applyBorder="1" applyAlignment="1">
      <alignment horizontal="left" vertical="center" wrapText="1"/>
    </xf>
    <xf numFmtId="166" fontId="34" fillId="2" borderId="0" xfId="0" applyNumberFormat="1" applyFont="1" applyFill="1" applyBorder="1" applyAlignment="1">
      <alignment horizontal="center" vertical="center" wrapText="1"/>
    </xf>
    <xf numFmtId="166" fontId="33" fillId="2" borderId="0" xfId="0" applyNumberFormat="1" applyFont="1" applyFill="1" applyBorder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 wrapText="1"/>
    </xf>
    <xf numFmtId="0" fontId="33" fillId="0" borderId="0" xfId="0" applyFont="1" applyAlignment="1">
      <alignment horizontal="left" vertical="center" wrapText="1"/>
    </xf>
    <xf numFmtId="166" fontId="34" fillId="2" borderId="0" xfId="0" applyNumberFormat="1" applyFont="1" applyFill="1" applyAlignment="1">
      <alignment horizontal="center" vertical="center" wrapText="1"/>
    </xf>
    <xf numFmtId="166" fontId="33" fillId="0" borderId="0" xfId="0" applyNumberFormat="1" applyFont="1" applyFill="1" applyAlignment="1">
      <alignment horizontal="center" vertical="center" wrapText="1"/>
    </xf>
    <xf numFmtId="0" fontId="12" fillId="0" borderId="0" xfId="0" applyFont="1"/>
    <xf numFmtId="0" fontId="33" fillId="2" borderId="0" xfId="0" applyFont="1" applyFill="1" applyAlignment="1">
      <alignment horizontal="right"/>
    </xf>
    <xf numFmtId="0" fontId="12" fillId="2" borderId="9" xfId="0" applyFont="1" applyFill="1" applyBorder="1"/>
    <xf numFmtId="0" fontId="33" fillId="0" borderId="0" xfId="0" applyFont="1"/>
    <xf numFmtId="0" fontId="12" fillId="2" borderId="0" xfId="0" applyFont="1" applyFill="1"/>
    <xf numFmtId="0" fontId="0" fillId="2" borderId="0" xfId="0" applyFill="1"/>
    <xf numFmtId="0" fontId="0" fillId="0" borderId="0" xfId="0" applyFont="1"/>
    <xf numFmtId="4" fontId="8" fillId="0" borderId="0" xfId="0" applyNumberFormat="1" applyFont="1"/>
    <xf numFmtId="43" fontId="0" fillId="0" borderId="0" xfId="0" applyNumberFormat="1"/>
    <xf numFmtId="43" fontId="0" fillId="0" borderId="0" xfId="0" applyNumberFormat="1" applyFont="1"/>
    <xf numFmtId="166" fontId="16" fillId="2" borderId="0" xfId="0" applyNumberFormat="1" applyFont="1" applyFill="1" applyBorder="1" applyAlignment="1">
      <alignment horizontal="center" vertical="center" wrapText="1"/>
    </xf>
    <xf numFmtId="166" fontId="17" fillId="2" borderId="0" xfId="0" applyNumberFormat="1" applyFont="1" applyFill="1" applyBorder="1" applyAlignment="1">
      <alignment horizontal="center" vertical="center" wrapText="1"/>
    </xf>
    <xf numFmtId="166" fontId="18" fillId="2" borderId="0" xfId="2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/>
    </xf>
    <xf numFmtId="49" fontId="9" fillId="0" borderId="1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/>
    </xf>
    <xf numFmtId="44" fontId="9" fillId="0" borderId="1" xfId="1" applyFont="1" applyFill="1" applyBorder="1" applyAlignment="1">
      <alignment horizontal="center" vertical="top" wrapText="1"/>
    </xf>
    <xf numFmtId="44" fontId="9" fillId="0" borderId="10" xfId="1" applyFont="1" applyFill="1" applyBorder="1" applyAlignment="1">
      <alignment horizontal="center" vertical="top" wrapText="1"/>
    </xf>
    <xf numFmtId="0" fontId="14" fillId="0" borderId="0" xfId="2" applyNumberFormat="1" applyFont="1" applyAlignment="1">
      <alignment horizontal="center" vertical="center" wrapText="1"/>
    </xf>
    <xf numFmtId="49" fontId="19" fillId="0" borderId="12" xfId="2" applyNumberFormat="1" applyFont="1" applyBorder="1" applyAlignment="1">
      <alignment horizontal="center" vertical="center" wrapText="1"/>
    </xf>
    <xf numFmtId="49" fontId="19" fillId="0" borderId="17" xfId="2" applyNumberFormat="1" applyFont="1" applyBorder="1" applyAlignment="1">
      <alignment horizontal="center" vertical="center" wrapText="1"/>
    </xf>
    <xf numFmtId="0" fontId="19" fillId="0" borderId="13" xfId="2" applyNumberFormat="1" applyFont="1" applyBorder="1" applyAlignment="1">
      <alignment horizontal="center" vertical="center" wrapText="1"/>
    </xf>
    <xf numFmtId="0" fontId="19" fillId="0" borderId="8" xfId="2" applyNumberFormat="1" applyFont="1" applyBorder="1" applyAlignment="1">
      <alignment horizontal="center" vertical="center" wrapText="1"/>
    </xf>
    <xf numFmtId="166" fontId="20" fillId="0" borderId="13" xfId="2" applyNumberFormat="1" applyFont="1" applyFill="1" applyBorder="1" applyAlignment="1">
      <alignment horizontal="center" vertical="center" wrapText="1"/>
    </xf>
    <xf numFmtId="166" fontId="20" fillId="0" borderId="13" xfId="0" applyNumberFormat="1" applyFont="1" applyBorder="1" applyAlignment="1">
      <alignment horizontal="center" vertical="center" wrapText="1"/>
    </xf>
    <xf numFmtId="166" fontId="21" fillId="0" borderId="14" xfId="0" applyNumberFormat="1" applyFont="1" applyFill="1" applyBorder="1" applyAlignment="1">
      <alignment horizontal="center" vertical="center" wrapText="1"/>
    </xf>
    <xf numFmtId="166" fontId="21" fillId="0" borderId="15" xfId="0" applyNumberFormat="1" applyFont="1" applyFill="1" applyBorder="1" applyAlignment="1">
      <alignment horizontal="center" vertical="center" wrapText="1"/>
    </xf>
    <xf numFmtId="166" fontId="21" fillId="0" borderId="16" xfId="0" applyNumberFormat="1" applyFont="1" applyFill="1" applyBorder="1" applyAlignment="1">
      <alignment horizontal="center" vertical="center" wrapText="1"/>
    </xf>
    <xf numFmtId="166" fontId="20" fillId="2" borderId="8" xfId="2" applyNumberFormat="1" applyFont="1" applyFill="1" applyBorder="1" applyAlignment="1">
      <alignment horizontal="center" vertical="center" wrapText="1"/>
    </xf>
    <xf numFmtId="166" fontId="20" fillId="2" borderId="8" xfId="0" applyNumberFormat="1" applyFont="1" applyFill="1" applyBorder="1" applyAlignment="1">
      <alignment horizontal="center" vertical="center" wrapText="1"/>
    </xf>
    <xf numFmtId="166" fontId="20" fillId="0" borderId="8" xfId="2" applyNumberFormat="1" applyFont="1" applyFill="1" applyBorder="1" applyAlignment="1">
      <alignment horizontal="center" vertical="center" wrapText="1"/>
    </xf>
    <xf numFmtId="166" fontId="26" fillId="0" borderId="8" xfId="0" applyNumberFormat="1" applyFont="1" applyBorder="1" applyAlignment="1">
      <alignment horizontal="center" vertical="center"/>
    </xf>
    <xf numFmtId="0" fontId="31" fillId="0" borderId="0" xfId="2" applyNumberFormat="1" applyFont="1" applyFill="1" applyBorder="1" applyAlignment="1">
      <alignment horizontal="right" vertical="center" wrapText="1"/>
    </xf>
    <xf numFmtId="166" fontId="20" fillId="0" borderId="8" xfId="2" applyNumberFormat="1" applyFont="1" applyBorder="1" applyAlignment="1">
      <alignment horizontal="center" vertical="center" wrapText="1"/>
    </xf>
    <xf numFmtId="166" fontId="20" fillId="0" borderId="8" xfId="0" applyNumberFormat="1" applyFont="1" applyBorder="1" applyAlignment="1">
      <alignment horizontal="center" vertical="center" wrapText="1"/>
    </xf>
    <xf numFmtId="166" fontId="22" fillId="3" borderId="8" xfId="0" applyNumberFormat="1" applyFont="1" applyFill="1" applyBorder="1" applyAlignment="1">
      <alignment horizontal="center" vertical="center" wrapText="1"/>
    </xf>
    <xf numFmtId="166" fontId="21" fillId="2" borderId="8" xfId="2" applyNumberFormat="1" applyFont="1" applyFill="1" applyBorder="1" applyAlignment="1">
      <alignment horizontal="center" vertical="center" wrapText="1"/>
    </xf>
    <xf numFmtId="166" fontId="21" fillId="0" borderId="18" xfId="2" applyNumberFormat="1" applyFont="1" applyBorder="1" applyAlignment="1">
      <alignment horizontal="center" vertical="center" wrapText="1"/>
    </xf>
    <xf numFmtId="166" fontId="21" fillId="0" borderId="18" xfId="0" applyNumberFormat="1" applyFont="1" applyBorder="1" applyAlignment="1">
      <alignment horizontal="center" vertical="center" wrapText="1"/>
    </xf>
    <xf numFmtId="0" fontId="0" fillId="0" borderId="0" xfId="0"/>
    <xf numFmtId="0" fontId="32" fillId="4" borderId="19" xfId="2" applyNumberFormat="1" applyFont="1" applyFill="1" applyBorder="1" applyAlignment="1">
      <alignment horizontal="center" vertical="center" wrapText="1"/>
    </xf>
    <xf numFmtId="0" fontId="32" fillId="4" borderId="20" xfId="2" applyNumberFormat="1" applyFont="1" applyFill="1" applyBorder="1" applyAlignment="1">
      <alignment horizontal="center" vertical="center" wrapText="1"/>
    </xf>
    <xf numFmtId="166" fontId="21" fillId="0" borderId="8" xfId="2" applyNumberFormat="1" applyFont="1" applyFill="1" applyBorder="1" applyAlignment="1">
      <alignment horizontal="center" vertical="center" wrapText="1"/>
    </xf>
    <xf numFmtId="166" fontId="21" fillId="0" borderId="8" xfId="0" applyNumberFormat="1" applyFont="1" applyBorder="1" applyAlignment="1">
      <alignment horizontal="center" vertical="center" wrapText="1"/>
    </xf>
    <xf numFmtId="166" fontId="33" fillId="0" borderId="0" xfId="2" applyNumberFormat="1" applyFont="1" applyFill="1" applyBorder="1" applyAlignment="1">
      <alignment horizontal="left" vertical="center" wrapText="1"/>
    </xf>
  </cellXfs>
  <cellStyles count="4">
    <cellStyle name="Денежный" xfId="1" builtinId="4"/>
    <cellStyle name="Обычный" xfId="0" builtinId="0"/>
    <cellStyle name="Обычный_Tmp7" xfId="3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5"/>
  <sheetViews>
    <sheetView topLeftCell="A112" workbookViewId="0">
      <selection activeCell="O239" sqref="O239"/>
    </sheetView>
  </sheetViews>
  <sheetFormatPr defaultRowHeight="15" x14ac:dyDescent="0.25"/>
  <cols>
    <col min="1" max="1" width="23.42578125" customWidth="1"/>
    <col min="2" max="2" width="36.28515625" customWidth="1"/>
    <col min="3" max="3" width="13.5703125" customWidth="1"/>
    <col min="4" max="4" width="12.5703125" customWidth="1"/>
    <col min="5" max="5" width="12.42578125" customWidth="1"/>
    <col min="6" max="9" width="0" hidden="1" customWidth="1"/>
    <col min="10" max="10" width="12.5703125" customWidth="1"/>
    <col min="11" max="12" width="12.28515625" customWidth="1"/>
    <col min="13" max="13" width="13.85546875" customWidth="1"/>
  </cols>
  <sheetData>
    <row r="1" spans="1:13" x14ac:dyDescent="0.25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3" x14ac:dyDescent="0.25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"/>
      <c r="L2" s="1"/>
      <c r="M2" s="1"/>
    </row>
    <row r="3" spans="1:13" x14ac:dyDescent="0.25">
      <c r="A3" s="2"/>
      <c r="B3" s="3"/>
      <c r="C3" s="3"/>
      <c r="D3" s="3"/>
      <c r="E3" s="3"/>
      <c r="F3" s="3"/>
      <c r="G3" s="3"/>
      <c r="H3" s="4"/>
      <c r="I3" s="4"/>
      <c r="J3" s="5" t="s">
        <v>1</v>
      </c>
      <c r="K3" s="1"/>
      <c r="L3" s="1"/>
      <c r="M3" s="1"/>
    </row>
    <row r="4" spans="1:13" ht="15" customHeight="1" x14ac:dyDescent="0.25">
      <c r="A4" s="6" t="s">
        <v>2</v>
      </c>
      <c r="B4" s="7"/>
      <c r="C4" s="153" t="s">
        <v>3</v>
      </c>
      <c r="D4" s="153" t="s">
        <v>4</v>
      </c>
      <c r="E4" s="153" t="s">
        <v>5</v>
      </c>
      <c r="F4" s="158" t="s">
        <v>6</v>
      </c>
      <c r="G4" s="158" t="s">
        <v>7</v>
      </c>
      <c r="H4" s="158" t="s">
        <v>8</v>
      </c>
      <c r="I4" s="158" t="s">
        <v>9</v>
      </c>
      <c r="J4" s="153" t="s">
        <v>10</v>
      </c>
      <c r="K4" s="153" t="s">
        <v>11</v>
      </c>
      <c r="L4" s="153" t="s">
        <v>12</v>
      </c>
      <c r="M4" s="153" t="s">
        <v>13</v>
      </c>
    </row>
    <row r="5" spans="1:13" x14ac:dyDescent="0.25">
      <c r="A5" s="8" t="s">
        <v>14</v>
      </c>
      <c r="B5" s="9" t="s">
        <v>15</v>
      </c>
      <c r="C5" s="154"/>
      <c r="D5" s="154"/>
      <c r="E5" s="154"/>
      <c r="F5" s="159"/>
      <c r="G5" s="159"/>
      <c r="H5" s="159"/>
      <c r="I5" s="159"/>
      <c r="J5" s="154"/>
      <c r="K5" s="154"/>
      <c r="L5" s="154"/>
      <c r="M5" s="154"/>
    </row>
    <row r="6" spans="1:13" ht="22.5" customHeight="1" x14ac:dyDescent="0.25">
      <c r="A6" s="8"/>
      <c r="B6" s="9"/>
      <c r="C6" s="155"/>
      <c r="D6" s="155"/>
      <c r="E6" s="155"/>
      <c r="F6" s="160"/>
      <c r="G6" s="160"/>
      <c r="H6" s="160"/>
      <c r="I6" s="160"/>
      <c r="J6" s="155"/>
      <c r="K6" s="155"/>
      <c r="L6" s="155"/>
      <c r="M6" s="155"/>
    </row>
    <row r="7" spans="1:13" x14ac:dyDescent="0.25">
      <c r="A7" s="161" t="s">
        <v>16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</row>
    <row r="8" spans="1:13" ht="12" customHeight="1" x14ac:dyDescent="0.25">
      <c r="A8" s="10" t="s">
        <v>17</v>
      </c>
      <c r="B8" s="11" t="s">
        <v>18</v>
      </c>
      <c r="C8" s="12">
        <f t="shared" ref="C8:I8" si="0">C9+C11+C12+C13+C15+C16+C18+C20+C14+C21+C17+C19+C10</f>
        <v>872879.4</v>
      </c>
      <c r="D8" s="12">
        <f t="shared" si="0"/>
        <v>889749.6</v>
      </c>
      <c r="E8" s="12">
        <f t="shared" si="0"/>
        <v>650834.29999999993</v>
      </c>
      <c r="F8" s="12">
        <f t="shared" si="0"/>
        <v>228587.50000000003</v>
      </c>
      <c r="G8" s="12">
        <f t="shared" si="0"/>
        <v>234342.49999999997</v>
      </c>
      <c r="H8" s="12">
        <f t="shared" si="0"/>
        <v>187904.30000000002</v>
      </c>
      <c r="I8" s="12">
        <f t="shared" si="0"/>
        <v>238915.29999999996</v>
      </c>
      <c r="J8" s="12">
        <f>J9+J11+J12+J13+J15+J16+J18+J20+J14+J21+J17+J19+J10</f>
        <v>602097.10000000009</v>
      </c>
      <c r="K8" s="12">
        <f t="shared" ref="K8:K13" si="1">J8*100/E8</f>
        <v>92.511580904694199</v>
      </c>
      <c r="L8" s="13">
        <f t="shared" ref="L8:L13" si="2">J8*100/D8</f>
        <v>67.670398503129434</v>
      </c>
      <c r="M8" s="13">
        <f t="shared" ref="M8:M19" si="3">J8*100/C8</f>
        <v>68.97826893382981</v>
      </c>
    </row>
    <row r="9" spans="1:13" ht="15.75" customHeight="1" x14ac:dyDescent="0.25">
      <c r="A9" s="14" t="s">
        <v>19</v>
      </c>
      <c r="B9" s="15" t="s">
        <v>20</v>
      </c>
      <c r="C9" s="16">
        <v>668277.30000000005</v>
      </c>
      <c r="D9" s="16">
        <f t="shared" ref="D9:D21" si="4">F9+G9+H9+I9</f>
        <v>668277.30000000005</v>
      </c>
      <c r="E9" s="16">
        <f t="shared" ref="E9:E21" si="5">F9+G9+H9</f>
        <v>484163.6</v>
      </c>
      <c r="F9" s="16">
        <v>163538.5</v>
      </c>
      <c r="G9" s="16">
        <v>175834.6</v>
      </c>
      <c r="H9" s="17">
        <v>144790.5</v>
      </c>
      <c r="I9" s="18">
        <v>184113.7</v>
      </c>
      <c r="J9" s="18">
        <v>431873.4</v>
      </c>
      <c r="K9" s="17">
        <f t="shared" si="1"/>
        <v>89.199890285019364</v>
      </c>
      <c r="L9" s="18">
        <f t="shared" si="2"/>
        <v>64.624879522318054</v>
      </c>
      <c r="M9" s="19">
        <f t="shared" si="3"/>
        <v>64.624879522318054</v>
      </c>
    </row>
    <row r="10" spans="1:13" ht="37.5" customHeight="1" x14ac:dyDescent="0.25">
      <c r="A10" s="14" t="s">
        <v>21</v>
      </c>
      <c r="B10" s="20" t="s">
        <v>22</v>
      </c>
      <c r="C10" s="21">
        <v>5507.1</v>
      </c>
      <c r="D10" s="21">
        <f t="shared" si="4"/>
        <v>5507.0999999999995</v>
      </c>
      <c r="E10" s="16">
        <f t="shared" si="5"/>
        <v>4072.2999999999997</v>
      </c>
      <c r="F10" s="21">
        <v>1319.2</v>
      </c>
      <c r="G10" s="21">
        <v>1377</v>
      </c>
      <c r="H10" s="22">
        <v>1376.1</v>
      </c>
      <c r="I10" s="19">
        <v>1434.8</v>
      </c>
      <c r="J10" s="19">
        <v>3473.9</v>
      </c>
      <c r="K10" s="17">
        <f t="shared" si="1"/>
        <v>85.305601257274759</v>
      </c>
      <c r="L10" s="19">
        <f t="shared" si="2"/>
        <v>63.080387136605481</v>
      </c>
      <c r="M10" s="19">
        <f t="shared" si="3"/>
        <v>63.080387136605466</v>
      </c>
    </row>
    <row r="11" spans="1:13" ht="12.75" customHeight="1" x14ac:dyDescent="0.25">
      <c r="A11" s="14" t="s">
        <v>23</v>
      </c>
      <c r="B11" s="20" t="s">
        <v>24</v>
      </c>
      <c r="C11" s="21">
        <v>44548</v>
      </c>
      <c r="D11" s="21">
        <f t="shared" si="4"/>
        <v>44548</v>
      </c>
      <c r="E11" s="16">
        <f t="shared" si="5"/>
        <v>34959.699999999997</v>
      </c>
      <c r="F11" s="21">
        <v>13387.3</v>
      </c>
      <c r="G11" s="21">
        <v>13078.8</v>
      </c>
      <c r="H11" s="22">
        <v>8493.6</v>
      </c>
      <c r="I11" s="19">
        <v>9588.2999999999993</v>
      </c>
      <c r="J11" s="19">
        <v>33457.199999999997</v>
      </c>
      <c r="K11" s="17">
        <f t="shared" si="1"/>
        <v>95.702194240797255</v>
      </c>
      <c r="L11" s="19">
        <f t="shared" si="2"/>
        <v>75.103708359522301</v>
      </c>
      <c r="M11" s="19">
        <f t="shared" si="3"/>
        <v>75.103708359522301</v>
      </c>
    </row>
    <row r="12" spans="1:13" ht="12.75" customHeight="1" x14ac:dyDescent="0.25">
      <c r="A12" s="14" t="s">
        <v>25</v>
      </c>
      <c r="B12" s="20" t="s">
        <v>26</v>
      </c>
      <c r="C12" s="21">
        <v>8214</v>
      </c>
      <c r="D12" s="21">
        <f t="shared" si="4"/>
        <v>8214</v>
      </c>
      <c r="E12" s="16">
        <f t="shared" si="5"/>
        <v>4468.8999999999996</v>
      </c>
      <c r="F12" s="21">
        <v>1747.9</v>
      </c>
      <c r="G12" s="21">
        <v>1267.5999999999999</v>
      </c>
      <c r="H12" s="22">
        <v>1453.4</v>
      </c>
      <c r="I12" s="19">
        <v>3745.1</v>
      </c>
      <c r="J12" s="19">
        <v>4596.5</v>
      </c>
      <c r="K12" s="17">
        <f t="shared" si="1"/>
        <v>102.8552887735237</v>
      </c>
      <c r="L12" s="19">
        <f t="shared" si="2"/>
        <v>55.959337716094474</v>
      </c>
      <c r="M12" s="19">
        <f t="shared" si="3"/>
        <v>55.959337716094474</v>
      </c>
    </row>
    <row r="13" spans="1:13" ht="14.25" customHeight="1" x14ac:dyDescent="0.25">
      <c r="A13" s="14" t="s">
        <v>27</v>
      </c>
      <c r="B13" s="20" t="s">
        <v>28</v>
      </c>
      <c r="C13" s="21">
        <v>3355</v>
      </c>
      <c r="D13" s="21">
        <f t="shared" si="4"/>
        <v>3350</v>
      </c>
      <c r="E13" s="16">
        <f t="shared" si="5"/>
        <v>2510</v>
      </c>
      <c r="F13" s="21">
        <v>1108.5</v>
      </c>
      <c r="G13" s="21">
        <v>656.3</v>
      </c>
      <c r="H13" s="22">
        <v>745.2</v>
      </c>
      <c r="I13" s="19">
        <v>840</v>
      </c>
      <c r="J13" s="19">
        <v>2476.4</v>
      </c>
      <c r="K13" s="17">
        <f t="shared" si="1"/>
        <v>98.661354581673308</v>
      </c>
      <c r="L13" s="19">
        <f t="shared" si="2"/>
        <v>73.92238805970149</v>
      </c>
      <c r="M13" s="19">
        <f t="shared" si="3"/>
        <v>73.812220566318928</v>
      </c>
    </row>
    <row r="14" spans="1:13" ht="39.75" customHeight="1" x14ac:dyDescent="0.25">
      <c r="A14" s="14" t="s">
        <v>29</v>
      </c>
      <c r="B14" s="20" t="s">
        <v>30</v>
      </c>
      <c r="C14" s="21"/>
      <c r="D14" s="21">
        <f t="shared" si="4"/>
        <v>0</v>
      </c>
      <c r="E14" s="16">
        <f t="shared" si="5"/>
        <v>0</v>
      </c>
      <c r="F14" s="21"/>
      <c r="G14" s="21"/>
      <c r="H14" s="22"/>
      <c r="I14" s="19"/>
      <c r="J14" s="19"/>
      <c r="K14" s="17"/>
      <c r="L14" s="19"/>
      <c r="M14" s="19" t="e">
        <f t="shared" si="3"/>
        <v>#DIV/0!</v>
      </c>
    </row>
    <row r="15" spans="1:13" ht="38.25" customHeight="1" x14ac:dyDescent="0.25">
      <c r="A15" s="23" t="s">
        <v>31</v>
      </c>
      <c r="B15" s="20" t="s">
        <v>32</v>
      </c>
      <c r="C15" s="21">
        <v>104873.1</v>
      </c>
      <c r="D15" s="21">
        <f t="shared" si="4"/>
        <v>104622.2</v>
      </c>
      <c r="E15" s="16">
        <f t="shared" si="5"/>
        <v>75960.899999999994</v>
      </c>
      <c r="F15" s="21">
        <v>23512.3</v>
      </c>
      <c r="G15" s="21">
        <v>26002</v>
      </c>
      <c r="H15" s="22">
        <v>26446.6</v>
      </c>
      <c r="I15" s="19">
        <v>28661.3</v>
      </c>
      <c r="J15" s="19">
        <v>57243.1</v>
      </c>
      <c r="K15" s="17">
        <f t="shared" ref="K15:K20" si="6">J15*100/E15</f>
        <v>75.358638457416916</v>
      </c>
      <c r="L15" s="19">
        <f t="shared" ref="L15:L20" si="7">J15*100/D15</f>
        <v>54.714104654652644</v>
      </c>
      <c r="M15" s="19">
        <f t="shared" si="3"/>
        <v>54.583205798245686</v>
      </c>
    </row>
    <row r="16" spans="1:13" ht="26.25" customHeight="1" x14ac:dyDescent="0.25">
      <c r="A16" s="24" t="s">
        <v>33</v>
      </c>
      <c r="B16" s="20" t="s">
        <v>34</v>
      </c>
      <c r="C16" s="21">
        <v>9593.1</v>
      </c>
      <c r="D16" s="21">
        <f t="shared" si="4"/>
        <v>17317.599999999999</v>
      </c>
      <c r="E16" s="16">
        <f t="shared" si="5"/>
        <v>17317.599999999999</v>
      </c>
      <c r="F16" s="21">
        <v>10874.1</v>
      </c>
      <c r="G16" s="21">
        <v>6443.5</v>
      </c>
      <c r="H16" s="22"/>
      <c r="I16" s="19"/>
      <c r="J16" s="19">
        <v>24058.5</v>
      </c>
      <c r="K16" s="17">
        <f t="shared" si="6"/>
        <v>138.92513974222757</v>
      </c>
      <c r="L16" s="19">
        <f t="shared" si="7"/>
        <v>138.92513974222757</v>
      </c>
      <c r="M16" s="19">
        <f t="shared" si="3"/>
        <v>250.78963004659599</v>
      </c>
    </row>
    <row r="17" spans="1:13" ht="24" customHeight="1" x14ac:dyDescent="0.25">
      <c r="A17" s="25" t="s">
        <v>35</v>
      </c>
      <c r="B17" s="20" t="s">
        <v>36</v>
      </c>
      <c r="C17" s="21">
        <v>15967.8</v>
      </c>
      <c r="D17" s="21">
        <f t="shared" si="4"/>
        <v>15967.8</v>
      </c>
      <c r="E17" s="16">
        <f t="shared" si="5"/>
        <v>9441.5</v>
      </c>
      <c r="F17" s="21">
        <v>5313.2</v>
      </c>
      <c r="G17" s="21">
        <v>2214.4</v>
      </c>
      <c r="H17" s="22">
        <v>1913.9</v>
      </c>
      <c r="I17" s="19">
        <v>6526.3</v>
      </c>
      <c r="J17" s="19">
        <v>8559.5</v>
      </c>
      <c r="K17" s="17">
        <f t="shared" si="6"/>
        <v>90.658264047026421</v>
      </c>
      <c r="L17" s="19">
        <f t="shared" si="7"/>
        <v>53.604754568569248</v>
      </c>
      <c r="M17" s="19">
        <f t="shared" si="3"/>
        <v>53.604754568569248</v>
      </c>
    </row>
    <row r="18" spans="1:13" ht="25.5" customHeight="1" x14ac:dyDescent="0.25">
      <c r="A18" s="25" t="s">
        <v>37</v>
      </c>
      <c r="B18" s="20" t="s">
        <v>38</v>
      </c>
      <c r="C18" s="21">
        <v>12538</v>
      </c>
      <c r="D18" s="21">
        <f t="shared" si="4"/>
        <v>15433</v>
      </c>
      <c r="E18" s="16">
        <f t="shared" si="5"/>
        <v>11885.6</v>
      </c>
      <c r="F18" s="21">
        <v>4516.7</v>
      </c>
      <c r="G18" s="21">
        <v>4694.5</v>
      </c>
      <c r="H18" s="22">
        <v>2674.4</v>
      </c>
      <c r="I18" s="19">
        <v>3547.4</v>
      </c>
      <c r="J18" s="19">
        <v>10358.299999999999</v>
      </c>
      <c r="K18" s="17">
        <f t="shared" si="6"/>
        <v>87.149996634583019</v>
      </c>
      <c r="L18" s="19">
        <f t="shared" si="7"/>
        <v>67.117864316723896</v>
      </c>
      <c r="M18" s="19">
        <f t="shared" si="3"/>
        <v>82.615249641091069</v>
      </c>
    </row>
    <row r="19" spans="1:13" ht="15.75" customHeight="1" x14ac:dyDescent="0.25">
      <c r="A19" s="25" t="s">
        <v>39</v>
      </c>
      <c r="B19" s="20" t="s">
        <v>40</v>
      </c>
      <c r="C19" s="21">
        <v>6</v>
      </c>
      <c r="D19" s="21">
        <f t="shared" si="4"/>
        <v>4.5999999999999996</v>
      </c>
      <c r="E19" s="16">
        <f t="shared" si="5"/>
        <v>4.5999999999999996</v>
      </c>
      <c r="F19" s="21">
        <v>2.6</v>
      </c>
      <c r="G19" s="21"/>
      <c r="H19" s="22">
        <v>2</v>
      </c>
      <c r="I19" s="19"/>
      <c r="J19" s="19">
        <v>11.6</v>
      </c>
      <c r="K19" s="17">
        <f t="shared" si="6"/>
        <v>252.17391304347828</v>
      </c>
      <c r="L19" s="19">
        <f t="shared" si="7"/>
        <v>252.17391304347828</v>
      </c>
      <c r="M19" s="19">
        <f t="shared" si="3"/>
        <v>193.33333333333334</v>
      </c>
    </row>
    <row r="20" spans="1:13" ht="13.5" customHeight="1" x14ac:dyDescent="0.25">
      <c r="A20" s="26" t="s">
        <v>41</v>
      </c>
      <c r="B20" s="20" t="s">
        <v>42</v>
      </c>
      <c r="C20" s="21">
        <v>0</v>
      </c>
      <c r="D20" s="21">
        <f t="shared" si="4"/>
        <v>6508</v>
      </c>
      <c r="E20" s="16">
        <f t="shared" si="5"/>
        <v>6049.6</v>
      </c>
      <c r="F20" s="21">
        <v>3267.2</v>
      </c>
      <c r="G20" s="21">
        <v>2773.8</v>
      </c>
      <c r="H20" s="22">
        <v>8.6</v>
      </c>
      <c r="I20" s="19">
        <v>458.4</v>
      </c>
      <c r="J20" s="19">
        <v>25936.6</v>
      </c>
      <c r="K20" s="17">
        <f t="shared" si="6"/>
        <v>428.73247818037555</v>
      </c>
      <c r="L20" s="19">
        <f t="shared" si="7"/>
        <v>398.5341118623233</v>
      </c>
      <c r="M20" s="19"/>
    </row>
    <row r="21" spans="1:13" ht="14.25" customHeight="1" x14ac:dyDescent="0.25">
      <c r="A21" s="27" t="s">
        <v>43</v>
      </c>
      <c r="B21" s="28" t="s">
        <v>44</v>
      </c>
      <c r="C21" s="21">
        <v>0</v>
      </c>
      <c r="D21" s="21">
        <f t="shared" si="4"/>
        <v>0</v>
      </c>
      <c r="E21" s="16">
        <f t="shared" si="5"/>
        <v>0</v>
      </c>
      <c r="F21" s="21"/>
      <c r="G21" s="21"/>
      <c r="H21" s="22"/>
      <c r="I21" s="19"/>
      <c r="J21" s="19">
        <v>52.1</v>
      </c>
      <c r="K21" s="17"/>
      <c r="L21" s="19"/>
      <c r="M21" s="19"/>
    </row>
    <row r="22" spans="1:13" ht="16.5" customHeight="1" x14ac:dyDescent="0.25">
      <c r="A22" s="29" t="s">
        <v>45</v>
      </c>
      <c r="B22" s="30" t="s">
        <v>46</v>
      </c>
      <c r="C22" s="31">
        <f t="shared" ref="C22:I22" si="8">C23+C24+C26+C25</f>
        <v>3321098.9</v>
      </c>
      <c r="D22" s="31">
        <f>D23+D24+D26+D25</f>
        <v>3575601.3999999994</v>
      </c>
      <c r="E22" s="31">
        <f t="shared" si="8"/>
        <v>2786672.2999999993</v>
      </c>
      <c r="F22" s="31">
        <f t="shared" si="8"/>
        <v>1064843.0999999999</v>
      </c>
      <c r="G22" s="31">
        <f t="shared" si="8"/>
        <v>898639.2</v>
      </c>
      <c r="H22" s="31">
        <f t="shared" si="8"/>
        <v>823190</v>
      </c>
      <c r="I22" s="31">
        <f t="shared" si="8"/>
        <v>788929.1</v>
      </c>
      <c r="J22" s="31">
        <f>J23+J24+J26+J25+0.1</f>
        <v>2348388.8000000003</v>
      </c>
      <c r="K22" s="32">
        <f t="shared" ref="K22:K27" si="9">J22*100/E22</f>
        <v>84.272155000069475</v>
      </c>
      <c r="L22" s="13">
        <f t="shared" ref="L22:L27" si="10">J22*100/D22</f>
        <v>65.678148576628274</v>
      </c>
      <c r="M22" s="13">
        <f>J22*100/C22</f>
        <v>70.711197429260551</v>
      </c>
    </row>
    <row r="23" spans="1:13" ht="38.25" customHeight="1" x14ac:dyDescent="0.25">
      <c r="A23" s="33" t="s">
        <v>47</v>
      </c>
      <c r="B23" s="34" t="s">
        <v>48</v>
      </c>
      <c r="C23" s="35">
        <v>3321098.9</v>
      </c>
      <c r="D23" s="21">
        <f>F23+G23+H23+I23</f>
        <v>3551545.1999999997</v>
      </c>
      <c r="E23" s="16">
        <f>F23+G23+H23</f>
        <v>2765116.0999999996</v>
      </c>
      <c r="F23" s="21">
        <v>1065792.3999999999</v>
      </c>
      <c r="G23" s="21">
        <v>897433.7</v>
      </c>
      <c r="H23" s="19">
        <f>800495.3+1394.7</f>
        <v>801890</v>
      </c>
      <c r="I23" s="19">
        <v>786429.1</v>
      </c>
      <c r="J23" s="19">
        <v>2344598.5</v>
      </c>
      <c r="K23" s="17">
        <f t="shared" si="9"/>
        <v>84.792045440695972</v>
      </c>
      <c r="L23" s="19">
        <f t="shared" si="10"/>
        <v>66.016293415046505</v>
      </c>
      <c r="M23" s="19">
        <f>J23*100/C23</f>
        <v>70.597069542253024</v>
      </c>
    </row>
    <row r="24" spans="1:13" ht="15.75" customHeight="1" x14ac:dyDescent="0.25">
      <c r="A24" s="33" t="s">
        <v>49</v>
      </c>
      <c r="B24" s="36" t="s">
        <v>50</v>
      </c>
      <c r="C24" s="37">
        <v>0</v>
      </c>
      <c r="D24" s="21">
        <f>F24+G24+H24+I24</f>
        <v>27929.9</v>
      </c>
      <c r="E24" s="16">
        <f>F24+G24+H24</f>
        <v>25429.9</v>
      </c>
      <c r="F24" s="37">
        <v>2924.4</v>
      </c>
      <c r="G24" s="37">
        <v>1205.5</v>
      </c>
      <c r="H24" s="19">
        <v>21300</v>
      </c>
      <c r="I24" s="19">
        <v>2500</v>
      </c>
      <c r="J24" s="19">
        <v>7683</v>
      </c>
      <c r="K24" s="17">
        <f t="shared" si="9"/>
        <v>30.212466427315874</v>
      </c>
      <c r="L24" s="19">
        <f t="shared" si="10"/>
        <v>27.508154343552967</v>
      </c>
      <c r="M24" s="19"/>
    </row>
    <row r="25" spans="1:13" ht="74.25" customHeight="1" x14ac:dyDescent="0.25">
      <c r="A25" s="33" t="s">
        <v>51</v>
      </c>
      <c r="B25" s="28" t="s">
        <v>52</v>
      </c>
      <c r="C25" s="21">
        <v>0</v>
      </c>
      <c r="D25" s="21">
        <f>F25+G25+H25+I25</f>
        <v>0</v>
      </c>
      <c r="E25" s="16">
        <f>F25+G25+H25</f>
        <v>0</v>
      </c>
      <c r="F25" s="21"/>
      <c r="G25" s="21"/>
      <c r="H25" s="19"/>
      <c r="I25" s="19"/>
      <c r="J25" s="19"/>
      <c r="K25" s="17" t="e">
        <f t="shared" si="9"/>
        <v>#DIV/0!</v>
      </c>
      <c r="L25" s="19" t="e">
        <f t="shared" si="10"/>
        <v>#DIV/0!</v>
      </c>
      <c r="M25" s="19"/>
    </row>
    <row r="26" spans="1:13" ht="50.25" customHeight="1" x14ac:dyDescent="0.25">
      <c r="A26" s="33" t="s">
        <v>53</v>
      </c>
      <c r="B26" s="38" t="s">
        <v>54</v>
      </c>
      <c r="C26" s="39">
        <v>0</v>
      </c>
      <c r="D26" s="21">
        <f>F26+G26+H26+I26</f>
        <v>-3873.7</v>
      </c>
      <c r="E26" s="16">
        <f>F26+G26+H26</f>
        <v>-3873.7</v>
      </c>
      <c r="F26" s="39">
        <v>-3873.7</v>
      </c>
      <c r="G26" s="39"/>
      <c r="H26" s="19"/>
      <c r="I26" s="19"/>
      <c r="J26" s="19">
        <v>-3892.8</v>
      </c>
      <c r="K26" s="17">
        <f t="shared" si="9"/>
        <v>100.49306864238325</v>
      </c>
      <c r="L26" s="19">
        <f t="shared" si="10"/>
        <v>100.49306864238325</v>
      </c>
      <c r="M26" s="19"/>
    </row>
    <row r="27" spans="1:13" ht="15" customHeight="1" x14ac:dyDescent="0.25">
      <c r="A27" s="26"/>
      <c r="B27" s="40" t="s">
        <v>55</v>
      </c>
      <c r="C27" s="13">
        <f t="shared" ref="C27:J27" si="11">C22+C8</f>
        <v>4193978.3</v>
      </c>
      <c r="D27" s="13">
        <f t="shared" si="11"/>
        <v>4465350.9999999991</v>
      </c>
      <c r="E27" s="13">
        <f t="shared" si="11"/>
        <v>3437506.5999999992</v>
      </c>
      <c r="F27" s="13">
        <f t="shared" si="11"/>
        <v>1293430.5999999999</v>
      </c>
      <c r="G27" s="13">
        <f t="shared" si="11"/>
        <v>1132981.7</v>
      </c>
      <c r="H27" s="13">
        <f t="shared" si="11"/>
        <v>1011094.3</v>
      </c>
      <c r="I27" s="13">
        <f t="shared" si="11"/>
        <v>1027844.3999999999</v>
      </c>
      <c r="J27" s="13">
        <f t="shared" si="11"/>
        <v>2950485.9000000004</v>
      </c>
      <c r="K27" s="32">
        <f t="shared" si="9"/>
        <v>85.832152293176733</v>
      </c>
      <c r="L27" s="13">
        <f t="shared" si="10"/>
        <v>66.075117051268791</v>
      </c>
      <c r="M27" s="13">
        <f>J27*100/C27</f>
        <v>70.350528518471364</v>
      </c>
    </row>
    <row r="28" spans="1:13" x14ac:dyDescent="0.25">
      <c r="A28" s="163"/>
      <c r="B28" s="164"/>
      <c r="C28" s="164"/>
      <c r="D28" s="164"/>
      <c r="E28" s="164"/>
      <c r="F28" s="164"/>
      <c r="G28" s="164"/>
      <c r="H28" s="164"/>
      <c r="I28" s="164"/>
      <c r="J28" s="164"/>
      <c r="K28" s="32"/>
      <c r="L28" s="13"/>
      <c r="M28" s="19"/>
    </row>
    <row r="29" spans="1:13" x14ac:dyDescent="0.25">
      <c r="A29" s="161" t="s">
        <v>56</v>
      </c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5"/>
    </row>
    <row r="30" spans="1:13" ht="15" customHeight="1" x14ac:dyDescent="0.25">
      <c r="A30" s="29" t="s">
        <v>17</v>
      </c>
      <c r="B30" s="42" t="s">
        <v>18</v>
      </c>
      <c r="C30" s="32">
        <f t="shared" ref="C30:I30" si="12">C31+C33+C35+C37+C34+C36+C39+C32</f>
        <v>18956.600000000002</v>
      </c>
      <c r="D30" s="32">
        <f t="shared" si="12"/>
        <v>19203.600000000002</v>
      </c>
      <c r="E30" s="32">
        <f t="shared" si="12"/>
        <v>14464.4</v>
      </c>
      <c r="F30" s="32">
        <f t="shared" si="12"/>
        <v>4739.0999999999995</v>
      </c>
      <c r="G30" s="32">
        <f t="shared" si="12"/>
        <v>4856.2</v>
      </c>
      <c r="H30" s="32">
        <f t="shared" si="12"/>
        <v>4869.0999999999995</v>
      </c>
      <c r="I30" s="32">
        <f t="shared" si="12"/>
        <v>4739.2</v>
      </c>
      <c r="J30" s="32">
        <f>J31+J33+J35+J37+J34+J36+J39+J32+J38</f>
        <v>13618.2</v>
      </c>
      <c r="K30" s="32">
        <f t="shared" ref="K30:K37" si="13">J30*100/E30</f>
        <v>94.149774619064743</v>
      </c>
      <c r="L30" s="13">
        <f t="shared" ref="L30:L37" si="14">J30*100/D30</f>
        <v>70.914828469661927</v>
      </c>
      <c r="M30" s="13">
        <f t="shared" ref="M30:M35" si="15">J30*100/C30</f>
        <v>71.8388318580336</v>
      </c>
    </row>
    <row r="31" spans="1:13" ht="16.5" customHeight="1" x14ac:dyDescent="0.25">
      <c r="A31" s="14" t="s">
        <v>19</v>
      </c>
      <c r="B31" s="15" t="s">
        <v>20</v>
      </c>
      <c r="C31" s="16">
        <v>14500</v>
      </c>
      <c r="D31" s="21">
        <f t="shared" ref="D31:D37" si="16">F31+G31+H31+I31</f>
        <v>14500</v>
      </c>
      <c r="E31" s="16">
        <f t="shared" ref="E31:E39" si="17">F31+G31+H31</f>
        <v>10875</v>
      </c>
      <c r="F31" s="16">
        <v>3625</v>
      </c>
      <c r="G31" s="16">
        <v>3625</v>
      </c>
      <c r="H31" s="22">
        <v>3625</v>
      </c>
      <c r="I31" s="19">
        <v>3625</v>
      </c>
      <c r="J31" s="18">
        <v>11067.1</v>
      </c>
      <c r="K31" s="17">
        <f t="shared" si="13"/>
        <v>101.7664367816092</v>
      </c>
      <c r="L31" s="19">
        <f t="shared" si="14"/>
        <v>76.324827586206894</v>
      </c>
      <c r="M31" s="19">
        <f t="shared" si="15"/>
        <v>76.324827586206894</v>
      </c>
    </row>
    <row r="32" spans="1:13" ht="38.25" customHeight="1" x14ac:dyDescent="0.25">
      <c r="A32" s="14" t="s">
        <v>21</v>
      </c>
      <c r="B32" s="20" t="s">
        <v>22</v>
      </c>
      <c r="C32" s="21">
        <v>1652.9</v>
      </c>
      <c r="D32" s="21">
        <f t="shared" si="16"/>
        <v>1652.9</v>
      </c>
      <c r="E32" s="16">
        <f t="shared" si="17"/>
        <v>1239.7</v>
      </c>
      <c r="F32" s="16">
        <v>413.2</v>
      </c>
      <c r="G32" s="16">
        <v>413.3</v>
      </c>
      <c r="H32" s="22">
        <v>413.2</v>
      </c>
      <c r="I32" s="19">
        <v>413.2</v>
      </c>
      <c r="J32" s="18">
        <v>1042.5</v>
      </c>
      <c r="K32" s="17">
        <f t="shared" si="13"/>
        <v>84.092925707832535</v>
      </c>
      <c r="L32" s="19">
        <f t="shared" si="14"/>
        <v>63.070966180652185</v>
      </c>
      <c r="M32" s="19">
        <f t="shared" si="15"/>
        <v>63.070966180652185</v>
      </c>
    </row>
    <row r="33" spans="1:13" ht="16.5" customHeight="1" x14ac:dyDescent="0.25">
      <c r="A33" s="14" t="s">
        <v>25</v>
      </c>
      <c r="B33" s="20" t="s">
        <v>26</v>
      </c>
      <c r="C33" s="21">
        <v>956.5</v>
      </c>
      <c r="D33" s="21">
        <f t="shared" si="16"/>
        <v>956.5</v>
      </c>
      <c r="E33" s="16">
        <f t="shared" si="17"/>
        <v>717.3</v>
      </c>
      <c r="F33" s="21">
        <v>239.1</v>
      </c>
      <c r="G33" s="21">
        <v>239.1</v>
      </c>
      <c r="H33" s="22">
        <v>239.1</v>
      </c>
      <c r="I33" s="19">
        <v>239.2</v>
      </c>
      <c r="J33" s="19">
        <v>413.2</v>
      </c>
      <c r="K33" s="17">
        <f t="shared" si="13"/>
        <v>57.604907291231008</v>
      </c>
      <c r="L33" s="19">
        <f t="shared" si="14"/>
        <v>43.199163617354941</v>
      </c>
      <c r="M33" s="19">
        <f t="shared" si="15"/>
        <v>43.199163617354941</v>
      </c>
    </row>
    <row r="34" spans="1:13" ht="16.5" customHeight="1" x14ac:dyDescent="0.25">
      <c r="A34" s="14" t="s">
        <v>27</v>
      </c>
      <c r="B34" s="20" t="s">
        <v>28</v>
      </c>
      <c r="C34" s="21">
        <v>12</v>
      </c>
      <c r="D34" s="21">
        <f t="shared" si="16"/>
        <v>12</v>
      </c>
      <c r="E34" s="16">
        <f t="shared" si="17"/>
        <v>9</v>
      </c>
      <c r="F34" s="21">
        <v>3</v>
      </c>
      <c r="G34" s="21">
        <v>3</v>
      </c>
      <c r="H34" s="22">
        <v>3</v>
      </c>
      <c r="I34" s="19">
        <v>3</v>
      </c>
      <c r="J34" s="19">
        <v>6.2</v>
      </c>
      <c r="K34" s="17">
        <f t="shared" si="13"/>
        <v>68.888888888888886</v>
      </c>
      <c r="L34" s="19">
        <f t="shared" si="14"/>
        <v>51.666666666666664</v>
      </c>
      <c r="M34" s="19">
        <f t="shared" si="15"/>
        <v>51.666666666666664</v>
      </c>
    </row>
    <row r="35" spans="1:13" ht="39.75" customHeight="1" x14ac:dyDescent="0.25">
      <c r="A35" s="23" t="s">
        <v>31</v>
      </c>
      <c r="B35" s="20" t="s">
        <v>32</v>
      </c>
      <c r="C35" s="21">
        <v>1735.2</v>
      </c>
      <c r="D35" s="21">
        <f t="shared" si="16"/>
        <v>1565.2</v>
      </c>
      <c r="E35" s="16">
        <f t="shared" si="17"/>
        <v>1131.4000000000001</v>
      </c>
      <c r="F35" s="21">
        <v>433.8</v>
      </c>
      <c r="G35" s="21">
        <v>263.8</v>
      </c>
      <c r="H35" s="22">
        <v>433.8</v>
      </c>
      <c r="I35" s="19">
        <v>433.8</v>
      </c>
      <c r="J35" s="19">
        <v>648.29999999999995</v>
      </c>
      <c r="K35" s="17">
        <f t="shared" si="13"/>
        <v>57.300689411348763</v>
      </c>
      <c r="L35" s="19">
        <f t="shared" si="14"/>
        <v>41.41962688474316</v>
      </c>
      <c r="M35" s="19">
        <f t="shared" si="15"/>
        <v>37.361687413554627</v>
      </c>
    </row>
    <row r="36" spans="1:13" ht="27.75" customHeight="1" x14ac:dyDescent="0.25">
      <c r="A36" s="25" t="s">
        <v>35</v>
      </c>
      <c r="B36" s="20" t="s">
        <v>36</v>
      </c>
      <c r="C36" s="21"/>
      <c r="D36" s="21">
        <f t="shared" si="16"/>
        <v>417</v>
      </c>
      <c r="E36" s="16">
        <f t="shared" si="17"/>
        <v>417</v>
      </c>
      <c r="F36" s="21"/>
      <c r="G36" s="21">
        <v>287</v>
      </c>
      <c r="H36" s="22">
        <v>130</v>
      </c>
      <c r="I36" s="19"/>
      <c r="J36" s="19">
        <v>409.4</v>
      </c>
      <c r="K36" s="17">
        <f t="shared" si="13"/>
        <v>98.177458033573146</v>
      </c>
      <c r="L36" s="19">
        <f t="shared" si="14"/>
        <v>98.177458033573146</v>
      </c>
      <c r="M36" s="19"/>
    </row>
    <row r="37" spans="1:13" ht="26.25" customHeight="1" x14ac:dyDescent="0.25">
      <c r="A37" s="24" t="s">
        <v>37</v>
      </c>
      <c r="B37" s="20" t="s">
        <v>38</v>
      </c>
      <c r="C37" s="21">
        <v>100</v>
      </c>
      <c r="D37" s="21">
        <f t="shared" si="16"/>
        <v>100</v>
      </c>
      <c r="E37" s="16">
        <f t="shared" si="17"/>
        <v>75</v>
      </c>
      <c r="F37" s="21">
        <v>25</v>
      </c>
      <c r="G37" s="21">
        <v>25</v>
      </c>
      <c r="H37" s="22">
        <v>25</v>
      </c>
      <c r="I37" s="19">
        <v>25</v>
      </c>
      <c r="J37" s="19">
        <v>30.5</v>
      </c>
      <c r="K37" s="17">
        <f t="shared" si="13"/>
        <v>40.666666666666664</v>
      </c>
      <c r="L37" s="19">
        <f t="shared" si="14"/>
        <v>30.5</v>
      </c>
      <c r="M37" s="19">
        <f>J37*100/C37</f>
        <v>30.5</v>
      </c>
    </row>
    <row r="38" spans="1:13" ht="15.75" customHeight="1" x14ac:dyDescent="0.25">
      <c r="A38" s="26" t="s">
        <v>41</v>
      </c>
      <c r="B38" s="20" t="s">
        <v>42</v>
      </c>
      <c r="C38" s="43"/>
      <c r="D38" s="21"/>
      <c r="E38" s="16">
        <f t="shared" si="17"/>
        <v>0</v>
      </c>
      <c r="F38" s="21"/>
      <c r="G38" s="21"/>
      <c r="H38" s="22"/>
      <c r="I38" s="19"/>
      <c r="J38" s="19"/>
      <c r="K38" s="17"/>
      <c r="L38" s="19"/>
      <c r="M38" s="19"/>
    </row>
    <row r="39" spans="1:13" ht="16.5" customHeight="1" x14ac:dyDescent="0.25">
      <c r="A39" s="27" t="s">
        <v>43</v>
      </c>
      <c r="B39" s="28" t="s">
        <v>44</v>
      </c>
      <c r="C39" s="43"/>
      <c r="D39" s="20"/>
      <c r="E39" s="16">
        <f t="shared" si="17"/>
        <v>0</v>
      </c>
      <c r="F39" s="21"/>
      <c r="G39" s="21"/>
      <c r="H39" s="22"/>
      <c r="I39" s="19"/>
      <c r="J39" s="19">
        <v>1</v>
      </c>
      <c r="K39" s="32"/>
      <c r="L39" s="13"/>
      <c r="M39" s="19"/>
    </row>
    <row r="40" spans="1:13" ht="12.75" customHeight="1" x14ac:dyDescent="0.25">
      <c r="A40" s="29" t="s">
        <v>45</v>
      </c>
      <c r="B40" s="30" t="s">
        <v>46</v>
      </c>
      <c r="C40" s="31">
        <f>C41+C42</f>
        <v>13568.4</v>
      </c>
      <c r="D40" s="31">
        <f>D41+D42</f>
        <v>20799.400000000001</v>
      </c>
      <c r="E40" s="31">
        <f t="shared" ref="E40:J40" si="18">E41+E42</f>
        <v>17407.2</v>
      </c>
      <c r="F40" s="31">
        <f t="shared" si="18"/>
        <v>6660</v>
      </c>
      <c r="G40" s="31">
        <f t="shared" si="18"/>
        <v>9496</v>
      </c>
      <c r="H40" s="31">
        <f t="shared" si="18"/>
        <v>1251.1999999999998</v>
      </c>
      <c r="I40" s="31">
        <f t="shared" si="18"/>
        <v>3392.2</v>
      </c>
      <c r="J40" s="31">
        <f t="shared" si="18"/>
        <v>12249.1</v>
      </c>
      <c r="K40" s="32">
        <f>J40*100/E40</f>
        <v>70.368008640102943</v>
      </c>
      <c r="L40" s="13">
        <f>J40*100/D40</f>
        <v>58.891602642383909</v>
      </c>
      <c r="M40" s="13">
        <f>J40*100/C40</f>
        <v>90.276672267916638</v>
      </c>
    </row>
    <row r="41" spans="1:13" ht="38.25" customHeight="1" x14ac:dyDescent="0.25">
      <c r="A41" s="33" t="s">
        <v>47</v>
      </c>
      <c r="B41" s="34" t="s">
        <v>48</v>
      </c>
      <c r="C41" s="35">
        <v>13568.4</v>
      </c>
      <c r="D41" s="21">
        <f>F41+G41+H41+I41</f>
        <v>20799.400000000001</v>
      </c>
      <c r="E41" s="16">
        <f>F41+G41+H41</f>
        <v>17407.2</v>
      </c>
      <c r="F41" s="35">
        <f>6585+75</f>
        <v>6660</v>
      </c>
      <c r="G41" s="35">
        <v>9496</v>
      </c>
      <c r="H41" s="22">
        <f>1334.1-82.9</f>
        <v>1251.1999999999998</v>
      </c>
      <c r="I41" s="35">
        <v>3392.2</v>
      </c>
      <c r="J41" s="19">
        <v>12249.1</v>
      </c>
      <c r="K41" s="17">
        <f>J41*100/E41</f>
        <v>70.368008640102943</v>
      </c>
      <c r="L41" s="19">
        <f>J41*100/D41</f>
        <v>58.891602642383909</v>
      </c>
      <c r="M41" s="19">
        <f>J41*100/C41</f>
        <v>90.276672267916638</v>
      </c>
    </row>
    <row r="42" spans="1:13" ht="51" customHeight="1" x14ac:dyDescent="0.25">
      <c r="A42" s="33" t="s">
        <v>53</v>
      </c>
      <c r="B42" s="38" t="s">
        <v>54</v>
      </c>
      <c r="C42" s="39">
        <v>0</v>
      </c>
      <c r="D42" s="21">
        <f>F42+G42+H42+I42</f>
        <v>0</v>
      </c>
      <c r="E42" s="16">
        <f>F42</f>
        <v>0</v>
      </c>
      <c r="F42" s="35"/>
      <c r="G42" s="35"/>
      <c r="H42" s="22"/>
      <c r="I42" s="35"/>
      <c r="J42" s="19"/>
      <c r="K42" s="17" t="e">
        <f>J42*100/E42</f>
        <v>#DIV/0!</v>
      </c>
      <c r="L42" s="19" t="e">
        <f>J42*100/D42</f>
        <v>#DIV/0!</v>
      </c>
      <c r="M42" s="19"/>
    </row>
    <row r="43" spans="1:13" ht="12" customHeight="1" x14ac:dyDescent="0.25">
      <c r="A43" s="26"/>
      <c r="B43" s="40" t="s">
        <v>55</v>
      </c>
      <c r="C43" s="13">
        <f t="shared" ref="C43:I43" si="19">C40+C30</f>
        <v>32525</v>
      </c>
      <c r="D43" s="13">
        <f t="shared" si="19"/>
        <v>40003</v>
      </c>
      <c r="E43" s="13">
        <f t="shared" si="19"/>
        <v>31871.599999999999</v>
      </c>
      <c r="F43" s="13">
        <f t="shared" si="19"/>
        <v>11399.099999999999</v>
      </c>
      <c r="G43" s="13">
        <f t="shared" si="19"/>
        <v>14352.2</v>
      </c>
      <c r="H43" s="13">
        <f t="shared" si="19"/>
        <v>6120.2999999999993</v>
      </c>
      <c r="I43" s="13">
        <f t="shared" si="19"/>
        <v>8131.4</v>
      </c>
      <c r="J43" s="13">
        <f>J40+J30</f>
        <v>25867.300000000003</v>
      </c>
      <c r="K43" s="32">
        <f>J43*100/E43</f>
        <v>81.160970895719089</v>
      </c>
      <c r="L43" s="13">
        <f>J43*100/D43</f>
        <v>64.663400244981645</v>
      </c>
      <c r="M43" s="13">
        <f>J43*100/C43</f>
        <v>79.530514988470415</v>
      </c>
    </row>
    <row r="44" spans="1:13" x14ac:dyDescent="0.25">
      <c r="A44" s="44"/>
      <c r="B44" s="152"/>
      <c r="C44" s="152"/>
      <c r="D44" s="152"/>
      <c r="E44" s="152"/>
      <c r="F44" s="152"/>
      <c r="G44" s="152"/>
      <c r="H44" s="152"/>
      <c r="I44" s="152"/>
      <c r="J44" s="152"/>
      <c r="K44" s="32"/>
      <c r="L44" s="13"/>
      <c r="M44" s="19"/>
    </row>
    <row r="45" spans="1:13" x14ac:dyDescent="0.25">
      <c r="A45" s="161" t="s">
        <v>57</v>
      </c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5"/>
    </row>
    <row r="46" spans="1:13" ht="12" customHeight="1" x14ac:dyDescent="0.25">
      <c r="A46" s="29" t="s">
        <v>17</v>
      </c>
      <c r="B46" s="42" t="s">
        <v>18</v>
      </c>
      <c r="C46" s="32">
        <f t="shared" ref="C46:I46" si="20">C47+C50+C52+C54+C55+C56+C51+C49+C48+C53</f>
        <v>21958.699999999997</v>
      </c>
      <c r="D46" s="32">
        <f t="shared" si="20"/>
        <v>21958.699999999993</v>
      </c>
      <c r="E46" s="32">
        <f t="shared" si="20"/>
        <v>14404.199999999999</v>
      </c>
      <c r="F46" s="32">
        <f t="shared" si="20"/>
        <v>4583.6000000000004</v>
      </c>
      <c r="G46" s="32">
        <f t="shared" si="20"/>
        <v>5323.5</v>
      </c>
      <c r="H46" s="32">
        <f t="shared" si="20"/>
        <v>4497.0999999999995</v>
      </c>
      <c r="I46" s="32">
        <f t="shared" si="20"/>
        <v>7554.5</v>
      </c>
      <c r="J46" s="32">
        <f>J47+J50+J52+J54+J55+J56+J51+J49+J48+J53</f>
        <v>14004.7</v>
      </c>
      <c r="K46" s="32">
        <f>J46*100/E46</f>
        <v>97.226503380958334</v>
      </c>
      <c r="L46" s="13">
        <f>J46*100/D46</f>
        <v>63.777454949518891</v>
      </c>
      <c r="M46" s="13">
        <f>J46*100/C46</f>
        <v>63.777454949518877</v>
      </c>
    </row>
    <row r="47" spans="1:13" ht="16.5" customHeight="1" x14ac:dyDescent="0.25">
      <c r="A47" s="26" t="s">
        <v>19</v>
      </c>
      <c r="B47" s="15" t="s">
        <v>20</v>
      </c>
      <c r="C47" s="16">
        <v>14200</v>
      </c>
      <c r="D47" s="21">
        <f t="shared" ref="D47:D56" si="21">F47+G47+H47+I47</f>
        <v>14200</v>
      </c>
      <c r="E47" s="16">
        <f t="shared" ref="E47:E56" si="22">F47+G47+H47</f>
        <v>10080.5</v>
      </c>
      <c r="F47" s="21">
        <v>3213</v>
      </c>
      <c r="G47" s="21">
        <v>3944</v>
      </c>
      <c r="H47" s="22">
        <v>2923.5</v>
      </c>
      <c r="I47" s="19">
        <v>4119.5</v>
      </c>
      <c r="J47" s="18">
        <v>9555.5</v>
      </c>
      <c r="K47" s="17">
        <f>J47*100/E47</f>
        <v>94.791925003720053</v>
      </c>
      <c r="L47" s="19">
        <f>J47*100/D47</f>
        <v>67.292253521126767</v>
      </c>
      <c r="M47" s="19">
        <f>J47*100/C47</f>
        <v>67.292253521126767</v>
      </c>
    </row>
    <row r="48" spans="1:13" ht="39" customHeight="1" x14ac:dyDescent="0.25">
      <c r="A48" s="14" t="s">
        <v>21</v>
      </c>
      <c r="B48" s="20" t="s">
        <v>22</v>
      </c>
      <c r="C48" s="21">
        <v>3866.1</v>
      </c>
      <c r="D48" s="21">
        <f t="shared" si="21"/>
        <v>3866.1000000000004</v>
      </c>
      <c r="E48" s="16">
        <f t="shared" si="22"/>
        <v>2874.4</v>
      </c>
      <c r="F48" s="21">
        <v>959.6</v>
      </c>
      <c r="G48" s="21">
        <v>912.9</v>
      </c>
      <c r="H48" s="22">
        <v>1001.9</v>
      </c>
      <c r="I48" s="19">
        <v>991.7</v>
      </c>
      <c r="J48" s="18">
        <v>2438.6999999999998</v>
      </c>
      <c r="K48" s="17">
        <f>J48*100/E48</f>
        <v>84.842053993876974</v>
      </c>
      <c r="L48" s="19">
        <f>J48*100/D48</f>
        <v>63.079071932955678</v>
      </c>
      <c r="M48" s="19">
        <f>J48*100/C48</f>
        <v>63.079071932955685</v>
      </c>
    </row>
    <row r="49" spans="1:13" ht="13.5" customHeight="1" x14ac:dyDescent="0.25">
      <c r="A49" s="14" t="s">
        <v>23</v>
      </c>
      <c r="B49" s="20" t="s">
        <v>24</v>
      </c>
      <c r="C49" s="21">
        <v>16</v>
      </c>
      <c r="D49" s="21">
        <f t="shared" si="21"/>
        <v>35.1</v>
      </c>
      <c r="E49" s="16">
        <f t="shared" si="22"/>
        <v>35.1</v>
      </c>
      <c r="F49" s="21"/>
      <c r="G49" s="21">
        <v>16</v>
      </c>
      <c r="H49" s="22">
        <v>19.100000000000001</v>
      </c>
      <c r="I49" s="19"/>
      <c r="J49" s="18">
        <v>35.1</v>
      </c>
      <c r="K49" s="17">
        <f>J49*100/E49</f>
        <v>100</v>
      </c>
      <c r="L49" s="19">
        <f>J49*100/D49</f>
        <v>100</v>
      </c>
      <c r="M49" s="19">
        <f>J49*100/C49</f>
        <v>219.375</v>
      </c>
    </row>
    <row r="50" spans="1:13" ht="15" customHeight="1" x14ac:dyDescent="0.25">
      <c r="A50" s="14" t="s">
        <v>25</v>
      </c>
      <c r="B50" s="20" t="s">
        <v>26</v>
      </c>
      <c r="C50" s="21">
        <v>3028.5</v>
      </c>
      <c r="D50" s="21">
        <f t="shared" si="21"/>
        <v>2630.1</v>
      </c>
      <c r="E50" s="16">
        <f t="shared" si="22"/>
        <v>552.6</v>
      </c>
      <c r="F50" s="21">
        <v>316</v>
      </c>
      <c r="G50" s="21">
        <v>227</v>
      </c>
      <c r="H50" s="22">
        <v>9.6</v>
      </c>
      <c r="I50" s="19">
        <v>2077.5</v>
      </c>
      <c r="J50" s="19">
        <v>1132.0999999999999</v>
      </c>
      <c r="K50" s="17">
        <f>J50*100/E50</f>
        <v>204.86789721317405</v>
      </c>
      <c r="L50" s="19">
        <f>J50*100/D50</f>
        <v>43.043990722786205</v>
      </c>
      <c r="M50" s="19">
        <f>J50*100/C50</f>
        <v>37.381542017500408</v>
      </c>
    </row>
    <row r="51" spans="1:13" ht="15.75" customHeight="1" x14ac:dyDescent="0.25">
      <c r="A51" s="14" t="s">
        <v>27</v>
      </c>
      <c r="B51" s="20" t="s">
        <v>28</v>
      </c>
      <c r="C51" s="21"/>
      <c r="D51" s="21">
        <f t="shared" si="21"/>
        <v>0</v>
      </c>
      <c r="E51" s="16">
        <f t="shared" si="22"/>
        <v>0</v>
      </c>
      <c r="F51" s="21"/>
      <c r="G51" s="21"/>
      <c r="H51" s="22"/>
      <c r="I51" s="19"/>
      <c r="J51" s="19">
        <v>2.4</v>
      </c>
      <c r="K51" s="17"/>
      <c r="L51" s="19"/>
      <c r="M51" s="19"/>
    </row>
    <row r="52" spans="1:13" ht="36.75" customHeight="1" x14ac:dyDescent="0.25">
      <c r="A52" s="23" t="s">
        <v>31</v>
      </c>
      <c r="B52" s="20" t="s">
        <v>32</v>
      </c>
      <c r="C52" s="21">
        <v>698.1</v>
      </c>
      <c r="D52" s="21">
        <f t="shared" si="21"/>
        <v>698.1</v>
      </c>
      <c r="E52" s="16">
        <f t="shared" si="22"/>
        <v>352.8</v>
      </c>
      <c r="F52" s="21">
        <v>66</v>
      </c>
      <c r="G52" s="21">
        <v>82.8</v>
      </c>
      <c r="H52" s="22">
        <v>204</v>
      </c>
      <c r="I52" s="19">
        <v>345.3</v>
      </c>
      <c r="J52" s="19">
        <v>409.2</v>
      </c>
      <c r="K52" s="17">
        <f>J52*100/E52</f>
        <v>115.98639455782313</v>
      </c>
      <c r="L52" s="19">
        <f>J52*100/D52</f>
        <v>58.616244091104427</v>
      </c>
      <c r="M52" s="19">
        <f>J52*100/C52</f>
        <v>58.616244091104427</v>
      </c>
    </row>
    <row r="53" spans="1:13" ht="27" customHeight="1" x14ac:dyDescent="0.25">
      <c r="A53" s="25" t="s">
        <v>35</v>
      </c>
      <c r="B53" s="20" t="s">
        <v>36</v>
      </c>
      <c r="C53" s="21"/>
      <c r="D53" s="21">
        <f t="shared" si="21"/>
        <v>129.30000000000001</v>
      </c>
      <c r="E53" s="16">
        <f t="shared" si="22"/>
        <v>129.30000000000001</v>
      </c>
      <c r="F53" s="21"/>
      <c r="G53" s="21">
        <v>129.30000000000001</v>
      </c>
      <c r="H53" s="22"/>
      <c r="I53" s="19"/>
      <c r="J53" s="19">
        <v>129.30000000000001</v>
      </c>
      <c r="K53" s="17">
        <f>J53*100/E53</f>
        <v>100</v>
      </c>
      <c r="L53" s="19">
        <f>J53*100/D53</f>
        <v>100</v>
      </c>
      <c r="M53" s="19"/>
    </row>
    <row r="54" spans="1:13" ht="25.5" customHeight="1" x14ac:dyDescent="0.25">
      <c r="A54" s="25" t="s">
        <v>37</v>
      </c>
      <c r="B54" s="20" t="s">
        <v>38</v>
      </c>
      <c r="C54" s="21">
        <v>150</v>
      </c>
      <c r="D54" s="21">
        <f t="shared" si="21"/>
        <v>150</v>
      </c>
      <c r="E54" s="16">
        <f t="shared" si="22"/>
        <v>129.5</v>
      </c>
      <c r="F54" s="21">
        <v>29</v>
      </c>
      <c r="G54" s="21">
        <v>11.5</v>
      </c>
      <c r="H54" s="22">
        <v>89</v>
      </c>
      <c r="I54" s="19">
        <v>20.5</v>
      </c>
      <c r="J54" s="19">
        <v>52.4</v>
      </c>
      <c r="K54" s="17">
        <f>J54*100/E54</f>
        <v>40.463320463320464</v>
      </c>
      <c r="L54" s="19">
        <f>J54*100/D54</f>
        <v>34.93333333333333</v>
      </c>
      <c r="M54" s="19">
        <f>J54*100/C54</f>
        <v>34.93333333333333</v>
      </c>
    </row>
    <row r="55" spans="1:13" ht="15" customHeight="1" x14ac:dyDescent="0.25">
      <c r="A55" s="26" t="s">
        <v>41</v>
      </c>
      <c r="B55" s="20" t="s">
        <v>42</v>
      </c>
      <c r="C55" s="21">
        <v>0</v>
      </c>
      <c r="D55" s="21">
        <f t="shared" si="21"/>
        <v>250</v>
      </c>
      <c r="E55" s="16">
        <f t="shared" si="22"/>
        <v>250</v>
      </c>
      <c r="F55" s="21"/>
      <c r="G55" s="21"/>
      <c r="H55" s="22">
        <v>250</v>
      </c>
      <c r="I55" s="19"/>
      <c r="J55" s="19">
        <v>250</v>
      </c>
      <c r="K55" s="17">
        <f>J55*100/E55</f>
        <v>100</v>
      </c>
      <c r="L55" s="19">
        <f>J55*100/D55</f>
        <v>100</v>
      </c>
      <c r="M55" s="19"/>
    </row>
    <row r="56" spans="1:13" ht="14.25" customHeight="1" x14ac:dyDescent="0.25">
      <c r="A56" s="45" t="s">
        <v>43</v>
      </c>
      <c r="B56" s="28" t="s">
        <v>44</v>
      </c>
      <c r="C56" s="21"/>
      <c r="D56" s="21">
        <f t="shared" si="21"/>
        <v>0</v>
      </c>
      <c r="E56" s="16">
        <f t="shared" si="22"/>
        <v>0</v>
      </c>
      <c r="F56" s="21"/>
      <c r="G56" s="21"/>
      <c r="H56" s="22"/>
      <c r="I56" s="19"/>
      <c r="J56" s="19"/>
      <c r="K56" s="17"/>
      <c r="L56" s="19"/>
      <c r="M56" s="19"/>
    </row>
    <row r="57" spans="1:13" ht="13.5" customHeight="1" x14ac:dyDescent="0.25">
      <c r="A57" s="10" t="s">
        <v>45</v>
      </c>
      <c r="B57" s="30" t="s">
        <v>46</v>
      </c>
      <c r="C57" s="31">
        <f>C58+C60+C59</f>
        <v>20853</v>
      </c>
      <c r="D57" s="31">
        <f>D58+D60+D59</f>
        <v>24868.799999999999</v>
      </c>
      <c r="E57" s="31">
        <f t="shared" ref="E57:J57" si="23">E58+E60+E59</f>
        <v>16967.2</v>
      </c>
      <c r="F57" s="31">
        <f t="shared" si="23"/>
        <v>6327.1</v>
      </c>
      <c r="G57" s="31">
        <f t="shared" si="23"/>
        <v>4248.3999999999996</v>
      </c>
      <c r="H57" s="31">
        <f t="shared" si="23"/>
        <v>6391.7000000000007</v>
      </c>
      <c r="I57" s="31">
        <f t="shared" si="23"/>
        <v>7901.5</v>
      </c>
      <c r="J57" s="31">
        <f t="shared" si="23"/>
        <v>9562.1</v>
      </c>
      <c r="K57" s="32">
        <f>J57*100/E57</f>
        <v>56.356381724739492</v>
      </c>
      <c r="L57" s="13">
        <f>J57*100/D57</f>
        <v>38.450186579167472</v>
      </c>
      <c r="M57" s="13">
        <f>J57*100/C57</f>
        <v>45.854793075336879</v>
      </c>
    </row>
    <row r="58" spans="1:13" ht="37.5" customHeight="1" x14ac:dyDescent="0.25">
      <c r="A58" s="33" t="s">
        <v>47</v>
      </c>
      <c r="B58" s="34" t="s">
        <v>48</v>
      </c>
      <c r="C58" s="35">
        <v>20853</v>
      </c>
      <c r="D58" s="21">
        <f>F58+G58+H58+I58+0.1</f>
        <v>24840.799999999999</v>
      </c>
      <c r="E58" s="16">
        <f>F58+G58+H58</f>
        <v>16939.2</v>
      </c>
      <c r="F58" s="35">
        <v>6299.1</v>
      </c>
      <c r="G58" s="35">
        <v>4248.3999999999996</v>
      </c>
      <c r="H58" s="22">
        <f>6340.1+51.6</f>
        <v>6391.7000000000007</v>
      </c>
      <c r="I58" s="22">
        <v>7901.5</v>
      </c>
      <c r="J58" s="19">
        <v>9534.1</v>
      </c>
      <c r="K58" s="17">
        <f>J58*100/E58</f>
        <v>56.284240105790118</v>
      </c>
      <c r="L58" s="19">
        <f>J58*100/D58</f>
        <v>38.380808991658888</v>
      </c>
      <c r="M58" s="19">
        <f>J58*100/C58</f>
        <v>45.720519829281159</v>
      </c>
    </row>
    <row r="59" spans="1:13" ht="72" customHeight="1" x14ac:dyDescent="0.25">
      <c r="A59" s="33" t="s">
        <v>51</v>
      </c>
      <c r="B59" s="28" t="s">
        <v>52</v>
      </c>
      <c r="C59" s="36"/>
      <c r="D59" s="21">
        <f>F59+G59+H59+I59</f>
        <v>28</v>
      </c>
      <c r="E59" s="16">
        <f>F59+G59+H59</f>
        <v>28</v>
      </c>
      <c r="F59" s="35">
        <v>28</v>
      </c>
      <c r="G59" s="35"/>
      <c r="H59" s="22"/>
      <c r="I59" s="41"/>
      <c r="J59" s="19">
        <v>28</v>
      </c>
      <c r="K59" s="17">
        <f>J59*100/E59</f>
        <v>100</v>
      </c>
      <c r="L59" s="19">
        <f>J59*100/D59</f>
        <v>100</v>
      </c>
      <c r="M59" s="19"/>
    </row>
    <row r="60" spans="1:13" ht="51.75" customHeight="1" x14ac:dyDescent="0.25">
      <c r="A60" s="33" t="s">
        <v>53</v>
      </c>
      <c r="B60" s="38" t="s">
        <v>54</v>
      </c>
      <c r="C60" s="38"/>
      <c r="D60" s="21">
        <f>F60+G60+H60+I60</f>
        <v>0</v>
      </c>
      <c r="E60" s="21">
        <f>F60</f>
        <v>0</v>
      </c>
      <c r="F60" s="46"/>
      <c r="G60" s="46"/>
      <c r="H60" s="22"/>
      <c r="I60" s="41"/>
      <c r="J60" s="19"/>
      <c r="K60" s="17"/>
      <c r="L60" s="19"/>
      <c r="M60" s="19" t="e">
        <f>J60*100/C60</f>
        <v>#DIV/0!</v>
      </c>
    </row>
    <row r="61" spans="1:13" ht="18" customHeight="1" x14ac:dyDescent="0.25">
      <c r="A61" s="23"/>
      <c r="B61" s="47" t="s">
        <v>55</v>
      </c>
      <c r="C61" s="48">
        <f t="shared" ref="C61:J61" si="24">C57+C46</f>
        <v>42811.7</v>
      </c>
      <c r="D61" s="48">
        <f t="shared" si="24"/>
        <v>46827.499999999993</v>
      </c>
      <c r="E61" s="48">
        <f t="shared" si="24"/>
        <v>31371.4</v>
      </c>
      <c r="F61" s="48">
        <f t="shared" si="24"/>
        <v>10910.7</v>
      </c>
      <c r="G61" s="48">
        <f t="shared" si="24"/>
        <v>9571.9</v>
      </c>
      <c r="H61" s="48">
        <f t="shared" si="24"/>
        <v>10888.8</v>
      </c>
      <c r="I61" s="48">
        <f t="shared" si="24"/>
        <v>15456</v>
      </c>
      <c r="J61" s="48">
        <f t="shared" si="24"/>
        <v>23566.800000000003</v>
      </c>
      <c r="K61" s="32">
        <f>J61*100/E61</f>
        <v>75.121926340552236</v>
      </c>
      <c r="L61" s="13">
        <f>J61*100/D61</f>
        <v>50.326837862367213</v>
      </c>
      <c r="M61" s="13">
        <f>J61*100/C61</f>
        <v>55.04756877208802</v>
      </c>
    </row>
    <row r="62" spans="1:13" x14ac:dyDescent="0.25">
      <c r="A62" s="163"/>
      <c r="B62" s="164"/>
      <c r="C62" s="164"/>
      <c r="D62" s="164"/>
      <c r="E62" s="164"/>
      <c r="F62" s="164"/>
      <c r="G62" s="164"/>
      <c r="H62" s="164"/>
      <c r="I62" s="164"/>
      <c r="J62" s="164"/>
      <c r="K62" s="32"/>
      <c r="L62" s="13"/>
      <c r="M62" s="19"/>
    </row>
    <row r="63" spans="1:13" x14ac:dyDescent="0.25">
      <c r="A63" s="161" t="s">
        <v>58</v>
      </c>
      <c r="B63" s="162"/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5"/>
    </row>
    <row r="64" spans="1:13" ht="18" customHeight="1" x14ac:dyDescent="0.25">
      <c r="A64" s="10" t="s">
        <v>17</v>
      </c>
      <c r="B64" s="11" t="s">
        <v>18</v>
      </c>
      <c r="C64" s="12">
        <f>C65+C68+C70+C72+C69+C74+C73+C67+C71+C66</f>
        <v>43308.299999999996</v>
      </c>
      <c r="D64" s="12">
        <f>D65+D68+D70+D72+D69+D74+D73+D67+D71+D66</f>
        <v>44209.399999999994</v>
      </c>
      <c r="E64" s="12">
        <f>E65+E68+E70+E72+E69+E74+E73+E67+E71+E66</f>
        <v>30311.899999999998</v>
      </c>
      <c r="F64" s="12">
        <f t="shared" ref="F64:J64" si="25">F65+F68+F70+F72+F69+F74+F73+F67+F71+F66</f>
        <v>9267.2999999999993</v>
      </c>
      <c r="G64" s="12">
        <f t="shared" si="25"/>
        <v>9136.6</v>
      </c>
      <c r="H64" s="12">
        <f t="shared" si="25"/>
        <v>11908</v>
      </c>
      <c r="I64" s="12">
        <f t="shared" si="25"/>
        <v>13897.5</v>
      </c>
      <c r="J64" s="12">
        <f t="shared" si="25"/>
        <v>27080.399999999994</v>
      </c>
      <c r="K64" s="32">
        <f t="shared" ref="K64:K70" si="26">J64*100/E64</f>
        <v>89.339170424816643</v>
      </c>
      <c r="L64" s="13">
        <f t="shared" ref="L64:L70" si="27">J64*100/D64</f>
        <v>61.254846254416478</v>
      </c>
      <c r="M64" s="13">
        <f t="shared" ref="M64:M70" si="28">J64*100/C64</f>
        <v>62.529353495750236</v>
      </c>
    </row>
    <row r="65" spans="1:13" ht="17.25" customHeight="1" x14ac:dyDescent="0.25">
      <c r="A65" s="14" t="s">
        <v>19</v>
      </c>
      <c r="B65" s="15" t="s">
        <v>20</v>
      </c>
      <c r="C65" s="16">
        <v>21100</v>
      </c>
      <c r="D65" s="21">
        <f t="shared" ref="D65:D74" si="29">F65+G65+H65+I65</f>
        <v>21100</v>
      </c>
      <c r="E65" s="16">
        <f t="shared" ref="E65:E74" si="30">F65+G65+H65</f>
        <v>16092</v>
      </c>
      <c r="F65" s="49">
        <v>5156</v>
      </c>
      <c r="G65" s="49">
        <v>5309</v>
      </c>
      <c r="H65" s="17">
        <v>5627</v>
      </c>
      <c r="I65" s="17">
        <v>5008</v>
      </c>
      <c r="J65" s="17">
        <v>15101.3</v>
      </c>
      <c r="K65" s="17">
        <f t="shared" si="26"/>
        <v>93.843524732786477</v>
      </c>
      <c r="L65" s="19">
        <f t="shared" si="27"/>
        <v>71.570142180094791</v>
      </c>
      <c r="M65" s="19">
        <f t="shared" si="28"/>
        <v>71.570142180094791</v>
      </c>
    </row>
    <row r="66" spans="1:13" ht="36.75" customHeight="1" x14ac:dyDescent="0.25">
      <c r="A66" s="14" t="s">
        <v>21</v>
      </c>
      <c r="B66" s="20" t="s">
        <v>22</v>
      </c>
      <c r="C66" s="21">
        <v>6651.7</v>
      </c>
      <c r="D66" s="21">
        <f t="shared" si="29"/>
        <v>6651.7000000000007</v>
      </c>
      <c r="E66" s="16">
        <f t="shared" si="30"/>
        <v>5015.8</v>
      </c>
      <c r="F66" s="49">
        <v>1687</v>
      </c>
      <c r="G66" s="49">
        <v>1665.9</v>
      </c>
      <c r="H66" s="17">
        <v>1662.9</v>
      </c>
      <c r="I66" s="17">
        <v>1635.9</v>
      </c>
      <c r="J66" s="17">
        <v>4195.8999999999996</v>
      </c>
      <c r="K66" s="17">
        <f t="shared" si="26"/>
        <v>83.653654451931885</v>
      </c>
      <c r="L66" s="19">
        <f t="shared" si="27"/>
        <v>63.080114857855868</v>
      </c>
      <c r="M66" s="19">
        <f t="shared" si="28"/>
        <v>63.080114857855882</v>
      </c>
    </row>
    <row r="67" spans="1:13" ht="15.75" customHeight="1" x14ac:dyDescent="0.25">
      <c r="A67" s="14" t="s">
        <v>23</v>
      </c>
      <c r="B67" s="20" t="s">
        <v>24</v>
      </c>
      <c r="C67" s="21">
        <v>90</v>
      </c>
      <c r="D67" s="21">
        <f t="shared" si="29"/>
        <v>90</v>
      </c>
      <c r="E67" s="16">
        <f t="shared" si="30"/>
        <v>67.5</v>
      </c>
      <c r="F67" s="35">
        <v>22.5</v>
      </c>
      <c r="G67" s="35">
        <v>22.5</v>
      </c>
      <c r="H67" s="22">
        <v>22.5</v>
      </c>
      <c r="I67" s="22">
        <v>22.5</v>
      </c>
      <c r="J67" s="22">
        <v>17.600000000000001</v>
      </c>
      <c r="K67" s="17">
        <f t="shared" si="26"/>
        <v>26.074074074074076</v>
      </c>
      <c r="L67" s="19">
        <f t="shared" si="27"/>
        <v>19.555555555555557</v>
      </c>
      <c r="M67" s="19">
        <f t="shared" si="28"/>
        <v>19.555555555555557</v>
      </c>
    </row>
    <row r="68" spans="1:13" ht="13.5" customHeight="1" x14ac:dyDescent="0.25">
      <c r="A68" s="14" t="s">
        <v>25</v>
      </c>
      <c r="B68" s="20" t="s">
        <v>26</v>
      </c>
      <c r="C68" s="21">
        <v>9748.7000000000007</v>
      </c>
      <c r="D68" s="21">
        <f t="shared" si="29"/>
        <v>9748.7000000000007</v>
      </c>
      <c r="E68" s="16">
        <f t="shared" si="30"/>
        <v>3944.5</v>
      </c>
      <c r="F68" s="35">
        <v>1011.5</v>
      </c>
      <c r="G68" s="35">
        <v>691.5</v>
      </c>
      <c r="H68" s="22">
        <v>2241.5</v>
      </c>
      <c r="I68" s="22">
        <v>5804.2</v>
      </c>
      <c r="J68" s="22">
        <v>2216.1</v>
      </c>
      <c r="K68" s="17">
        <f t="shared" si="26"/>
        <v>56.182025605273168</v>
      </c>
      <c r="L68" s="19">
        <f t="shared" si="27"/>
        <v>22.73226173746243</v>
      </c>
      <c r="M68" s="19">
        <f t="shared" si="28"/>
        <v>22.73226173746243</v>
      </c>
    </row>
    <row r="69" spans="1:13" ht="12.75" customHeight="1" x14ac:dyDescent="0.25">
      <c r="A69" s="14" t="s">
        <v>27</v>
      </c>
      <c r="B69" s="20" t="s">
        <v>28</v>
      </c>
      <c r="C69" s="21">
        <v>44.1</v>
      </c>
      <c r="D69" s="21">
        <f t="shared" si="29"/>
        <v>44.1</v>
      </c>
      <c r="E69" s="16">
        <f t="shared" si="30"/>
        <v>44.1</v>
      </c>
      <c r="F69" s="35"/>
      <c r="G69" s="35">
        <v>22.1</v>
      </c>
      <c r="H69" s="22">
        <v>22</v>
      </c>
      <c r="I69" s="22"/>
      <c r="J69" s="22">
        <v>24</v>
      </c>
      <c r="K69" s="17">
        <f t="shared" si="26"/>
        <v>54.42176870748299</v>
      </c>
      <c r="L69" s="19">
        <f t="shared" si="27"/>
        <v>54.42176870748299</v>
      </c>
      <c r="M69" s="19">
        <f t="shared" si="28"/>
        <v>54.42176870748299</v>
      </c>
    </row>
    <row r="70" spans="1:13" ht="40.5" customHeight="1" x14ac:dyDescent="0.25">
      <c r="A70" s="23" t="s">
        <v>31</v>
      </c>
      <c r="B70" s="20" t="s">
        <v>32</v>
      </c>
      <c r="C70" s="21">
        <v>5558.8</v>
      </c>
      <c r="D70" s="21">
        <f t="shared" si="29"/>
        <v>6458.7999999999993</v>
      </c>
      <c r="E70" s="16">
        <f t="shared" si="30"/>
        <v>5069.8999999999996</v>
      </c>
      <c r="F70" s="35">
        <v>1389.3</v>
      </c>
      <c r="G70" s="35">
        <v>1387.6</v>
      </c>
      <c r="H70" s="22">
        <v>2293</v>
      </c>
      <c r="I70" s="22">
        <v>1388.9</v>
      </c>
      <c r="J70" s="22">
        <v>5432.4</v>
      </c>
      <c r="K70" s="17">
        <f t="shared" si="26"/>
        <v>107.15004240714808</v>
      </c>
      <c r="L70" s="19">
        <f t="shared" si="27"/>
        <v>84.108503127515959</v>
      </c>
      <c r="M70" s="19">
        <f t="shared" si="28"/>
        <v>97.726127941282286</v>
      </c>
    </row>
    <row r="71" spans="1:13" ht="26.25" customHeight="1" x14ac:dyDescent="0.25">
      <c r="A71" s="25" t="s">
        <v>35</v>
      </c>
      <c r="B71" s="20" t="s">
        <v>36</v>
      </c>
      <c r="C71" s="21"/>
      <c r="D71" s="21">
        <f t="shared" si="29"/>
        <v>0</v>
      </c>
      <c r="E71" s="16">
        <f t="shared" si="30"/>
        <v>0</v>
      </c>
      <c r="F71" s="35"/>
      <c r="G71" s="35"/>
      <c r="H71" s="22"/>
      <c r="I71" s="22"/>
      <c r="J71" s="22"/>
      <c r="K71" s="17"/>
      <c r="L71" s="19"/>
      <c r="M71" s="19"/>
    </row>
    <row r="72" spans="1:13" ht="25.5" customHeight="1" x14ac:dyDescent="0.25">
      <c r="A72" s="24" t="s">
        <v>37</v>
      </c>
      <c r="B72" s="20" t="s">
        <v>38</v>
      </c>
      <c r="C72" s="21">
        <v>115</v>
      </c>
      <c r="D72" s="21">
        <f t="shared" si="29"/>
        <v>115</v>
      </c>
      <c r="E72" s="16">
        <f t="shared" si="30"/>
        <v>77</v>
      </c>
      <c r="F72" s="35">
        <v>1</v>
      </c>
      <c r="G72" s="35">
        <v>38</v>
      </c>
      <c r="H72" s="22">
        <v>38</v>
      </c>
      <c r="I72" s="22">
        <v>38</v>
      </c>
      <c r="J72" s="22">
        <v>86.7</v>
      </c>
      <c r="K72" s="17">
        <f t="shared" ref="K72:K78" si="31">J72*100/E72</f>
        <v>112.59740259740259</v>
      </c>
      <c r="L72" s="19">
        <f t="shared" ref="L72:L78" si="32">J72*100/D72</f>
        <v>75.391304347826093</v>
      </c>
      <c r="M72" s="19">
        <f>J72*100/C72</f>
        <v>75.391304347826093</v>
      </c>
    </row>
    <row r="73" spans="1:13" ht="16.5" customHeight="1" x14ac:dyDescent="0.25">
      <c r="A73" s="26" t="s">
        <v>41</v>
      </c>
      <c r="B73" s="20" t="s">
        <v>42</v>
      </c>
      <c r="C73" s="21"/>
      <c r="D73" s="21">
        <f t="shared" si="29"/>
        <v>1.1000000000000001</v>
      </c>
      <c r="E73" s="16">
        <f t="shared" si="30"/>
        <v>1.1000000000000001</v>
      </c>
      <c r="F73" s="35"/>
      <c r="G73" s="35"/>
      <c r="H73" s="22">
        <v>1.1000000000000001</v>
      </c>
      <c r="I73" s="22"/>
      <c r="J73" s="22">
        <v>2.2999999999999998</v>
      </c>
      <c r="K73" s="17">
        <f t="shared" si="31"/>
        <v>209.09090909090904</v>
      </c>
      <c r="L73" s="19">
        <f t="shared" si="32"/>
        <v>209.09090909090904</v>
      </c>
      <c r="M73" s="19"/>
    </row>
    <row r="74" spans="1:13" ht="15.75" customHeight="1" x14ac:dyDescent="0.25">
      <c r="A74" s="27" t="s">
        <v>43</v>
      </c>
      <c r="B74" s="28" t="s">
        <v>44</v>
      </c>
      <c r="C74" s="21"/>
      <c r="D74" s="21">
        <f t="shared" si="29"/>
        <v>0</v>
      </c>
      <c r="E74" s="16">
        <f t="shared" si="30"/>
        <v>0</v>
      </c>
      <c r="F74" s="35"/>
      <c r="G74" s="35"/>
      <c r="H74" s="22"/>
      <c r="I74" s="22"/>
      <c r="J74" s="22">
        <v>4.0999999999999996</v>
      </c>
      <c r="K74" s="17" t="e">
        <f t="shared" si="31"/>
        <v>#DIV/0!</v>
      </c>
      <c r="L74" s="19" t="e">
        <f t="shared" si="32"/>
        <v>#DIV/0!</v>
      </c>
      <c r="M74" s="19"/>
    </row>
    <row r="75" spans="1:13" ht="14.25" customHeight="1" x14ac:dyDescent="0.25">
      <c r="A75" s="29" t="s">
        <v>45</v>
      </c>
      <c r="B75" s="30" t="s">
        <v>46</v>
      </c>
      <c r="C75" s="31">
        <f t="shared" ref="C75:J75" si="33">C76+C77</f>
        <v>31268.9</v>
      </c>
      <c r="D75" s="31">
        <f t="shared" si="33"/>
        <v>58217.999999999993</v>
      </c>
      <c r="E75" s="31">
        <f t="shared" si="33"/>
        <v>51743.899999999994</v>
      </c>
      <c r="F75" s="31">
        <f t="shared" si="33"/>
        <v>24357.1</v>
      </c>
      <c r="G75" s="31">
        <f t="shared" si="33"/>
        <v>16598.3</v>
      </c>
      <c r="H75" s="31">
        <f t="shared" si="33"/>
        <v>10788.5</v>
      </c>
      <c r="I75" s="31">
        <f t="shared" si="33"/>
        <v>6474.1</v>
      </c>
      <c r="J75" s="31">
        <f t="shared" si="33"/>
        <v>38090</v>
      </c>
      <c r="K75" s="32">
        <f t="shared" si="31"/>
        <v>73.61254176820843</v>
      </c>
      <c r="L75" s="13">
        <f t="shared" si="32"/>
        <v>65.426500395066824</v>
      </c>
      <c r="M75" s="13">
        <f>J75*100/C75</f>
        <v>121.81432669521473</v>
      </c>
    </row>
    <row r="76" spans="1:13" ht="35.25" customHeight="1" x14ac:dyDescent="0.25">
      <c r="A76" s="33" t="s">
        <v>47</v>
      </c>
      <c r="B76" s="34" t="s">
        <v>48</v>
      </c>
      <c r="C76" s="35">
        <v>31268.9</v>
      </c>
      <c r="D76" s="21">
        <f>F76+G76+H76+I76</f>
        <v>58207.999999999993</v>
      </c>
      <c r="E76" s="16">
        <f>F76+G76+H76</f>
        <v>51733.899999999994</v>
      </c>
      <c r="F76" s="35">
        <f>24157.1+200</f>
        <v>24357.1</v>
      </c>
      <c r="G76" s="35">
        <f>16588.3+10</f>
        <v>16598.3</v>
      </c>
      <c r="H76" s="22">
        <f>10736.9+41.6</f>
        <v>10778.5</v>
      </c>
      <c r="I76" s="19">
        <v>6474.1</v>
      </c>
      <c r="J76" s="19">
        <v>38080</v>
      </c>
      <c r="K76" s="17">
        <f t="shared" si="31"/>
        <v>73.607441155605912</v>
      </c>
      <c r="L76" s="19">
        <f t="shared" si="32"/>
        <v>65.420560747663558</v>
      </c>
      <c r="M76" s="19">
        <f>J76*100/C76</f>
        <v>121.78234603711675</v>
      </c>
    </row>
    <row r="77" spans="1:13" ht="17.25" customHeight="1" x14ac:dyDescent="0.25">
      <c r="A77" s="33" t="s">
        <v>49</v>
      </c>
      <c r="B77" s="36" t="s">
        <v>50</v>
      </c>
      <c r="C77" s="37"/>
      <c r="D77" s="21">
        <f>F77+G77+H77+I77</f>
        <v>10</v>
      </c>
      <c r="E77" s="16">
        <f>F77+G77+H77</f>
        <v>10</v>
      </c>
      <c r="F77" s="46"/>
      <c r="G77" s="46"/>
      <c r="H77" s="22">
        <v>10</v>
      </c>
      <c r="I77" s="19"/>
      <c r="J77" s="19">
        <v>10</v>
      </c>
      <c r="K77" s="17">
        <f t="shared" si="31"/>
        <v>100</v>
      </c>
      <c r="L77" s="19">
        <f t="shared" si="32"/>
        <v>100</v>
      </c>
      <c r="M77" s="19"/>
    </row>
    <row r="78" spans="1:13" ht="19.5" customHeight="1" x14ac:dyDescent="0.25">
      <c r="A78" s="26"/>
      <c r="B78" s="40" t="s">
        <v>55</v>
      </c>
      <c r="C78" s="13">
        <f t="shared" ref="C78:J78" si="34">C75+C64</f>
        <v>74577.2</v>
      </c>
      <c r="D78" s="13">
        <f t="shared" si="34"/>
        <v>102427.4</v>
      </c>
      <c r="E78" s="13">
        <f t="shared" si="34"/>
        <v>82055.799999999988</v>
      </c>
      <c r="F78" s="13">
        <f t="shared" si="34"/>
        <v>33624.399999999994</v>
      </c>
      <c r="G78" s="13">
        <f t="shared" si="34"/>
        <v>25734.9</v>
      </c>
      <c r="H78" s="13">
        <f t="shared" si="34"/>
        <v>22696.5</v>
      </c>
      <c r="I78" s="13">
        <f t="shared" si="34"/>
        <v>20371.599999999999</v>
      </c>
      <c r="J78" s="13">
        <f t="shared" si="34"/>
        <v>65170.399999999994</v>
      </c>
      <c r="K78" s="32">
        <f t="shared" si="31"/>
        <v>79.422051823271488</v>
      </c>
      <c r="L78" s="13">
        <f t="shared" si="32"/>
        <v>63.625943839246133</v>
      </c>
      <c r="M78" s="13">
        <f>J78*100/C78</f>
        <v>87.38649345912691</v>
      </c>
    </row>
    <row r="79" spans="1:13" x14ac:dyDescent="0.25">
      <c r="A79" s="163"/>
      <c r="B79" s="164"/>
      <c r="C79" s="164"/>
      <c r="D79" s="164"/>
      <c r="E79" s="164"/>
      <c r="F79" s="164"/>
      <c r="G79" s="164"/>
      <c r="H79" s="164"/>
      <c r="I79" s="164"/>
      <c r="J79" s="164"/>
      <c r="K79" s="32"/>
      <c r="L79" s="13"/>
      <c r="M79" s="19"/>
    </row>
    <row r="80" spans="1:13" x14ac:dyDescent="0.25">
      <c r="A80" s="161" t="s">
        <v>59</v>
      </c>
      <c r="B80" s="162"/>
      <c r="C80" s="162"/>
      <c r="D80" s="162"/>
      <c r="E80" s="162"/>
      <c r="F80" s="162"/>
      <c r="G80" s="162"/>
      <c r="H80" s="162"/>
      <c r="I80" s="162"/>
      <c r="J80" s="162"/>
      <c r="K80" s="162"/>
      <c r="L80" s="162"/>
      <c r="M80" s="165"/>
    </row>
    <row r="81" spans="1:13" ht="12" customHeight="1" x14ac:dyDescent="0.25">
      <c r="A81" s="29" t="s">
        <v>17</v>
      </c>
      <c r="B81" s="42" t="s">
        <v>18</v>
      </c>
      <c r="C81" s="32">
        <f t="shared" ref="C81:I81" si="35">C82+C84+C85+C86+C87+C88+C89+C90+C91+C83</f>
        <v>43172.200000000004</v>
      </c>
      <c r="D81" s="32">
        <f t="shared" si="35"/>
        <v>43172.2</v>
      </c>
      <c r="E81" s="32">
        <f t="shared" si="35"/>
        <v>29908.300000000003</v>
      </c>
      <c r="F81" s="32">
        <f t="shared" si="35"/>
        <v>11820.800000000001</v>
      </c>
      <c r="G81" s="32">
        <f t="shared" si="35"/>
        <v>8992.5999999999985</v>
      </c>
      <c r="H81" s="32">
        <f t="shared" si="35"/>
        <v>9094.9000000000015</v>
      </c>
      <c r="I81" s="32">
        <f t="shared" si="35"/>
        <v>13263.900000000001</v>
      </c>
      <c r="J81" s="32">
        <f>J82+J84+J85+J86+J87+J88+J89+J90+J91+J83</f>
        <v>23871.8</v>
      </c>
      <c r="K81" s="32">
        <f t="shared" ref="K81:K87" si="36">J81*100/E81</f>
        <v>79.816639528157722</v>
      </c>
      <c r="L81" s="13">
        <f t="shared" ref="L81:L87" si="37">J81*100/D81</f>
        <v>55.294379253315796</v>
      </c>
      <c r="M81" s="13">
        <f t="shared" ref="M81:M87" si="38">J81*100/C81</f>
        <v>55.294379253315789</v>
      </c>
    </row>
    <row r="82" spans="1:13" ht="12" customHeight="1" x14ac:dyDescent="0.25">
      <c r="A82" s="26" t="s">
        <v>19</v>
      </c>
      <c r="B82" s="20" t="s">
        <v>20</v>
      </c>
      <c r="C82" s="21">
        <v>29500</v>
      </c>
      <c r="D82" s="21">
        <f t="shared" ref="D82:D91" si="39">F82+G82+H82+I82</f>
        <v>29500</v>
      </c>
      <c r="E82" s="16">
        <f t="shared" ref="E82:E91" si="40">F82+G82+H82</f>
        <v>20650</v>
      </c>
      <c r="F82" s="35">
        <v>8850</v>
      </c>
      <c r="G82" s="35">
        <v>5900</v>
      </c>
      <c r="H82" s="22">
        <v>5900</v>
      </c>
      <c r="I82" s="22">
        <v>8850</v>
      </c>
      <c r="J82" s="19">
        <v>16715.7</v>
      </c>
      <c r="K82" s="17">
        <f t="shared" si="36"/>
        <v>80.947699757869245</v>
      </c>
      <c r="L82" s="19">
        <f t="shared" si="37"/>
        <v>56.663389830508471</v>
      </c>
      <c r="M82" s="19">
        <f t="shared" si="38"/>
        <v>56.663389830508471</v>
      </c>
    </row>
    <row r="83" spans="1:13" ht="36.75" customHeight="1" x14ac:dyDescent="0.25">
      <c r="A83" s="14" t="s">
        <v>21</v>
      </c>
      <c r="B83" s="20" t="s">
        <v>22</v>
      </c>
      <c r="C83" s="21">
        <v>4257.3</v>
      </c>
      <c r="D83" s="21">
        <f t="shared" si="39"/>
        <v>4257.2999999999993</v>
      </c>
      <c r="E83" s="16">
        <f t="shared" si="40"/>
        <v>2980.2</v>
      </c>
      <c r="F83" s="35">
        <v>1277.2</v>
      </c>
      <c r="G83" s="35">
        <v>851.5</v>
      </c>
      <c r="H83" s="22">
        <v>851.5</v>
      </c>
      <c r="I83" s="22">
        <v>1277.0999999999999</v>
      </c>
      <c r="J83" s="19">
        <v>2685.5</v>
      </c>
      <c r="K83" s="17">
        <f t="shared" si="36"/>
        <v>90.111401919334284</v>
      </c>
      <c r="L83" s="19">
        <f t="shared" si="37"/>
        <v>63.079886312921346</v>
      </c>
      <c r="M83" s="19">
        <f t="shared" si="38"/>
        <v>63.079886312921332</v>
      </c>
    </row>
    <row r="84" spans="1:13" ht="12" customHeight="1" x14ac:dyDescent="0.25">
      <c r="A84" s="14" t="s">
        <v>23</v>
      </c>
      <c r="B84" s="20" t="s">
        <v>24</v>
      </c>
      <c r="C84" s="21"/>
      <c r="D84" s="21">
        <f t="shared" si="39"/>
        <v>0</v>
      </c>
      <c r="E84" s="16">
        <f t="shared" si="40"/>
        <v>0</v>
      </c>
      <c r="F84" s="35"/>
      <c r="G84" s="35"/>
      <c r="H84" s="22"/>
      <c r="I84" s="22"/>
      <c r="J84" s="19"/>
      <c r="K84" s="17" t="e">
        <f t="shared" si="36"/>
        <v>#DIV/0!</v>
      </c>
      <c r="L84" s="19" t="e">
        <f t="shared" si="37"/>
        <v>#DIV/0!</v>
      </c>
      <c r="M84" s="19" t="e">
        <f t="shared" si="38"/>
        <v>#DIV/0!</v>
      </c>
    </row>
    <row r="85" spans="1:13" ht="16.5" customHeight="1" x14ac:dyDescent="0.25">
      <c r="A85" s="14" t="s">
        <v>25</v>
      </c>
      <c r="B85" s="20" t="s">
        <v>26</v>
      </c>
      <c r="C85" s="21">
        <v>2312.9</v>
      </c>
      <c r="D85" s="21">
        <f t="shared" si="39"/>
        <v>2312.9</v>
      </c>
      <c r="E85" s="16">
        <f t="shared" si="40"/>
        <v>1387.7</v>
      </c>
      <c r="F85" s="35">
        <v>462.6</v>
      </c>
      <c r="G85" s="35">
        <v>412.9</v>
      </c>
      <c r="H85" s="22">
        <v>512.20000000000005</v>
      </c>
      <c r="I85" s="22">
        <v>925.2</v>
      </c>
      <c r="J85" s="19">
        <v>1107</v>
      </c>
      <c r="K85" s="17">
        <f t="shared" si="36"/>
        <v>79.772285076025071</v>
      </c>
      <c r="L85" s="19">
        <f t="shared" si="37"/>
        <v>47.861991439318601</v>
      </c>
      <c r="M85" s="19">
        <f t="shared" si="38"/>
        <v>47.861991439318601</v>
      </c>
    </row>
    <row r="86" spans="1:13" ht="14.25" customHeight="1" x14ac:dyDescent="0.25">
      <c r="A86" s="14" t="s">
        <v>27</v>
      </c>
      <c r="B86" s="20" t="s">
        <v>28</v>
      </c>
      <c r="C86" s="21"/>
      <c r="D86" s="21">
        <f t="shared" si="39"/>
        <v>0</v>
      </c>
      <c r="E86" s="16">
        <f t="shared" si="40"/>
        <v>0</v>
      </c>
      <c r="F86" s="35"/>
      <c r="G86" s="35"/>
      <c r="H86" s="22"/>
      <c r="I86" s="22"/>
      <c r="J86" s="19"/>
      <c r="K86" s="17" t="e">
        <f t="shared" si="36"/>
        <v>#DIV/0!</v>
      </c>
      <c r="L86" s="19" t="e">
        <f t="shared" si="37"/>
        <v>#DIV/0!</v>
      </c>
      <c r="M86" s="19" t="e">
        <f t="shared" si="38"/>
        <v>#DIV/0!</v>
      </c>
    </row>
    <row r="87" spans="1:13" ht="39" customHeight="1" x14ac:dyDescent="0.25">
      <c r="A87" s="23" t="s">
        <v>31</v>
      </c>
      <c r="B87" s="20" t="s">
        <v>32</v>
      </c>
      <c r="C87" s="21">
        <v>6954</v>
      </c>
      <c r="D87" s="21">
        <f t="shared" si="39"/>
        <v>6954</v>
      </c>
      <c r="E87" s="16">
        <f t="shared" si="40"/>
        <v>4838.6000000000004</v>
      </c>
      <c r="F87" s="35">
        <v>1223.5999999999999</v>
      </c>
      <c r="G87" s="35">
        <v>1806</v>
      </c>
      <c r="H87" s="22">
        <v>1809</v>
      </c>
      <c r="I87" s="22">
        <v>2115.4</v>
      </c>
      <c r="J87" s="19">
        <v>3252.3</v>
      </c>
      <c r="K87" s="17">
        <f t="shared" si="36"/>
        <v>67.215723556400604</v>
      </c>
      <c r="L87" s="19">
        <f t="shared" si="37"/>
        <v>46.76876617773943</v>
      </c>
      <c r="M87" s="19">
        <f t="shared" si="38"/>
        <v>46.76876617773943</v>
      </c>
    </row>
    <row r="88" spans="1:13" ht="27" customHeight="1" x14ac:dyDescent="0.25">
      <c r="A88" s="25" t="s">
        <v>35</v>
      </c>
      <c r="B88" s="20" t="s">
        <v>36</v>
      </c>
      <c r="C88" s="21">
        <v>0</v>
      </c>
      <c r="D88" s="21">
        <f t="shared" si="39"/>
        <v>0</v>
      </c>
      <c r="E88" s="16">
        <f t="shared" si="40"/>
        <v>0</v>
      </c>
      <c r="F88" s="35"/>
      <c r="G88" s="35"/>
      <c r="H88" s="22"/>
      <c r="I88" s="22"/>
      <c r="J88" s="19">
        <v>5.7</v>
      </c>
      <c r="K88" s="17"/>
      <c r="L88" s="19"/>
      <c r="M88" s="19"/>
    </row>
    <row r="89" spans="1:13" ht="24.75" customHeight="1" x14ac:dyDescent="0.25">
      <c r="A89" s="24" t="s">
        <v>37</v>
      </c>
      <c r="B89" s="20" t="s">
        <v>38</v>
      </c>
      <c r="C89" s="21">
        <v>148</v>
      </c>
      <c r="D89" s="21">
        <f t="shared" si="39"/>
        <v>148</v>
      </c>
      <c r="E89" s="16">
        <f t="shared" si="40"/>
        <v>51.8</v>
      </c>
      <c r="F89" s="35">
        <v>7.4</v>
      </c>
      <c r="G89" s="35">
        <v>22.2</v>
      </c>
      <c r="H89" s="22">
        <v>22.2</v>
      </c>
      <c r="I89" s="22">
        <v>96.2</v>
      </c>
      <c r="J89" s="19">
        <v>102.6</v>
      </c>
      <c r="K89" s="17">
        <f>J89*100/E89</f>
        <v>198.06949806949808</v>
      </c>
      <c r="L89" s="19">
        <f>J89*100/D89</f>
        <v>69.324324324324323</v>
      </c>
      <c r="M89" s="19">
        <f>J89*100/C89</f>
        <v>69.324324324324323</v>
      </c>
    </row>
    <row r="90" spans="1:13" ht="19.5" customHeight="1" x14ac:dyDescent="0.25">
      <c r="A90" s="26" t="s">
        <v>41</v>
      </c>
      <c r="B90" s="20" t="s">
        <v>42</v>
      </c>
      <c r="C90" s="21"/>
      <c r="D90" s="21">
        <f t="shared" si="39"/>
        <v>0</v>
      </c>
      <c r="E90" s="16">
        <f t="shared" si="40"/>
        <v>0</v>
      </c>
      <c r="F90" s="35"/>
      <c r="G90" s="35"/>
      <c r="H90" s="22"/>
      <c r="I90" s="22"/>
      <c r="J90" s="19">
        <v>2.2000000000000002</v>
      </c>
      <c r="K90" s="17"/>
      <c r="L90" s="19"/>
      <c r="M90" s="19"/>
    </row>
    <row r="91" spans="1:13" ht="14.25" customHeight="1" x14ac:dyDescent="0.25">
      <c r="A91" s="27" t="s">
        <v>43</v>
      </c>
      <c r="B91" s="28" t="s">
        <v>44</v>
      </c>
      <c r="C91" s="21"/>
      <c r="D91" s="21">
        <f t="shared" si="39"/>
        <v>0</v>
      </c>
      <c r="E91" s="16">
        <f t="shared" si="40"/>
        <v>0</v>
      </c>
      <c r="F91" s="35"/>
      <c r="G91" s="35"/>
      <c r="H91" s="22"/>
      <c r="I91" s="22"/>
      <c r="J91" s="19">
        <v>0.8</v>
      </c>
      <c r="K91" s="17"/>
      <c r="L91" s="19"/>
      <c r="M91" s="19"/>
    </row>
    <row r="92" spans="1:13" ht="25.5" customHeight="1" x14ac:dyDescent="0.25">
      <c r="A92" s="27" t="s">
        <v>60</v>
      </c>
      <c r="B92" s="28" t="s">
        <v>61</v>
      </c>
      <c r="C92" s="43"/>
      <c r="D92" s="28"/>
      <c r="E92" s="16">
        <f>F92</f>
        <v>0</v>
      </c>
      <c r="F92" s="35"/>
      <c r="G92" s="35"/>
      <c r="H92" s="22" t="e">
        <f>I92+#REF!+#REF!+#REF!</f>
        <v>#REF!</v>
      </c>
      <c r="I92" s="22"/>
      <c r="J92" s="19"/>
      <c r="K92" s="32" t="e">
        <f>J92*100/E92</f>
        <v>#DIV/0!</v>
      </c>
      <c r="L92" s="13" t="e">
        <f>J92*100/D92</f>
        <v>#DIV/0!</v>
      </c>
      <c r="M92" s="19" t="e">
        <f>J92*100/C92</f>
        <v>#DIV/0!</v>
      </c>
    </row>
    <row r="93" spans="1:13" ht="15.75" customHeight="1" x14ac:dyDescent="0.25">
      <c r="A93" s="29" t="s">
        <v>45</v>
      </c>
      <c r="B93" s="30" t="s">
        <v>46</v>
      </c>
      <c r="C93" s="31">
        <f t="shared" ref="C93:J93" si="41">C94+C95</f>
        <v>44557.1</v>
      </c>
      <c r="D93" s="31">
        <f t="shared" si="41"/>
        <v>80048.100000000006</v>
      </c>
      <c r="E93" s="50">
        <f t="shared" si="41"/>
        <v>70252</v>
      </c>
      <c r="F93" s="31">
        <f t="shared" si="41"/>
        <v>21054.400000000001</v>
      </c>
      <c r="G93" s="31">
        <f t="shared" si="41"/>
        <v>12046.4</v>
      </c>
      <c r="H93" s="31">
        <f t="shared" si="41"/>
        <v>37151.199999999997</v>
      </c>
      <c r="I93" s="31">
        <f t="shared" si="41"/>
        <v>9796.1</v>
      </c>
      <c r="J93" s="31">
        <f t="shared" si="41"/>
        <v>45916.100000000006</v>
      </c>
      <c r="K93" s="32">
        <f>J93*100/E93</f>
        <v>65.359135682969892</v>
      </c>
      <c r="L93" s="13">
        <f>J93*100/D93</f>
        <v>57.360636917053625</v>
      </c>
      <c r="M93" s="13">
        <f>J93*100/C93</f>
        <v>103.05001896442994</v>
      </c>
    </row>
    <row r="94" spans="1:13" ht="40.5" customHeight="1" x14ac:dyDescent="0.25">
      <c r="A94" s="33" t="s">
        <v>47</v>
      </c>
      <c r="B94" s="34" t="s">
        <v>48</v>
      </c>
      <c r="C94" s="35">
        <v>44557.1</v>
      </c>
      <c r="D94" s="21">
        <f>F94+G94+H94+I94</f>
        <v>79921.8</v>
      </c>
      <c r="E94" s="16">
        <f>F94+G94+H94</f>
        <v>70125.7</v>
      </c>
      <c r="F94" s="35">
        <v>21054.400000000001</v>
      </c>
      <c r="G94" s="35">
        <v>11920.1</v>
      </c>
      <c r="H94" s="22">
        <f>38283.6-1132.4</f>
        <v>37151.199999999997</v>
      </c>
      <c r="I94" s="22">
        <v>9796.1</v>
      </c>
      <c r="J94" s="19">
        <v>45789.8</v>
      </c>
      <c r="K94" s="17">
        <f>J94*100/E94</f>
        <v>65.296745700934181</v>
      </c>
      <c r="L94" s="19">
        <f>J94*100/D94</f>
        <v>57.293254155937426</v>
      </c>
      <c r="M94" s="19">
        <f>J94*100/C94</f>
        <v>102.76656245581512</v>
      </c>
    </row>
    <row r="95" spans="1:13" ht="13.5" customHeight="1" x14ac:dyDescent="0.25">
      <c r="A95" s="33" t="s">
        <v>49</v>
      </c>
      <c r="B95" s="36" t="s">
        <v>50</v>
      </c>
      <c r="C95" s="37"/>
      <c r="D95" s="21">
        <f>F95+G95+H95+I95</f>
        <v>126.3</v>
      </c>
      <c r="E95" s="16">
        <f>F95+G95+H95</f>
        <v>126.3</v>
      </c>
      <c r="F95" s="51"/>
      <c r="G95" s="51">
        <v>126.3</v>
      </c>
      <c r="H95" s="22"/>
      <c r="I95" s="22"/>
      <c r="J95" s="19">
        <v>126.3</v>
      </c>
      <c r="K95" s="17">
        <f>J95*100/E95</f>
        <v>100</v>
      </c>
      <c r="L95" s="19">
        <f>J95*100/D95</f>
        <v>100</v>
      </c>
      <c r="M95" s="19"/>
    </row>
    <row r="96" spans="1:13" ht="16.5" customHeight="1" x14ac:dyDescent="0.25">
      <c r="A96" s="26"/>
      <c r="B96" s="40" t="s">
        <v>55</v>
      </c>
      <c r="C96" s="13">
        <f t="shared" ref="C96:J96" si="42">C93+C81</f>
        <v>87729.3</v>
      </c>
      <c r="D96" s="13">
        <f t="shared" si="42"/>
        <v>123220.3</v>
      </c>
      <c r="E96" s="13">
        <f t="shared" si="42"/>
        <v>100160.3</v>
      </c>
      <c r="F96" s="13">
        <f t="shared" si="42"/>
        <v>32875.200000000004</v>
      </c>
      <c r="G96" s="13">
        <f t="shared" si="42"/>
        <v>21039</v>
      </c>
      <c r="H96" s="13">
        <f t="shared" si="42"/>
        <v>46246.1</v>
      </c>
      <c r="I96" s="13">
        <f t="shared" si="42"/>
        <v>23060</v>
      </c>
      <c r="J96" s="13">
        <f t="shared" si="42"/>
        <v>69787.900000000009</v>
      </c>
      <c r="K96" s="32">
        <f>J96*100/E96</f>
        <v>69.676209036913832</v>
      </c>
      <c r="L96" s="13">
        <f>J96*100/D96</f>
        <v>56.636690545307879</v>
      </c>
      <c r="M96" s="13">
        <f>J96*100/C96</f>
        <v>79.549135807535237</v>
      </c>
    </row>
    <row r="97" spans="1:13" x14ac:dyDescent="0.25">
      <c r="A97" s="163"/>
      <c r="B97" s="164"/>
      <c r="C97" s="164"/>
      <c r="D97" s="164"/>
      <c r="E97" s="164"/>
      <c r="F97" s="164"/>
      <c r="G97" s="164"/>
      <c r="H97" s="164"/>
      <c r="I97" s="164"/>
      <c r="J97" s="164"/>
      <c r="K97" s="32"/>
      <c r="L97" s="13"/>
      <c r="M97" s="19"/>
    </row>
    <row r="98" spans="1:13" x14ac:dyDescent="0.25">
      <c r="A98" s="161" t="s">
        <v>62</v>
      </c>
      <c r="B98" s="162"/>
      <c r="C98" s="162"/>
      <c r="D98" s="162"/>
      <c r="E98" s="162"/>
      <c r="F98" s="162"/>
      <c r="G98" s="162"/>
      <c r="H98" s="162"/>
      <c r="I98" s="162"/>
      <c r="J98" s="162"/>
      <c r="K98" s="162"/>
      <c r="L98" s="162"/>
      <c r="M98" s="165"/>
    </row>
    <row r="99" spans="1:13" ht="15" customHeight="1" x14ac:dyDescent="0.25">
      <c r="A99" s="29" t="s">
        <v>17</v>
      </c>
      <c r="B99" s="42" t="s">
        <v>18</v>
      </c>
      <c r="C99" s="32">
        <f t="shared" ref="C99:J99" si="43">C100+C103+C107+C104+C105+C108+C106+C102+C101</f>
        <v>3213.8</v>
      </c>
      <c r="D99" s="32">
        <f t="shared" si="43"/>
        <v>3213.7999999999997</v>
      </c>
      <c r="E99" s="32">
        <f t="shared" si="43"/>
        <v>2399.3000000000002</v>
      </c>
      <c r="F99" s="32">
        <f t="shared" si="43"/>
        <v>775.7</v>
      </c>
      <c r="G99" s="32">
        <f t="shared" si="43"/>
        <v>814.30000000000007</v>
      </c>
      <c r="H99" s="32">
        <f t="shared" si="43"/>
        <v>809.3</v>
      </c>
      <c r="I99" s="32">
        <f t="shared" si="43"/>
        <v>814.5</v>
      </c>
      <c r="J99" s="32">
        <f t="shared" si="43"/>
        <v>1839.3000000000002</v>
      </c>
      <c r="K99" s="32">
        <f t="shared" ref="K99:K105" si="44">J99*100/E99</f>
        <v>76.659859125578294</v>
      </c>
      <c r="L99" s="13">
        <f t="shared" ref="L99:L105" si="45">J99*100/D99</f>
        <v>57.231314954259766</v>
      </c>
      <c r="M99" s="13">
        <f t="shared" ref="M99:M105" si="46">J99*100/C99</f>
        <v>57.231314954259759</v>
      </c>
    </row>
    <row r="100" spans="1:13" ht="20.25" customHeight="1" x14ac:dyDescent="0.25">
      <c r="A100" s="26" t="s">
        <v>19</v>
      </c>
      <c r="B100" s="20" t="s">
        <v>20</v>
      </c>
      <c r="C100" s="21">
        <v>1650</v>
      </c>
      <c r="D100" s="21">
        <f t="shared" ref="D100:D108" si="47">F100+G100+H100+I100</f>
        <v>1650</v>
      </c>
      <c r="E100" s="16">
        <f t="shared" ref="E100:E108" si="48">F100+G100+H100</f>
        <v>1237.5</v>
      </c>
      <c r="F100" s="35">
        <v>412.5</v>
      </c>
      <c r="G100" s="35">
        <v>412.5</v>
      </c>
      <c r="H100" s="22">
        <v>412.5</v>
      </c>
      <c r="I100" s="19">
        <v>412.5</v>
      </c>
      <c r="J100" s="19">
        <v>795.7</v>
      </c>
      <c r="K100" s="17">
        <f t="shared" si="44"/>
        <v>64.298989898989902</v>
      </c>
      <c r="L100" s="19">
        <f t="shared" si="45"/>
        <v>48.224242424242426</v>
      </c>
      <c r="M100" s="19">
        <f t="shared" si="46"/>
        <v>48.224242424242426</v>
      </c>
    </row>
    <row r="101" spans="1:13" ht="39" customHeight="1" x14ac:dyDescent="0.25">
      <c r="A101" s="14" t="s">
        <v>21</v>
      </c>
      <c r="B101" s="20" t="s">
        <v>22</v>
      </c>
      <c r="C101" s="21">
        <v>1384.2</v>
      </c>
      <c r="D101" s="21">
        <f t="shared" si="47"/>
        <v>1384.1999999999998</v>
      </c>
      <c r="E101" s="16">
        <f t="shared" si="48"/>
        <v>1038.0999999999999</v>
      </c>
      <c r="F101" s="35">
        <v>346</v>
      </c>
      <c r="G101" s="35">
        <v>346.1</v>
      </c>
      <c r="H101" s="22">
        <v>346</v>
      </c>
      <c r="I101" s="19">
        <v>346.1</v>
      </c>
      <c r="J101" s="19">
        <v>873.1</v>
      </c>
      <c r="K101" s="17">
        <f t="shared" si="44"/>
        <v>84.105577497350936</v>
      </c>
      <c r="L101" s="19">
        <f t="shared" si="45"/>
        <v>63.076145065741954</v>
      </c>
      <c r="M101" s="19">
        <f t="shared" si="46"/>
        <v>63.07614506574194</v>
      </c>
    </row>
    <row r="102" spans="1:13" ht="15" customHeight="1" x14ac:dyDescent="0.25">
      <c r="A102" s="14" t="s">
        <v>23</v>
      </c>
      <c r="B102" s="20" t="s">
        <v>24</v>
      </c>
      <c r="C102" s="21"/>
      <c r="D102" s="21">
        <f t="shared" si="47"/>
        <v>0</v>
      </c>
      <c r="E102" s="16">
        <f t="shared" si="48"/>
        <v>0</v>
      </c>
      <c r="F102" s="35"/>
      <c r="G102" s="35"/>
      <c r="H102" s="22"/>
      <c r="I102" s="19"/>
      <c r="J102" s="19"/>
      <c r="K102" s="17" t="e">
        <f t="shared" si="44"/>
        <v>#DIV/0!</v>
      </c>
      <c r="L102" s="19" t="e">
        <f t="shared" si="45"/>
        <v>#DIV/0!</v>
      </c>
      <c r="M102" s="19" t="e">
        <f t="shared" si="46"/>
        <v>#DIV/0!</v>
      </c>
    </row>
    <row r="103" spans="1:13" ht="18" customHeight="1" x14ac:dyDescent="0.25">
      <c r="A103" s="14" t="s">
        <v>25</v>
      </c>
      <c r="B103" s="20" t="s">
        <v>26</v>
      </c>
      <c r="C103" s="21">
        <v>152.1</v>
      </c>
      <c r="D103" s="21">
        <f t="shared" si="47"/>
        <v>152.10000000000002</v>
      </c>
      <c r="E103" s="16">
        <f t="shared" si="48"/>
        <v>104.4</v>
      </c>
      <c r="F103" s="35">
        <v>14.2</v>
      </c>
      <c r="G103" s="35">
        <v>47.6</v>
      </c>
      <c r="H103" s="22">
        <v>42.6</v>
      </c>
      <c r="I103" s="19">
        <v>47.7</v>
      </c>
      <c r="J103" s="19">
        <v>119.6</v>
      </c>
      <c r="K103" s="17">
        <f t="shared" si="44"/>
        <v>114.55938697318007</v>
      </c>
      <c r="L103" s="19">
        <f t="shared" si="45"/>
        <v>78.632478632478623</v>
      </c>
      <c r="M103" s="19">
        <f t="shared" si="46"/>
        <v>78.632478632478637</v>
      </c>
    </row>
    <row r="104" spans="1:13" ht="18" customHeight="1" x14ac:dyDescent="0.25">
      <c r="A104" s="14" t="s">
        <v>27</v>
      </c>
      <c r="B104" s="20" t="s">
        <v>28</v>
      </c>
      <c r="C104" s="21">
        <v>1.5</v>
      </c>
      <c r="D104" s="21">
        <f t="shared" si="47"/>
        <v>1.5</v>
      </c>
      <c r="E104" s="16">
        <f t="shared" si="48"/>
        <v>1.1000000000000001</v>
      </c>
      <c r="F104" s="35">
        <v>0.4</v>
      </c>
      <c r="G104" s="35">
        <v>0.3</v>
      </c>
      <c r="H104" s="22">
        <v>0.4</v>
      </c>
      <c r="I104" s="19">
        <v>0.4</v>
      </c>
      <c r="J104" s="19">
        <v>1.7</v>
      </c>
      <c r="K104" s="17">
        <f t="shared" si="44"/>
        <v>154.54545454545453</v>
      </c>
      <c r="L104" s="19">
        <f t="shared" si="45"/>
        <v>113.33333333333333</v>
      </c>
      <c r="M104" s="19">
        <f t="shared" si="46"/>
        <v>113.33333333333333</v>
      </c>
    </row>
    <row r="105" spans="1:13" ht="42" customHeight="1" x14ac:dyDescent="0.25">
      <c r="A105" s="23" t="s">
        <v>31</v>
      </c>
      <c r="B105" s="20" t="s">
        <v>32</v>
      </c>
      <c r="C105" s="21">
        <v>26</v>
      </c>
      <c r="D105" s="21">
        <f t="shared" si="47"/>
        <v>26</v>
      </c>
      <c r="E105" s="16">
        <f t="shared" si="48"/>
        <v>18.2</v>
      </c>
      <c r="F105" s="35">
        <v>2.6</v>
      </c>
      <c r="G105" s="35">
        <v>7.8</v>
      </c>
      <c r="H105" s="22">
        <v>7.8</v>
      </c>
      <c r="I105" s="19">
        <v>7.8</v>
      </c>
      <c r="J105" s="19">
        <f>48.3-0.1</f>
        <v>48.199999999999996</v>
      </c>
      <c r="K105" s="17">
        <f t="shared" si="44"/>
        <v>264.83516483516485</v>
      </c>
      <c r="L105" s="19">
        <f t="shared" si="45"/>
        <v>185.38461538461539</v>
      </c>
      <c r="M105" s="19">
        <f t="shared" si="46"/>
        <v>185.38461538461539</v>
      </c>
    </row>
    <row r="106" spans="1:13" ht="28.5" customHeight="1" x14ac:dyDescent="0.25">
      <c r="A106" s="25" t="s">
        <v>35</v>
      </c>
      <c r="B106" s="20" t="s">
        <v>36</v>
      </c>
      <c r="C106" s="21">
        <v>0</v>
      </c>
      <c r="D106" s="21">
        <f t="shared" si="47"/>
        <v>0</v>
      </c>
      <c r="E106" s="16">
        <f t="shared" si="48"/>
        <v>0</v>
      </c>
      <c r="F106" s="35"/>
      <c r="G106" s="35"/>
      <c r="H106" s="22"/>
      <c r="I106" s="19"/>
      <c r="J106" s="19"/>
      <c r="K106" s="17"/>
      <c r="L106" s="19"/>
      <c r="M106" s="19"/>
    </row>
    <row r="107" spans="1:13" ht="19.5" customHeight="1" x14ac:dyDescent="0.25">
      <c r="A107" s="26" t="s">
        <v>41</v>
      </c>
      <c r="B107" s="52" t="s">
        <v>42</v>
      </c>
      <c r="C107" s="21"/>
      <c r="D107" s="21">
        <f t="shared" si="47"/>
        <v>0</v>
      </c>
      <c r="E107" s="16">
        <f t="shared" si="48"/>
        <v>0</v>
      </c>
      <c r="F107" s="35"/>
      <c r="G107" s="35"/>
      <c r="H107" s="22"/>
      <c r="I107" s="19"/>
      <c r="J107" s="19"/>
      <c r="K107" s="17"/>
      <c r="L107" s="19"/>
      <c r="M107" s="19"/>
    </row>
    <row r="108" spans="1:13" ht="21" customHeight="1" x14ac:dyDescent="0.25">
      <c r="A108" s="25" t="s">
        <v>43</v>
      </c>
      <c r="B108" s="28" t="s">
        <v>44</v>
      </c>
      <c r="C108" s="21"/>
      <c r="D108" s="21">
        <f t="shared" si="47"/>
        <v>0</v>
      </c>
      <c r="E108" s="16">
        <f t="shared" si="48"/>
        <v>0</v>
      </c>
      <c r="F108" s="35"/>
      <c r="G108" s="35"/>
      <c r="H108" s="22"/>
      <c r="I108" s="19"/>
      <c r="J108" s="19">
        <v>1</v>
      </c>
      <c r="K108" s="32"/>
      <c r="L108" s="13"/>
      <c r="M108" s="19"/>
    </row>
    <row r="109" spans="1:13" ht="19.5" customHeight="1" x14ac:dyDescent="0.25">
      <c r="A109" s="10" t="s">
        <v>45</v>
      </c>
      <c r="B109" s="30" t="s">
        <v>46</v>
      </c>
      <c r="C109" s="31">
        <f t="shared" ref="C109:J109" si="49">C110+C111</f>
        <v>24834.799999999999</v>
      </c>
      <c r="D109" s="31">
        <f t="shared" si="49"/>
        <v>45778.1</v>
      </c>
      <c r="E109" s="31">
        <f t="shared" si="49"/>
        <v>39569.4</v>
      </c>
      <c r="F109" s="31">
        <f t="shared" si="49"/>
        <v>19348.599999999999</v>
      </c>
      <c r="G109" s="31">
        <f t="shared" si="49"/>
        <v>14150.4</v>
      </c>
      <c r="H109" s="31">
        <f t="shared" si="49"/>
        <v>6070.4000000000005</v>
      </c>
      <c r="I109" s="31">
        <f t="shared" si="49"/>
        <v>6208.7</v>
      </c>
      <c r="J109" s="31">
        <f t="shared" si="49"/>
        <v>34770.6</v>
      </c>
      <c r="K109" s="32">
        <f>J109*100/E109</f>
        <v>87.87244689077923</v>
      </c>
      <c r="L109" s="13">
        <f>J109*100/D109</f>
        <v>75.954659542444972</v>
      </c>
      <c r="M109" s="13">
        <f>J109*100/C109</f>
        <v>140.00757002271007</v>
      </c>
    </row>
    <row r="110" spans="1:13" ht="38.25" customHeight="1" x14ac:dyDescent="0.25">
      <c r="A110" s="33" t="s">
        <v>47</v>
      </c>
      <c r="B110" s="34" t="s">
        <v>48</v>
      </c>
      <c r="C110" s="35">
        <v>24834.799999999999</v>
      </c>
      <c r="D110" s="21">
        <f>F110+G110+H110+I110</f>
        <v>45778.1</v>
      </c>
      <c r="E110" s="16">
        <f>F110+G110+H110</f>
        <v>39569.4</v>
      </c>
      <c r="F110" s="35">
        <f>19088.6+260</f>
        <v>19348.599999999999</v>
      </c>
      <c r="G110" s="35">
        <v>14150.4</v>
      </c>
      <c r="H110" s="22">
        <f>6010.3+60.1</f>
        <v>6070.4000000000005</v>
      </c>
      <c r="I110" s="19">
        <v>6208.7</v>
      </c>
      <c r="J110" s="19">
        <v>34770.6</v>
      </c>
      <c r="K110" s="17">
        <f>J110*100/E110</f>
        <v>87.87244689077923</v>
      </c>
      <c r="L110" s="19">
        <f>J110*100/D110</f>
        <v>75.954659542444972</v>
      </c>
      <c r="M110" s="19">
        <f>J110*100/C110</f>
        <v>140.00757002271007</v>
      </c>
    </row>
    <row r="111" spans="1:13" ht="15.75" customHeight="1" x14ac:dyDescent="0.25">
      <c r="A111" s="33" t="s">
        <v>63</v>
      </c>
      <c r="B111" s="36" t="s">
        <v>50</v>
      </c>
      <c r="C111" s="36"/>
      <c r="D111" s="21">
        <f>F111+G111+H111+I111</f>
        <v>0</v>
      </c>
      <c r="E111" s="21">
        <f>F111+G111</f>
        <v>0</v>
      </c>
      <c r="F111" s="51"/>
      <c r="G111" s="51"/>
      <c r="H111" s="22"/>
      <c r="I111" s="19"/>
      <c r="J111" s="19"/>
      <c r="K111" s="32"/>
      <c r="L111" s="13"/>
      <c r="M111" s="19" t="e">
        <f>J111*100/C111</f>
        <v>#DIV/0!</v>
      </c>
    </row>
    <row r="112" spans="1:13" ht="18" customHeight="1" x14ac:dyDescent="0.25">
      <c r="A112" s="26"/>
      <c r="B112" s="40" t="s">
        <v>55</v>
      </c>
      <c r="C112" s="13">
        <f t="shared" ref="C112:J112" si="50">C109+C99</f>
        <v>28048.6</v>
      </c>
      <c r="D112" s="13">
        <f t="shared" si="50"/>
        <v>48991.9</v>
      </c>
      <c r="E112" s="12">
        <f t="shared" si="50"/>
        <v>41968.700000000004</v>
      </c>
      <c r="F112" s="12">
        <f t="shared" si="50"/>
        <v>20124.3</v>
      </c>
      <c r="G112" s="12">
        <f>G109+G99</f>
        <v>14964.699999999999</v>
      </c>
      <c r="H112" s="13">
        <f t="shared" si="50"/>
        <v>6879.7000000000007</v>
      </c>
      <c r="I112" s="13">
        <f t="shared" si="50"/>
        <v>7023.2</v>
      </c>
      <c r="J112" s="13">
        <f t="shared" si="50"/>
        <v>36609.9</v>
      </c>
      <c r="K112" s="32">
        <f>J112*100/E112</f>
        <v>87.231436761205359</v>
      </c>
      <c r="L112" s="13">
        <f>J112*100/D112</f>
        <v>74.726434369763169</v>
      </c>
      <c r="M112" s="13">
        <f>J112*100/C112</f>
        <v>130.52309206163588</v>
      </c>
    </row>
    <row r="113" spans="1:13" x14ac:dyDescent="0.25">
      <c r="A113" s="163"/>
      <c r="B113" s="164"/>
      <c r="C113" s="164"/>
      <c r="D113" s="164"/>
      <c r="E113" s="164"/>
      <c r="F113" s="164"/>
      <c r="G113" s="164"/>
      <c r="H113" s="164"/>
      <c r="I113" s="164"/>
      <c r="J113" s="164"/>
      <c r="K113" s="32"/>
      <c r="L113" s="13"/>
      <c r="M113" s="19"/>
    </row>
    <row r="114" spans="1:13" x14ac:dyDescent="0.25">
      <c r="A114" s="161" t="s">
        <v>64</v>
      </c>
      <c r="B114" s="162"/>
      <c r="C114" s="162"/>
      <c r="D114" s="162"/>
      <c r="E114" s="162"/>
      <c r="F114" s="162"/>
      <c r="G114" s="162"/>
      <c r="H114" s="162"/>
      <c r="I114" s="162"/>
      <c r="J114" s="162"/>
      <c r="K114" s="162"/>
      <c r="L114" s="162"/>
      <c r="M114" s="165"/>
    </row>
    <row r="115" spans="1:13" ht="18" customHeight="1" x14ac:dyDescent="0.25">
      <c r="A115" s="29" t="s">
        <v>17</v>
      </c>
      <c r="B115" s="42" t="s">
        <v>18</v>
      </c>
      <c r="C115" s="32">
        <f>C116+C120+C124+C121+C122+C125+C123+C126+C117+C118+C119</f>
        <v>5233.8</v>
      </c>
      <c r="D115" s="32">
        <f t="shared" ref="D115:I115" si="51">D116+D120+D124+D121+D122+D125+D123+D126+D117+D118+D119</f>
        <v>5233.8</v>
      </c>
      <c r="E115" s="32">
        <f t="shared" si="51"/>
        <v>3859</v>
      </c>
      <c r="F115" s="32">
        <f t="shared" si="51"/>
        <v>1317</v>
      </c>
      <c r="G115" s="32">
        <f t="shared" si="51"/>
        <v>1271</v>
      </c>
      <c r="H115" s="32">
        <f t="shared" si="51"/>
        <v>1271</v>
      </c>
      <c r="I115" s="32">
        <f t="shared" si="51"/>
        <v>1374.8</v>
      </c>
      <c r="J115" s="32">
        <f>J116+J120+J124+J121+J122+J125+J123+J126+J117+J118+J119+0.1</f>
        <v>3205.3999999999996</v>
      </c>
      <c r="K115" s="32">
        <f t="shared" ref="K115:K122" si="52">J115*100/E115</f>
        <v>83.062969681264562</v>
      </c>
      <c r="L115" s="13">
        <f t="shared" ref="L115:L122" si="53">J115*100/D115</f>
        <v>61.244220260613687</v>
      </c>
      <c r="M115" s="13">
        <f t="shared" ref="M115:M122" si="54">J115*100/C115</f>
        <v>61.244220260613687</v>
      </c>
    </row>
    <row r="116" spans="1:13" ht="16.5" customHeight="1" x14ac:dyDescent="0.25">
      <c r="A116" s="26" t="s">
        <v>19</v>
      </c>
      <c r="B116" s="20" t="s">
        <v>20</v>
      </c>
      <c r="C116" s="21">
        <v>1220</v>
      </c>
      <c r="D116" s="21">
        <f t="shared" ref="D116:D126" si="55">F116+G116+H116+I116</f>
        <v>1220</v>
      </c>
      <c r="E116" s="16">
        <f t="shared" ref="E116:E126" si="56">F116+G116+H116</f>
        <v>900</v>
      </c>
      <c r="F116" s="21">
        <v>300</v>
      </c>
      <c r="G116" s="21">
        <v>300</v>
      </c>
      <c r="H116" s="19">
        <v>300</v>
      </c>
      <c r="I116" s="19">
        <v>320</v>
      </c>
      <c r="J116" s="19">
        <v>833.2</v>
      </c>
      <c r="K116" s="17">
        <f t="shared" si="52"/>
        <v>92.577777777777783</v>
      </c>
      <c r="L116" s="19">
        <f t="shared" si="53"/>
        <v>68.295081967213122</v>
      </c>
      <c r="M116" s="19">
        <f t="shared" si="54"/>
        <v>68.295081967213122</v>
      </c>
    </row>
    <row r="117" spans="1:13" ht="14.25" customHeight="1" x14ac:dyDescent="0.25">
      <c r="A117" s="14" t="s">
        <v>23</v>
      </c>
      <c r="B117" s="20" t="s">
        <v>24</v>
      </c>
      <c r="C117" s="21"/>
      <c r="D117" s="21">
        <f t="shared" si="55"/>
        <v>0</v>
      </c>
      <c r="E117" s="16">
        <f t="shared" si="56"/>
        <v>0</v>
      </c>
      <c r="F117" s="21"/>
      <c r="G117" s="21"/>
      <c r="H117" s="19"/>
      <c r="I117" s="19"/>
      <c r="J117" s="19"/>
      <c r="K117" s="17" t="e">
        <f t="shared" si="52"/>
        <v>#DIV/0!</v>
      </c>
      <c r="L117" s="19" t="e">
        <f t="shared" si="53"/>
        <v>#DIV/0!</v>
      </c>
      <c r="M117" s="19" t="e">
        <f t="shared" si="54"/>
        <v>#DIV/0!</v>
      </c>
    </row>
    <row r="118" spans="1:13" ht="39" customHeight="1" x14ac:dyDescent="0.25">
      <c r="A118" s="14" t="s">
        <v>21</v>
      </c>
      <c r="B118" s="20" t="s">
        <v>22</v>
      </c>
      <c r="C118" s="21">
        <v>2995.9</v>
      </c>
      <c r="D118" s="21">
        <f t="shared" si="55"/>
        <v>2995.9</v>
      </c>
      <c r="E118" s="16">
        <f t="shared" si="56"/>
        <v>2241</v>
      </c>
      <c r="F118" s="21">
        <v>747</v>
      </c>
      <c r="G118" s="21">
        <v>747</v>
      </c>
      <c r="H118" s="19">
        <v>747</v>
      </c>
      <c r="I118" s="19">
        <v>754.9</v>
      </c>
      <c r="J118" s="19">
        <v>1889.8</v>
      </c>
      <c r="K118" s="17">
        <f t="shared" si="52"/>
        <v>84.328424810352516</v>
      </c>
      <c r="L118" s="19">
        <f t="shared" si="53"/>
        <v>63.079542040789079</v>
      </c>
      <c r="M118" s="19">
        <f t="shared" si="54"/>
        <v>63.079542040789079</v>
      </c>
    </row>
    <row r="119" spans="1:13" ht="16.5" customHeight="1" x14ac:dyDescent="0.25">
      <c r="A119" s="14" t="s">
        <v>23</v>
      </c>
      <c r="B119" s="20" t="s">
        <v>24</v>
      </c>
      <c r="C119" s="21">
        <v>10</v>
      </c>
      <c r="D119" s="21">
        <f t="shared" si="55"/>
        <v>10</v>
      </c>
      <c r="E119" s="16">
        <f t="shared" si="56"/>
        <v>8</v>
      </c>
      <c r="F119" s="21">
        <v>2</v>
      </c>
      <c r="G119" s="21">
        <v>3</v>
      </c>
      <c r="H119" s="19">
        <v>3</v>
      </c>
      <c r="I119" s="19">
        <v>2</v>
      </c>
      <c r="J119" s="19">
        <v>13.7</v>
      </c>
      <c r="K119" s="17">
        <f t="shared" si="52"/>
        <v>171.25</v>
      </c>
      <c r="L119" s="19">
        <f t="shared" si="53"/>
        <v>137</v>
      </c>
      <c r="M119" s="19">
        <f t="shared" si="54"/>
        <v>137</v>
      </c>
    </row>
    <row r="120" spans="1:13" ht="18.75" customHeight="1" x14ac:dyDescent="0.25">
      <c r="A120" s="14" t="s">
        <v>25</v>
      </c>
      <c r="B120" s="20" t="s">
        <v>26</v>
      </c>
      <c r="C120" s="21">
        <v>231.2</v>
      </c>
      <c r="D120" s="21">
        <f t="shared" si="55"/>
        <v>231.2</v>
      </c>
      <c r="E120" s="16">
        <f t="shared" si="56"/>
        <v>156</v>
      </c>
      <c r="F120" s="21">
        <v>90</v>
      </c>
      <c r="G120" s="21">
        <v>33</v>
      </c>
      <c r="H120" s="19">
        <v>33</v>
      </c>
      <c r="I120" s="19">
        <v>75.2</v>
      </c>
      <c r="J120" s="19">
        <v>40.799999999999997</v>
      </c>
      <c r="K120" s="17">
        <f t="shared" si="52"/>
        <v>26.15384615384615</v>
      </c>
      <c r="L120" s="19">
        <f t="shared" si="53"/>
        <v>17.647058823529409</v>
      </c>
      <c r="M120" s="19">
        <f t="shared" si="54"/>
        <v>17.647058823529409</v>
      </c>
    </row>
    <row r="121" spans="1:13" ht="15" customHeight="1" x14ac:dyDescent="0.25">
      <c r="A121" s="14" t="s">
        <v>27</v>
      </c>
      <c r="B121" s="20" t="s">
        <v>28</v>
      </c>
      <c r="C121" s="21">
        <v>13.5</v>
      </c>
      <c r="D121" s="21">
        <f t="shared" si="55"/>
        <v>13.5</v>
      </c>
      <c r="E121" s="16">
        <f t="shared" si="56"/>
        <v>9</v>
      </c>
      <c r="F121" s="21">
        <v>3</v>
      </c>
      <c r="G121" s="21">
        <v>3</v>
      </c>
      <c r="H121" s="19">
        <v>3</v>
      </c>
      <c r="I121" s="19">
        <v>4.5</v>
      </c>
      <c r="J121" s="19">
        <v>8.5</v>
      </c>
      <c r="K121" s="17">
        <f t="shared" si="52"/>
        <v>94.444444444444443</v>
      </c>
      <c r="L121" s="19">
        <f t="shared" si="53"/>
        <v>62.962962962962962</v>
      </c>
      <c r="M121" s="19">
        <f t="shared" si="54"/>
        <v>62.962962962962962</v>
      </c>
    </row>
    <row r="122" spans="1:13" ht="40.5" customHeight="1" x14ac:dyDescent="0.25">
      <c r="A122" s="23" t="s">
        <v>31</v>
      </c>
      <c r="B122" s="20" t="s">
        <v>32</v>
      </c>
      <c r="C122" s="21">
        <v>763.2</v>
      </c>
      <c r="D122" s="21">
        <f t="shared" si="55"/>
        <v>763.2</v>
      </c>
      <c r="E122" s="16">
        <f t="shared" si="56"/>
        <v>545</v>
      </c>
      <c r="F122" s="21">
        <v>175</v>
      </c>
      <c r="G122" s="21">
        <v>185</v>
      </c>
      <c r="H122" s="19">
        <v>185</v>
      </c>
      <c r="I122" s="19">
        <v>218.2</v>
      </c>
      <c r="J122" s="19">
        <v>409.3</v>
      </c>
      <c r="K122" s="17">
        <f t="shared" si="52"/>
        <v>75.100917431192656</v>
      </c>
      <c r="L122" s="19">
        <f t="shared" si="53"/>
        <v>53.629454926624732</v>
      </c>
      <c r="M122" s="19">
        <f t="shared" si="54"/>
        <v>53.629454926624732</v>
      </c>
    </row>
    <row r="123" spans="1:13" ht="29.25" customHeight="1" x14ac:dyDescent="0.25">
      <c r="A123" s="25" t="s">
        <v>35</v>
      </c>
      <c r="B123" s="20" t="s">
        <v>36</v>
      </c>
      <c r="C123" s="21">
        <v>0</v>
      </c>
      <c r="D123" s="21">
        <f t="shared" si="55"/>
        <v>0</v>
      </c>
      <c r="E123" s="16">
        <f t="shared" si="56"/>
        <v>0</v>
      </c>
      <c r="F123" s="21"/>
      <c r="G123" s="21"/>
      <c r="H123" s="19"/>
      <c r="I123" s="19"/>
      <c r="J123" s="19"/>
      <c r="K123" s="17"/>
      <c r="L123" s="19"/>
      <c r="M123" s="19"/>
    </row>
    <row r="124" spans="1:13" ht="27.75" customHeight="1" x14ac:dyDescent="0.25">
      <c r="A124" s="24" t="s">
        <v>37</v>
      </c>
      <c r="B124" s="20" t="s">
        <v>38</v>
      </c>
      <c r="C124" s="21"/>
      <c r="D124" s="21">
        <f t="shared" si="55"/>
        <v>0</v>
      </c>
      <c r="E124" s="16">
        <f t="shared" si="56"/>
        <v>0</v>
      </c>
      <c r="F124" s="21"/>
      <c r="G124" s="21"/>
      <c r="H124" s="19"/>
      <c r="I124" s="19"/>
      <c r="J124" s="19"/>
      <c r="K124" s="17"/>
      <c r="L124" s="19"/>
      <c r="M124" s="19"/>
    </row>
    <row r="125" spans="1:13" ht="17.25" customHeight="1" x14ac:dyDescent="0.25">
      <c r="A125" s="26" t="s">
        <v>41</v>
      </c>
      <c r="B125" s="20" t="s">
        <v>42</v>
      </c>
      <c r="C125" s="21"/>
      <c r="D125" s="21">
        <f t="shared" si="55"/>
        <v>0</v>
      </c>
      <c r="E125" s="16">
        <f t="shared" si="56"/>
        <v>0</v>
      </c>
      <c r="F125" s="21"/>
      <c r="G125" s="21"/>
      <c r="H125" s="19"/>
      <c r="I125" s="19"/>
      <c r="J125" s="19"/>
      <c r="K125" s="32" t="e">
        <f>J125*100/E125</f>
        <v>#DIV/0!</v>
      </c>
      <c r="L125" s="13" t="e">
        <f>J125*100/D125</f>
        <v>#DIV/0!</v>
      </c>
      <c r="M125" s="19" t="e">
        <f>J125*100/C125</f>
        <v>#DIV/0!</v>
      </c>
    </row>
    <row r="126" spans="1:13" ht="15" customHeight="1" x14ac:dyDescent="0.25">
      <c r="A126" s="24" t="s">
        <v>43</v>
      </c>
      <c r="B126" s="28" t="s">
        <v>44</v>
      </c>
      <c r="C126" s="21"/>
      <c r="D126" s="21">
        <f t="shared" si="55"/>
        <v>0</v>
      </c>
      <c r="E126" s="16">
        <f t="shared" si="56"/>
        <v>0</v>
      </c>
      <c r="F126" s="21"/>
      <c r="G126" s="21"/>
      <c r="H126" s="19"/>
      <c r="I126" s="19"/>
      <c r="J126" s="19">
        <v>10</v>
      </c>
      <c r="K126" s="32"/>
      <c r="L126" s="13"/>
      <c r="M126" s="19"/>
    </row>
    <row r="127" spans="1:13" ht="17.25" customHeight="1" x14ac:dyDescent="0.25">
      <c r="A127" s="29" t="s">
        <v>45</v>
      </c>
      <c r="B127" s="30" t="s">
        <v>46</v>
      </c>
      <c r="C127" s="31">
        <f t="shared" ref="C127:J127" si="57">C128</f>
        <v>29441.3</v>
      </c>
      <c r="D127" s="31">
        <f t="shared" si="57"/>
        <v>39835</v>
      </c>
      <c r="E127" s="53">
        <f t="shared" si="57"/>
        <v>33478.1</v>
      </c>
      <c r="F127" s="53">
        <f t="shared" si="57"/>
        <v>9959</v>
      </c>
      <c r="G127" s="53">
        <f t="shared" si="57"/>
        <v>15085.8</v>
      </c>
      <c r="H127" s="53">
        <f t="shared" si="57"/>
        <v>8433.2999999999993</v>
      </c>
      <c r="I127" s="31">
        <f t="shared" si="57"/>
        <v>6356.9</v>
      </c>
      <c r="J127" s="31">
        <f t="shared" si="57"/>
        <v>27199.7</v>
      </c>
      <c r="K127" s="32">
        <f>J127*100/E127</f>
        <v>81.246247546903803</v>
      </c>
      <c r="L127" s="13">
        <f>J127*100/D127</f>
        <v>68.280908748587919</v>
      </c>
      <c r="M127" s="13">
        <f>J127*100/C127</f>
        <v>92.386205772163592</v>
      </c>
    </row>
    <row r="128" spans="1:13" ht="39.75" customHeight="1" x14ac:dyDescent="0.25">
      <c r="A128" s="33" t="s">
        <v>47</v>
      </c>
      <c r="B128" s="34" t="s">
        <v>48</v>
      </c>
      <c r="C128" s="35">
        <v>29441.3</v>
      </c>
      <c r="D128" s="21">
        <f>F128+G128+H128+I128</f>
        <v>39835</v>
      </c>
      <c r="E128" s="16">
        <f>F128+G128+H128</f>
        <v>33478.1</v>
      </c>
      <c r="F128" s="21">
        <f>9938.9+20.1</f>
        <v>9959</v>
      </c>
      <c r="G128" s="21">
        <v>15085.8</v>
      </c>
      <c r="H128" s="19">
        <f>8405+28.3</f>
        <v>8433.2999999999993</v>
      </c>
      <c r="I128" s="19">
        <v>6356.9</v>
      </c>
      <c r="J128" s="19">
        <v>27199.7</v>
      </c>
      <c r="K128" s="17">
        <f>J128*100/E128</f>
        <v>81.246247546903803</v>
      </c>
      <c r="L128" s="19">
        <f>J128*100/D128</f>
        <v>68.280908748587919</v>
      </c>
      <c r="M128" s="19">
        <f>J128*100/C128</f>
        <v>92.386205772163592</v>
      </c>
    </row>
    <row r="129" spans="1:13" ht="15.75" customHeight="1" x14ac:dyDescent="0.25">
      <c r="A129" s="26"/>
      <c r="B129" s="40" t="s">
        <v>55</v>
      </c>
      <c r="C129" s="13">
        <f t="shared" ref="C129:J129" si="58">C127+C115</f>
        <v>34675.1</v>
      </c>
      <c r="D129" s="13">
        <f t="shared" si="58"/>
        <v>45068.800000000003</v>
      </c>
      <c r="E129" s="13">
        <f t="shared" si="58"/>
        <v>37337.1</v>
      </c>
      <c r="F129" s="13">
        <f t="shared" si="58"/>
        <v>11276</v>
      </c>
      <c r="G129" s="13">
        <f t="shared" si="58"/>
        <v>16356.8</v>
      </c>
      <c r="H129" s="13">
        <f t="shared" si="58"/>
        <v>9704.2999999999993</v>
      </c>
      <c r="I129" s="13">
        <f t="shared" si="58"/>
        <v>7731.7</v>
      </c>
      <c r="J129" s="13">
        <f t="shared" si="58"/>
        <v>30405.1</v>
      </c>
      <c r="K129" s="32">
        <f>J129*100/E129</f>
        <v>81.434016032311035</v>
      </c>
      <c r="L129" s="13">
        <f>J129*100/D129</f>
        <v>67.463744319795509</v>
      </c>
      <c r="M129" s="13">
        <f>J129*100/C129</f>
        <v>87.685688000899788</v>
      </c>
    </row>
    <row r="130" spans="1:13" x14ac:dyDescent="0.25">
      <c r="A130" s="163"/>
      <c r="B130" s="164"/>
      <c r="C130" s="164"/>
      <c r="D130" s="164"/>
      <c r="E130" s="164"/>
      <c r="F130" s="164"/>
      <c r="G130" s="164"/>
      <c r="H130" s="164"/>
      <c r="I130" s="164"/>
      <c r="J130" s="164"/>
      <c r="K130" s="32"/>
      <c r="L130" s="13"/>
      <c r="M130" s="19"/>
    </row>
    <row r="131" spans="1:13" x14ac:dyDescent="0.25">
      <c r="A131" s="161" t="s">
        <v>65</v>
      </c>
      <c r="B131" s="162"/>
      <c r="C131" s="162"/>
      <c r="D131" s="162"/>
      <c r="E131" s="162"/>
      <c r="F131" s="162"/>
      <c r="G131" s="162"/>
      <c r="H131" s="162"/>
      <c r="I131" s="162"/>
      <c r="J131" s="162"/>
      <c r="K131" s="162"/>
      <c r="L131" s="162"/>
      <c r="M131" s="165"/>
    </row>
    <row r="132" spans="1:13" ht="15" customHeight="1" x14ac:dyDescent="0.25">
      <c r="A132" s="29" t="s">
        <v>17</v>
      </c>
      <c r="B132" s="42" t="s">
        <v>18</v>
      </c>
      <c r="C132" s="32">
        <f t="shared" ref="C132:I132" si="59">C133+C135+C136+C137+C139+C141+C138+C140+C134</f>
        <v>9968.5</v>
      </c>
      <c r="D132" s="32">
        <f t="shared" si="59"/>
        <v>9968.5</v>
      </c>
      <c r="E132" s="32">
        <f t="shared" si="59"/>
        <v>7278.0999999999995</v>
      </c>
      <c r="F132" s="32">
        <f t="shared" si="59"/>
        <v>1877</v>
      </c>
      <c r="G132" s="32">
        <f t="shared" si="59"/>
        <v>2817.5</v>
      </c>
      <c r="H132" s="32">
        <f t="shared" si="59"/>
        <v>2583.6</v>
      </c>
      <c r="I132" s="32">
        <f t="shared" si="59"/>
        <v>2690.4</v>
      </c>
      <c r="J132" s="32">
        <f>J133+J135+J136+J137+J139+J141+J138+J140+J134</f>
        <v>6258.6</v>
      </c>
      <c r="K132" s="32">
        <f t="shared" ref="K132:K137" si="60">J132*100/E132</f>
        <v>85.99222324507771</v>
      </c>
      <c r="L132" s="13">
        <f t="shared" ref="L132:L137" si="61">J132*100/D132</f>
        <v>62.783768871946634</v>
      </c>
      <c r="M132" s="13">
        <f t="shared" ref="M132:M137" si="62">J132*100/C132</f>
        <v>62.783768871946634</v>
      </c>
    </row>
    <row r="133" spans="1:13" ht="15" customHeight="1" x14ac:dyDescent="0.25">
      <c r="A133" s="26" t="s">
        <v>19</v>
      </c>
      <c r="B133" s="20" t="s">
        <v>20</v>
      </c>
      <c r="C133" s="21">
        <v>2675</v>
      </c>
      <c r="D133" s="21">
        <f t="shared" ref="D133:D141" si="63">F133+G133+H133+I133</f>
        <v>2675</v>
      </c>
      <c r="E133" s="16">
        <f t="shared" ref="E133:E141" si="64">F133+G133+H133</f>
        <v>2111.1999999999998</v>
      </c>
      <c r="F133" s="35">
        <v>605.6</v>
      </c>
      <c r="G133" s="35">
        <v>898.1</v>
      </c>
      <c r="H133" s="22">
        <v>607.5</v>
      </c>
      <c r="I133" s="19">
        <v>563.79999999999995</v>
      </c>
      <c r="J133" s="19">
        <v>1875.7</v>
      </c>
      <c r="K133" s="17">
        <f t="shared" si="60"/>
        <v>88.845206517620312</v>
      </c>
      <c r="L133" s="19">
        <f t="shared" si="61"/>
        <v>70.1196261682243</v>
      </c>
      <c r="M133" s="19">
        <f t="shared" si="62"/>
        <v>70.1196261682243</v>
      </c>
    </row>
    <row r="134" spans="1:13" ht="39" customHeight="1" x14ac:dyDescent="0.25">
      <c r="A134" s="14" t="s">
        <v>21</v>
      </c>
      <c r="B134" s="20" t="s">
        <v>22</v>
      </c>
      <c r="C134" s="21">
        <v>6546.6</v>
      </c>
      <c r="D134" s="21">
        <f t="shared" si="63"/>
        <v>6546.5999999999995</v>
      </c>
      <c r="E134" s="16">
        <f t="shared" si="64"/>
        <v>4668.8999999999996</v>
      </c>
      <c r="F134" s="35">
        <v>1174</v>
      </c>
      <c r="G134" s="35">
        <v>1756.6</v>
      </c>
      <c r="H134" s="22">
        <v>1738.3</v>
      </c>
      <c r="I134" s="19">
        <v>1877.7</v>
      </c>
      <c r="J134" s="19">
        <v>4129.6000000000004</v>
      </c>
      <c r="K134" s="17">
        <f t="shared" si="60"/>
        <v>88.449099359592211</v>
      </c>
      <c r="L134" s="19">
        <f t="shared" si="61"/>
        <v>63.080072098493886</v>
      </c>
      <c r="M134" s="19">
        <f t="shared" si="62"/>
        <v>63.080072098493879</v>
      </c>
    </row>
    <row r="135" spans="1:13" ht="18.75" customHeight="1" x14ac:dyDescent="0.25">
      <c r="A135" s="14" t="s">
        <v>25</v>
      </c>
      <c r="B135" s="20" t="s">
        <v>26</v>
      </c>
      <c r="C135" s="21">
        <v>506.9</v>
      </c>
      <c r="D135" s="21">
        <f t="shared" si="63"/>
        <v>506.9</v>
      </c>
      <c r="E135" s="16">
        <f t="shared" si="64"/>
        <v>347.5</v>
      </c>
      <c r="F135" s="35">
        <v>75.400000000000006</v>
      </c>
      <c r="G135" s="35">
        <v>111.3</v>
      </c>
      <c r="H135" s="22">
        <v>160.80000000000001</v>
      </c>
      <c r="I135" s="19">
        <v>159.4</v>
      </c>
      <c r="J135" s="19">
        <v>172.2</v>
      </c>
      <c r="K135" s="17">
        <f t="shared" si="60"/>
        <v>49.553956834532372</v>
      </c>
      <c r="L135" s="19">
        <f t="shared" si="61"/>
        <v>33.971197474847109</v>
      </c>
      <c r="M135" s="19">
        <f t="shared" si="62"/>
        <v>33.971197474847109</v>
      </c>
    </row>
    <row r="136" spans="1:13" ht="18.75" customHeight="1" x14ac:dyDescent="0.25">
      <c r="A136" s="14" t="s">
        <v>27</v>
      </c>
      <c r="B136" s="20" t="s">
        <v>28</v>
      </c>
      <c r="C136" s="21">
        <v>20</v>
      </c>
      <c r="D136" s="21">
        <f t="shared" si="63"/>
        <v>20</v>
      </c>
      <c r="E136" s="16">
        <f t="shared" si="64"/>
        <v>18</v>
      </c>
      <c r="F136" s="35">
        <v>2.5</v>
      </c>
      <c r="G136" s="35">
        <v>6.5</v>
      </c>
      <c r="H136" s="22">
        <v>9</v>
      </c>
      <c r="I136" s="19">
        <v>2</v>
      </c>
      <c r="J136" s="19">
        <v>13.7</v>
      </c>
      <c r="K136" s="17">
        <f t="shared" si="60"/>
        <v>76.111111111111114</v>
      </c>
      <c r="L136" s="19">
        <f t="shared" si="61"/>
        <v>68.5</v>
      </c>
      <c r="M136" s="19">
        <f t="shared" si="62"/>
        <v>68.5</v>
      </c>
    </row>
    <row r="137" spans="1:13" ht="39" customHeight="1" x14ac:dyDescent="0.25">
      <c r="A137" s="23" t="s">
        <v>31</v>
      </c>
      <c r="B137" s="20" t="s">
        <v>32</v>
      </c>
      <c r="C137" s="21">
        <v>220</v>
      </c>
      <c r="D137" s="21">
        <f t="shared" si="63"/>
        <v>220</v>
      </c>
      <c r="E137" s="16">
        <f t="shared" si="64"/>
        <v>132.5</v>
      </c>
      <c r="F137" s="35">
        <v>19.5</v>
      </c>
      <c r="G137" s="35">
        <v>45</v>
      </c>
      <c r="H137" s="22">
        <v>68</v>
      </c>
      <c r="I137" s="19">
        <v>87.5</v>
      </c>
      <c r="J137" s="19">
        <v>57.2</v>
      </c>
      <c r="K137" s="17">
        <f t="shared" si="60"/>
        <v>43.169811320754718</v>
      </c>
      <c r="L137" s="19">
        <f t="shared" si="61"/>
        <v>26</v>
      </c>
      <c r="M137" s="19">
        <f t="shared" si="62"/>
        <v>26</v>
      </c>
    </row>
    <row r="138" spans="1:13" ht="25.5" customHeight="1" x14ac:dyDescent="0.25">
      <c r="A138" s="25" t="s">
        <v>35</v>
      </c>
      <c r="B138" s="20" t="s">
        <v>36</v>
      </c>
      <c r="C138" s="21">
        <v>0</v>
      </c>
      <c r="D138" s="21">
        <f t="shared" si="63"/>
        <v>0</v>
      </c>
      <c r="E138" s="16">
        <f t="shared" si="64"/>
        <v>0</v>
      </c>
      <c r="F138" s="35"/>
      <c r="G138" s="35"/>
      <c r="H138" s="22"/>
      <c r="I138" s="19"/>
      <c r="J138" s="19"/>
      <c r="K138" s="17"/>
      <c r="L138" s="19"/>
      <c r="M138" s="19"/>
    </row>
    <row r="139" spans="1:13" ht="27" customHeight="1" x14ac:dyDescent="0.25">
      <c r="A139" s="25" t="s">
        <v>37</v>
      </c>
      <c r="B139" s="20" t="s">
        <v>38</v>
      </c>
      <c r="C139" s="21">
        <v>0</v>
      </c>
      <c r="D139" s="21">
        <f t="shared" si="63"/>
        <v>0</v>
      </c>
      <c r="E139" s="16">
        <f t="shared" si="64"/>
        <v>0</v>
      </c>
      <c r="F139" s="35"/>
      <c r="G139" s="35"/>
      <c r="H139" s="22"/>
      <c r="I139" s="19"/>
      <c r="J139" s="19"/>
      <c r="K139" s="17" t="e">
        <f>J139*100/E139</f>
        <v>#DIV/0!</v>
      </c>
      <c r="L139" s="19" t="e">
        <f>J139*100/D139</f>
        <v>#DIV/0!</v>
      </c>
      <c r="M139" s="19"/>
    </row>
    <row r="140" spans="1:13" ht="18" customHeight="1" x14ac:dyDescent="0.25">
      <c r="A140" s="26" t="s">
        <v>41</v>
      </c>
      <c r="B140" s="20" t="s">
        <v>42</v>
      </c>
      <c r="C140" s="21"/>
      <c r="D140" s="21">
        <f t="shared" si="63"/>
        <v>0</v>
      </c>
      <c r="E140" s="16">
        <f t="shared" si="64"/>
        <v>0</v>
      </c>
      <c r="F140" s="35"/>
      <c r="G140" s="35"/>
      <c r="H140" s="22"/>
      <c r="I140" s="19"/>
      <c r="J140" s="19"/>
      <c r="K140" s="17"/>
      <c r="L140" s="19"/>
      <c r="M140" s="19"/>
    </row>
    <row r="141" spans="1:13" ht="17.25" customHeight="1" x14ac:dyDescent="0.25">
      <c r="A141" s="25" t="s">
        <v>43</v>
      </c>
      <c r="B141" s="28" t="s">
        <v>44</v>
      </c>
      <c r="C141" s="21"/>
      <c r="D141" s="21">
        <f t="shared" si="63"/>
        <v>0</v>
      </c>
      <c r="E141" s="16">
        <f t="shared" si="64"/>
        <v>0</v>
      </c>
      <c r="F141" s="35"/>
      <c r="G141" s="35"/>
      <c r="H141" s="22"/>
      <c r="I141" s="19"/>
      <c r="J141" s="22">
        <v>10.199999999999999</v>
      </c>
      <c r="K141" s="17"/>
      <c r="L141" s="19"/>
      <c r="M141" s="19"/>
    </row>
    <row r="142" spans="1:13" ht="15.75" customHeight="1" x14ac:dyDescent="0.25">
      <c r="A142" s="10" t="s">
        <v>45</v>
      </c>
      <c r="B142" s="30" t="s">
        <v>46</v>
      </c>
      <c r="C142" s="31">
        <f t="shared" ref="C142:I142" si="65">C143+C144+C145</f>
        <v>46888.3</v>
      </c>
      <c r="D142" s="31">
        <f>D143+D144+D146</f>
        <v>84989.5</v>
      </c>
      <c r="E142" s="31">
        <f t="shared" si="65"/>
        <v>70198.5</v>
      </c>
      <c r="F142" s="31">
        <f>F143+F144+F145+F146</f>
        <v>43411.7</v>
      </c>
      <c r="G142" s="31">
        <f t="shared" si="65"/>
        <v>14339.5</v>
      </c>
      <c r="H142" s="31">
        <f t="shared" si="65"/>
        <v>12472.300000000001</v>
      </c>
      <c r="I142" s="31">
        <f t="shared" si="65"/>
        <v>14766</v>
      </c>
      <c r="J142" s="31">
        <f>J143+J144+J145+J146</f>
        <v>35236.199999999997</v>
      </c>
      <c r="K142" s="32">
        <f t="shared" ref="K142:K147" si="66">J142*100/E142</f>
        <v>50.195089638667483</v>
      </c>
      <c r="L142" s="13">
        <f t="shared" ref="L142:L147" si="67">J142*100/D142</f>
        <v>41.459474405661872</v>
      </c>
      <c r="M142" s="13">
        <f>J142*100/C142</f>
        <v>75.149237656302304</v>
      </c>
    </row>
    <row r="143" spans="1:13" ht="38.25" customHeight="1" x14ac:dyDescent="0.25">
      <c r="A143" s="33" t="s">
        <v>47</v>
      </c>
      <c r="B143" s="34" t="s">
        <v>48</v>
      </c>
      <c r="C143" s="35">
        <v>46888.3</v>
      </c>
      <c r="D143" s="21">
        <f>F143+G143+H143+I143</f>
        <v>84964.5</v>
      </c>
      <c r="E143" s="16">
        <f>F143+G143+H143</f>
        <v>70198.5</v>
      </c>
      <c r="F143" s="35">
        <v>43386.7</v>
      </c>
      <c r="G143" s="35">
        <v>14339.5</v>
      </c>
      <c r="H143" s="22">
        <f>12298.7+173.6</f>
        <v>12472.300000000001</v>
      </c>
      <c r="I143" s="19">
        <v>14766</v>
      </c>
      <c r="J143" s="19">
        <v>35211.199999999997</v>
      </c>
      <c r="K143" s="17">
        <f t="shared" si="66"/>
        <v>50.159476342087075</v>
      </c>
      <c r="L143" s="19">
        <f t="shared" si="67"/>
        <v>41.442249410047722</v>
      </c>
      <c r="M143" s="19">
        <f>J143*100/C143</f>
        <v>75.095919451121048</v>
      </c>
    </row>
    <row r="144" spans="1:13" ht="14.25" customHeight="1" x14ac:dyDescent="0.25">
      <c r="A144" s="33" t="s">
        <v>63</v>
      </c>
      <c r="B144" s="36" t="s">
        <v>50</v>
      </c>
      <c r="C144" s="36"/>
      <c r="D144" s="21">
        <f>F144+G144+H144+I144</f>
        <v>0</v>
      </c>
      <c r="E144" s="16">
        <f>F144+G144+H144</f>
        <v>0</v>
      </c>
      <c r="F144" s="51"/>
      <c r="G144" s="51"/>
      <c r="H144" s="22"/>
      <c r="I144" s="19"/>
      <c r="J144" s="19"/>
      <c r="K144" s="17" t="e">
        <f t="shared" si="66"/>
        <v>#DIV/0!</v>
      </c>
      <c r="L144" s="19" t="e">
        <f t="shared" si="67"/>
        <v>#DIV/0!</v>
      </c>
      <c r="M144" s="19" t="e">
        <f>J144*100/C144</f>
        <v>#DIV/0!</v>
      </c>
    </row>
    <row r="145" spans="1:13" ht="51.75" customHeight="1" x14ac:dyDescent="0.25">
      <c r="A145" s="33" t="s">
        <v>53</v>
      </c>
      <c r="B145" s="38" t="s">
        <v>54</v>
      </c>
      <c r="C145" s="36"/>
      <c r="D145" s="21">
        <f>F145+G145+H145+I145</f>
        <v>0</v>
      </c>
      <c r="E145" s="16">
        <f>F145+G145+H145</f>
        <v>0</v>
      </c>
      <c r="F145" s="51"/>
      <c r="G145" s="51"/>
      <c r="H145" s="22"/>
      <c r="I145" s="19"/>
      <c r="J145" s="19"/>
      <c r="K145" s="17" t="e">
        <f t="shared" si="66"/>
        <v>#DIV/0!</v>
      </c>
      <c r="L145" s="19" t="e">
        <f t="shared" si="67"/>
        <v>#DIV/0!</v>
      </c>
      <c r="M145" s="19" t="e">
        <f>J145*100/C145</f>
        <v>#DIV/0!</v>
      </c>
    </row>
    <row r="146" spans="1:13" ht="15.75" customHeight="1" x14ac:dyDescent="0.25">
      <c r="A146" s="33" t="s">
        <v>49</v>
      </c>
      <c r="B146" s="36" t="s">
        <v>50</v>
      </c>
      <c r="C146" s="36"/>
      <c r="D146" s="21">
        <f>F146+G146+H146+I146</f>
        <v>25</v>
      </c>
      <c r="E146" s="16">
        <f>F146+G146+H146</f>
        <v>25</v>
      </c>
      <c r="F146" s="51">
        <v>25</v>
      </c>
      <c r="G146" s="51"/>
      <c r="H146" s="22"/>
      <c r="I146" s="19"/>
      <c r="J146" s="19">
        <v>25</v>
      </c>
      <c r="K146" s="17">
        <f t="shared" si="66"/>
        <v>100</v>
      </c>
      <c r="L146" s="19">
        <f t="shared" si="67"/>
        <v>100</v>
      </c>
      <c r="M146" s="19"/>
    </row>
    <row r="147" spans="1:13" ht="18.75" customHeight="1" x14ac:dyDescent="0.25">
      <c r="A147" s="26"/>
      <c r="B147" s="40" t="s">
        <v>55</v>
      </c>
      <c r="C147" s="13">
        <f t="shared" ref="C147:I147" si="68">C142+C132</f>
        <v>56856.800000000003</v>
      </c>
      <c r="D147" s="13">
        <f t="shared" si="68"/>
        <v>94958</v>
      </c>
      <c r="E147" s="13">
        <f t="shared" si="68"/>
        <v>77476.600000000006</v>
      </c>
      <c r="F147" s="12">
        <f t="shared" si="68"/>
        <v>45288.7</v>
      </c>
      <c r="G147" s="12">
        <f t="shared" si="68"/>
        <v>17157</v>
      </c>
      <c r="H147" s="12">
        <f t="shared" si="68"/>
        <v>15055.900000000001</v>
      </c>
      <c r="I147" s="13">
        <f t="shared" si="68"/>
        <v>17456.400000000001</v>
      </c>
      <c r="J147" s="13">
        <f>J142+J132</f>
        <v>41494.799999999996</v>
      </c>
      <c r="K147" s="32">
        <f t="shared" si="66"/>
        <v>53.557848434236909</v>
      </c>
      <c r="L147" s="13">
        <f t="shared" si="67"/>
        <v>43.698055982644952</v>
      </c>
      <c r="M147" s="13">
        <f>J147*100/C147</f>
        <v>72.98124410800466</v>
      </c>
    </row>
    <row r="148" spans="1:13" x14ac:dyDescent="0.25">
      <c r="A148" s="166"/>
      <c r="B148" s="167"/>
      <c r="C148" s="167"/>
      <c r="D148" s="167"/>
      <c r="E148" s="167"/>
      <c r="F148" s="167"/>
      <c r="G148" s="167"/>
      <c r="H148" s="167"/>
      <c r="I148" s="167"/>
      <c r="J148" s="167"/>
      <c r="K148" s="32"/>
      <c r="L148" s="13"/>
      <c r="M148" s="19"/>
    </row>
    <row r="149" spans="1:13" x14ac:dyDescent="0.25">
      <c r="A149" s="161" t="s">
        <v>66</v>
      </c>
      <c r="B149" s="162"/>
      <c r="C149" s="162"/>
      <c r="D149" s="162"/>
      <c r="E149" s="162"/>
      <c r="F149" s="162"/>
      <c r="G149" s="162"/>
      <c r="H149" s="162"/>
      <c r="I149" s="162"/>
      <c r="J149" s="162"/>
      <c r="K149" s="162"/>
      <c r="L149" s="162"/>
      <c r="M149" s="165"/>
    </row>
    <row r="150" spans="1:13" ht="15" customHeight="1" x14ac:dyDescent="0.25">
      <c r="A150" s="29" t="s">
        <v>17</v>
      </c>
      <c r="B150" s="42" t="s">
        <v>18</v>
      </c>
      <c r="C150" s="32">
        <f t="shared" ref="C150:I150" si="69">C151+C154+C156+C158+C155+C159+C157+C160+C153+C152</f>
        <v>21387.699999999997</v>
      </c>
      <c r="D150" s="32">
        <f t="shared" si="69"/>
        <v>21887.699999999997</v>
      </c>
      <c r="E150" s="32">
        <f t="shared" si="69"/>
        <v>16769.900000000001</v>
      </c>
      <c r="F150" s="32">
        <f t="shared" si="69"/>
        <v>5146.6000000000004</v>
      </c>
      <c r="G150" s="32">
        <f t="shared" si="69"/>
        <v>5821.4999999999991</v>
      </c>
      <c r="H150" s="32">
        <f t="shared" si="69"/>
        <v>5801.8</v>
      </c>
      <c r="I150" s="32">
        <f t="shared" si="69"/>
        <v>5117.8</v>
      </c>
      <c r="J150" s="32">
        <f>J151+J154+J156+J158+J155+J159+J157+J160+J153+J152</f>
        <v>13528.699999999999</v>
      </c>
      <c r="K150" s="32">
        <f t="shared" ref="K150:K157" si="70">J150*100/E150</f>
        <v>80.672514445524413</v>
      </c>
      <c r="L150" s="13">
        <f t="shared" ref="L150:L157" si="71">J150*100/D150</f>
        <v>61.809600826034725</v>
      </c>
      <c r="M150" s="13">
        <f t="shared" ref="M150:M156" si="72">J150*100/C150</f>
        <v>63.254580903977526</v>
      </c>
    </row>
    <row r="151" spans="1:13" ht="15" customHeight="1" x14ac:dyDescent="0.25">
      <c r="A151" s="26" t="s">
        <v>19</v>
      </c>
      <c r="B151" s="20" t="s">
        <v>20</v>
      </c>
      <c r="C151" s="21">
        <v>13460</v>
      </c>
      <c r="D151" s="35">
        <f t="shared" ref="D151:D160" si="73">F151+G151+H151+I151</f>
        <v>13710</v>
      </c>
      <c r="E151" s="16">
        <f t="shared" ref="E151:E160" si="74">F151+G151+H151</f>
        <v>10795.3</v>
      </c>
      <c r="F151" s="35">
        <v>3322.1</v>
      </c>
      <c r="G151" s="35">
        <v>3693.7</v>
      </c>
      <c r="H151" s="22">
        <v>3779.5</v>
      </c>
      <c r="I151" s="19">
        <v>2914.7</v>
      </c>
      <c r="J151" s="19">
        <v>9995.7000000000007</v>
      </c>
      <c r="K151" s="17">
        <f t="shared" si="70"/>
        <v>92.593072911359585</v>
      </c>
      <c r="L151" s="19">
        <f t="shared" si="71"/>
        <v>72.908096280087534</v>
      </c>
      <c r="M151" s="19">
        <f t="shared" si="72"/>
        <v>74.262258543833596</v>
      </c>
    </row>
    <row r="152" spans="1:13" ht="40.5" customHeight="1" x14ac:dyDescent="0.25">
      <c r="A152" s="14" t="s">
        <v>21</v>
      </c>
      <c r="B152" s="20" t="s">
        <v>22</v>
      </c>
      <c r="C152" s="21">
        <v>4923.1000000000004</v>
      </c>
      <c r="D152" s="35">
        <f t="shared" si="73"/>
        <v>4923.0999999999995</v>
      </c>
      <c r="E152" s="16">
        <f t="shared" si="74"/>
        <v>3744.8999999999996</v>
      </c>
      <c r="F152" s="35">
        <v>1180</v>
      </c>
      <c r="G152" s="35">
        <v>1222.7</v>
      </c>
      <c r="H152" s="22">
        <v>1342.2</v>
      </c>
      <c r="I152" s="19">
        <v>1178.2</v>
      </c>
      <c r="J152" s="19">
        <v>3105.5</v>
      </c>
      <c r="K152" s="17">
        <f t="shared" si="70"/>
        <v>82.926112846804998</v>
      </c>
      <c r="L152" s="19">
        <f t="shared" si="71"/>
        <v>63.080173061688782</v>
      </c>
      <c r="M152" s="19">
        <f t="shared" si="72"/>
        <v>63.080173061688768</v>
      </c>
    </row>
    <row r="153" spans="1:13" ht="18.75" customHeight="1" x14ac:dyDescent="0.25">
      <c r="A153" s="14" t="s">
        <v>23</v>
      </c>
      <c r="B153" s="20" t="s">
        <v>24</v>
      </c>
      <c r="C153" s="21">
        <v>15</v>
      </c>
      <c r="D153" s="35">
        <f t="shared" si="73"/>
        <v>14.999999999999998</v>
      </c>
      <c r="E153" s="16">
        <f t="shared" si="74"/>
        <v>12.899999999999999</v>
      </c>
      <c r="F153" s="35">
        <v>4.5</v>
      </c>
      <c r="G153" s="35">
        <v>5.6</v>
      </c>
      <c r="H153" s="22">
        <v>2.8</v>
      </c>
      <c r="I153" s="19">
        <v>2.1</v>
      </c>
      <c r="J153" s="19">
        <v>2.6</v>
      </c>
      <c r="K153" s="17">
        <f t="shared" si="70"/>
        <v>20.155038759689926</v>
      </c>
      <c r="L153" s="19">
        <f t="shared" si="71"/>
        <v>17.333333333333336</v>
      </c>
      <c r="M153" s="19">
        <f t="shared" si="72"/>
        <v>17.333333333333332</v>
      </c>
    </row>
    <row r="154" spans="1:13" ht="18" customHeight="1" x14ac:dyDescent="0.25">
      <c r="A154" s="14" t="s">
        <v>25</v>
      </c>
      <c r="B154" s="20" t="s">
        <v>26</v>
      </c>
      <c r="C154" s="21">
        <v>1987</v>
      </c>
      <c r="D154" s="35">
        <f t="shared" si="73"/>
        <v>1737</v>
      </c>
      <c r="E154" s="16">
        <f t="shared" si="74"/>
        <v>957.1</v>
      </c>
      <c r="F154" s="35">
        <v>392</v>
      </c>
      <c r="G154" s="35">
        <v>148.69999999999999</v>
      </c>
      <c r="H154" s="22">
        <v>416.4</v>
      </c>
      <c r="I154" s="19">
        <v>779.9</v>
      </c>
      <c r="J154" s="19">
        <v>-132.1</v>
      </c>
      <c r="K154" s="17">
        <f t="shared" si="70"/>
        <v>-13.802110542263087</v>
      </c>
      <c r="L154" s="19">
        <f t="shared" si="71"/>
        <v>-7.6050662061024754</v>
      </c>
      <c r="M154" s="19">
        <f t="shared" si="72"/>
        <v>-6.6482133870156011</v>
      </c>
    </row>
    <row r="155" spans="1:13" ht="15" customHeight="1" x14ac:dyDescent="0.25">
      <c r="A155" s="14" t="s">
        <v>27</v>
      </c>
      <c r="B155" s="20" t="s">
        <v>28</v>
      </c>
      <c r="C155" s="21">
        <v>148.6</v>
      </c>
      <c r="D155" s="35">
        <f t="shared" si="73"/>
        <v>148.6</v>
      </c>
      <c r="E155" s="16">
        <f t="shared" si="74"/>
        <v>114.7</v>
      </c>
      <c r="F155" s="35">
        <v>35.799999999999997</v>
      </c>
      <c r="G155" s="35">
        <v>38.1</v>
      </c>
      <c r="H155" s="22">
        <v>40.799999999999997</v>
      </c>
      <c r="I155" s="19">
        <v>33.9</v>
      </c>
      <c r="J155" s="19">
        <v>41.8</v>
      </c>
      <c r="K155" s="17">
        <f t="shared" si="70"/>
        <v>36.442894507410635</v>
      </c>
      <c r="L155" s="19">
        <f t="shared" si="71"/>
        <v>28.129205921938091</v>
      </c>
      <c r="M155" s="19">
        <f t="shared" si="72"/>
        <v>28.129205921938091</v>
      </c>
    </row>
    <row r="156" spans="1:13" ht="41.25" customHeight="1" x14ac:dyDescent="0.25">
      <c r="A156" s="23" t="s">
        <v>31</v>
      </c>
      <c r="B156" s="20" t="s">
        <v>32</v>
      </c>
      <c r="C156" s="21">
        <v>854</v>
      </c>
      <c r="D156" s="35">
        <f t="shared" si="73"/>
        <v>854</v>
      </c>
      <c r="E156" s="16">
        <f t="shared" si="74"/>
        <v>645</v>
      </c>
      <c r="F156" s="35">
        <v>212.2</v>
      </c>
      <c r="G156" s="35">
        <v>212.7</v>
      </c>
      <c r="H156" s="22">
        <v>220.1</v>
      </c>
      <c r="I156" s="19">
        <v>209</v>
      </c>
      <c r="J156" s="19">
        <v>30.3</v>
      </c>
      <c r="K156" s="17">
        <f t="shared" si="70"/>
        <v>4.6976744186046515</v>
      </c>
      <c r="L156" s="19">
        <f t="shared" si="71"/>
        <v>3.548009367681499</v>
      </c>
      <c r="M156" s="19">
        <f t="shared" si="72"/>
        <v>3.548009367681499</v>
      </c>
    </row>
    <row r="157" spans="1:13" ht="30" customHeight="1" x14ac:dyDescent="0.25">
      <c r="A157" s="25" t="s">
        <v>35</v>
      </c>
      <c r="B157" s="20" t="s">
        <v>36</v>
      </c>
      <c r="C157" s="21"/>
      <c r="D157" s="35">
        <f t="shared" si="73"/>
        <v>500</v>
      </c>
      <c r="E157" s="16">
        <f t="shared" si="74"/>
        <v>500</v>
      </c>
      <c r="F157" s="35"/>
      <c r="G157" s="35">
        <v>500</v>
      </c>
      <c r="H157" s="22"/>
      <c r="I157" s="19"/>
      <c r="J157" s="19">
        <v>484.9</v>
      </c>
      <c r="K157" s="17">
        <f t="shared" si="70"/>
        <v>96.98</v>
      </c>
      <c r="L157" s="19">
        <f t="shared" si="71"/>
        <v>96.98</v>
      </c>
      <c r="M157" s="19"/>
    </row>
    <row r="158" spans="1:13" ht="29.25" customHeight="1" x14ac:dyDescent="0.25">
      <c r="A158" s="24" t="s">
        <v>37</v>
      </c>
      <c r="B158" s="20" t="s">
        <v>38</v>
      </c>
      <c r="C158" s="21"/>
      <c r="D158" s="35">
        <f t="shared" si="73"/>
        <v>0</v>
      </c>
      <c r="E158" s="16">
        <f t="shared" si="74"/>
        <v>0</v>
      </c>
      <c r="F158" s="35"/>
      <c r="G158" s="35"/>
      <c r="H158" s="22"/>
      <c r="I158" s="19"/>
      <c r="J158" s="19"/>
      <c r="K158" s="17"/>
      <c r="L158" s="19"/>
      <c r="M158" s="19"/>
    </row>
    <row r="159" spans="1:13" ht="18" customHeight="1" x14ac:dyDescent="0.25">
      <c r="A159" s="26" t="s">
        <v>41</v>
      </c>
      <c r="B159" s="20" t="s">
        <v>42</v>
      </c>
      <c r="C159" s="21"/>
      <c r="D159" s="35">
        <f t="shared" si="73"/>
        <v>0</v>
      </c>
      <c r="E159" s="16">
        <f t="shared" si="74"/>
        <v>0</v>
      </c>
      <c r="F159" s="35"/>
      <c r="G159" s="35"/>
      <c r="H159" s="22"/>
      <c r="I159" s="19"/>
      <c r="J159" s="19"/>
      <c r="K159" s="17"/>
      <c r="L159" s="19"/>
      <c r="M159" s="19"/>
    </row>
    <row r="160" spans="1:13" ht="16.5" customHeight="1" x14ac:dyDescent="0.25">
      <c r="A160" s="24" t="s">
        <v>43</v>
      </c>
      <c r="B160" s="28" t="s">
        <v>44</v>
      </c>
      <c r="C160" s="21"/>
      <c r="D160" s="35">
        <f t="shared" si="73"/>
        <v>0</v>
      </c>
      <c r="E160" s="16">
        <f t="shared" si="74"/>
        <v>0</v>
      </c>
      <c r="F160" s="35"/>
      <c r="G160" s="35"/>
      <c r="H160" s="22"/>
      <c r="I160" s="19"/>
      <c r="J160" s="19"/>
      <c r="K160" s="32"/>
      <c r="L160" s="13"/>
      <c r="M160" s="19"/>
    </row>
    <row r="161" spans="1:13" ht="17.25" customHeight="1" x14ac:dyDescent="0.25">
      <c r="A161" s="29" t="s">
        <v>45</v>
      </c>
      <c r="B161" s="30" t="s">
        <v>46</v>
      </c>
      <c r="C161" s="31">
        <f>C162+C163</f>
        <v>32823.699999999997</v>
      </c>
      <c r="D161" s="31">
        <f>D162+D163</f>
        <v>73213.5</v>
      </c>
      <c r="E161" s="31">
        <f t="shared" ref="E161:J161" si="75">E162+E163</f>
        <v>66116.100000000006</v>
      </c>
      <c r="F161" s="31">
        <f t="shared" si="75"/>
        <v>52909.9</v>
      </c>
      <c r="G161" s="31">
        <f t="shared" si="75"/>
        <v>14330.1</v>
      </c>
      <c r="H161" s="31">
        <f t="shared" si="75"/>
        <v>-1123.8999999999996</v>
      </c>
      <c r="I161" s="31">
        <f t="shared" si="75"/>
        <v>7097.4</v>
      </c>
      <c r="J161" s="31">
        <f t="shared" si="75"/>
        <v>30521.5</v>
      </c>
      <c r="K161" s="32">
        <f>J161*100/E161</f>
        <v>46.163491192009204</v>
      </c>
      <c r="L161" s="13">
        <f>J161*100/D161</f>
        <v>41.68834982619326</v>
      </c>
      <c r="M161" s="13">
        <f>J161*100/C161</f>
        <v>92.9861654840862</v>
      </c>
    </row>
    <row r="162" spans="1:13" ht="37.5" customHeight="1" x14ac:dyDescent="0.25">
      <c r="A162" s="33" t="s">
        <v>47</v>
      </c>
      <c r="B162" s="34" t="s">
        <v>48</v>
      </c>
      <c r="C162" s="35">
        <v>32823.699999999997</v>
      </c>
      <c r="D162" s="35">
        <f>F162+G162+H162+I162</f>
        <v>72732.5</v>
      </c>
      <c r="E162" s="16">
        <f>F162+G162+H162</f>
        <v>65635.100000000006</v>
      </c>
      <c r="F162" s="35">
        <v>52909.9</v>
      </c>
      <c r="G162" s="35">
        <v>13849.1</v>
      </c>
      <c r="H162" s="22">
        <f>11294.6-12418.5</f>
        <v>-1123.8999999999996</v>
      </c>
      <c r="I162" s="19">
        <v>7097.4</v>
      </c>
      <c r="J162" s="19">
        <v>30040.5</v>
      </c>
      <c r="K162" s="17">
        <f>J162*100/E162</f>
        <v>45.768955939733459</v>
      </c>
      <c r="L162" s="19">
        <f>J162*100/D162</f>
        <v>41.302718867081431</v>
      </c>
      <c r="M162" s="19">
        <f>J162*100/C162</f>
        <v>91.520760913608157</v>
      </c>
    </row>
    <row r="163" spans="1:13" ht="17.25" customHeight="1" x14ac:dyDescent="0.25">
      <c r="A163" s="33" t="s">
        <v>49</v>
      </c>
      <c r="B163" s="36" t="s">
        <v>50</v>
      </c>
      <c r="C163" s="36"/>
      <c r="D163" s="35">
        <f>F163+G163+H163+I163</f>
        <v>481</v>
      </c>
      <c r="E163" s="16">
        <f>F163+G163+H163</f>
        <v>481</v>
      </c>
      <c r="F163" s="35"/>
      <c r="G163" s="35">
        <v>481</v>
      </c>
      <c r="H163" s="22"/>
      <c r="I163" s="19"/>
      <c r="J163" s="19">
        <v>481</v>
      </c>
      <c r="K163" s="17">
        <f>J163*100/E163</f>
        <v>100</v>
      </c>
      <c r="L163" s="19">
        <f>J163*100/D163</f>
        <v>100</v>
      </c>
      <c r="M163" s="19"/>
    </row>
    <row r="164" spans="1:13" ht="15" customHeight="1" x14ac:dyDescent="0.25">
      <c r="A164" s="26"/>
      <c r="B164" s="40" t="s">
        <v>55</v>
      </c>
      <c r="C164" s="13">
        <f t="shared" ref="C164:I164" si="76">C161+C150</f>
        <v>54211.399999999994</v>
      </c>
      <c r="D164" s="13">
        <f t="shared" si="76"/>
        <v>95101.2</v>
      </c>
      <c r="E164" s="13">
        <f t="shared" si="76"/>
        <v>82886</v>
      </c>
      <c r="F164" s="13">
        <f t="shared" si="76"/>
        <v>58056.5</v>
      </c>
      <c r="G164" s="13">
        <f t="shared" si="76"/>
        <v>20151.599999999999</v>
      </c>
      <c r="H164" s="13">
        <f t="shared" si="76"/>
        <v>4677.9000000000005</v>
      </c>
      <c r="I164" s="13">
        <f t="shared" si="76"/>
        <v>12215.2</v>
      </c>
      <c r="J164" s="13">
        <f>J161+J150</f>
        <v>44050.2</v>
      </c>
      <c r="K164" s="32">
        <f>J164*100/E164</f>
        <v>53.145525179161737</v>
      </c>
      <c r="L164" s="13">
        <f>J164*100/D164</f>
        <v>46.319289346506672</v>
      </c>
      <c r="M164" s="13">
        <f>J164*100/C164</f>
        <v>81.256340917224065</v>
      </c>
    </row>
    <row r="165" spans="1:13" x14ac:dyDescent="0.25">
      <c r="A165" s="163"/>
      <c r="B165" s="164"/>
      <c r="C165" s="164"/>
      <c r="D165" s="164"/>
      <c r="E165" s="164"/>
      <c r="F165" s="164"/>
      <c r="G165" s="164"/>
      <c r="H165" s="164"/>
      <c r="I165" s="164"/>
      <c r="J165" s="164"/>
      <c r="K165" s="32"/>
      <c r="L165" s="13"/>
      <c r="M165" s="19"/>
    </row>
    <row r="166" spans="1:13" x14ac:dyDescent="0.25">
      <c r="A166" s="161" t="s">
        <v>67</v>
      </c>
      <c r="B166" s="162"/>
      <c r="C166" s="162"/>
      <c r="D166" s="162"/>
      <c r="E166" s="162"/>
      <c r="F166" s="162"/>
      <c r="G166" s="162"/>
      <c r="H166" s="162"/>
      <c r="I166" s="162"/>
      <c r="J166" s="162"/>
      <c r="K166" s="162"/>
      <c r="L166" s="162"/>
      <c r="M166" s="165"/>
    </row>
    <row r="167" spans="1:13" ht="13.5" customHeight="1" x14ac:dyDescent="0.25">
      <c r="A167" s="29" t="s">
        <v>17</v>
      </c>
      <c r="B167" s="42" t="s">
        <v>18</v>
      </c>
      <c r="C167" s="32">
        <f>C168+C171+C172+C173+C175+C176+C177+C174+C169+C170</f>
        <v>7081.1</v>
      </c>
      <c r="D167" s="32">
        <f>D168+D171+D172+D173+D175+D176+D177+D174+D169+D170</f>
        <v>7298</v>
      </c>
      <c r="E167" s="32">
        <f t="shared" ref="E167:J167" si="77">E168+E171+E172+E173+E175+E176+E177+E174+E169+E170</f>
        <v>4934.4000000000005</v>
      </c>
      <c r="F167" s="32">
        <f t="shared" si="77"/>
        <v>1536</v>
      </c>
      <c r="G167" s="32">
        <f t="shared" si="77"/>
        <v>1854.3</v>
      </c>
      <c r="H167" s="32">
        <f t="shared" si="77"/>
        <v>1544.1</v>
      </c>
      <c r="I167" s="32">
        <f t="shared" si="77"/>
        <v>2363.6</v>
      </c>
      <c r="J167" s="32">
        <f t="shared" si="77"/>
        <v>4743.3999999999996</v>
      </c>
      <c r="K167" s="32">
        <f t="shared" ref="K167:K176" si="78">J167*100/E167</f>
        <v>96.129215304798933</v>
      </c>
      <c r="L167" s="13">
        <f t="shared" ref="L167:L176" si="79">J167*100/D167</f>
        <v>64.99588928473554</v>
      </c>
      <c r="M167" s="13">
        <f>J167*100/C167</f>
        <v>66.986767592605659</v>
      </c>
    </row>
    <row r="168" spans="1:13" ht="17.25" customHeight="1" x14ac:dyDescent="0.25">
      <c r="A168" s="26" t="s">
        <v>19</v>
      </c>
      <c r="B168" s="20" t="s">
        <v>20</v>
      </c>
      <c r="C168" s="21">
        <v>2930</v>
      </c>
      <c r="D168" s="35">
        <f t="shared" ref="D168:D177" si="80">F168+G168+H168+I168</f>
        <v>2930</v>
      </c>
      <c r="E168" s="16">
        <f t="shared" ref="E168:E177" si="81">F168+G168+H168</f>
        <v>2146.6999999999998</v>
      </c>
      <c r="F168" s="21">
        <v>730</v>
      </c>
      <c r="G168" s="21">
        <v>791.7</v>
      </c>
      <c r="H168" s="22">
        <v>625</v>
      </c>
      <c r="I168" s="19">
        <v>783.3</v>
      </c>
      <c r="J168" s="19">
        <v>1940.1</v>
      </c>
      <c r="K168" s="17">
        <f t="shared" si="78"/>
        <v>90.37592583966088</v>
      </c>
      <c r="L168" s="19">
        <f t="shared" si="79"/>
        <v>66.215017064846421</v>
      </c>
      <c r="M168" s="19">
        <f>J168*100/C168</f>
        <v>66.215017064846421</v>
      </c>
    </row>
    <row r="169" spans="1:13" ht="35.25" customHeight="1" x14ac:dyDescent="0.25">
      <c r="A169" s="14" t="s">
        <v>21</v>
      </c>
      <c r="B169" s="20" t="s">
        <v>22</v>
      </c>
      <c r="C169" s="21">
        <v>2826.6</v>
      </c>
      <c r="D169" s="35">
        <f t="shared" si="80"/>
        <v>2826.6</v>
      </c>
      <c r="E169" s="16">
        <f t="shared" si="81"/>
        <v>2120</v>
      </c>
      <c r="F169" s="21">
        <v>706.7</v>
      </c>
      <c r="G169" s="21">
        <v>706.7</v>
      </c>
      <c r="H169" s="22">
        <v>706.6</v>
      </c>
      <c r="I169" s="19">
        <v>706.6</v>
      </c>
      <c r="J169" s="19">
        <v>1783</v>
      </c>
      <c r="K169" s="17">
        <f t="shared" si="78"/>
        <v>84.103773584905667</v>
      </c>
      <c r="L169" s="19">
        <f t="shared" si="79"/>
        <v>63.07931790844124</v>
      </c>
      <c r="M169" s="19">
        <f>J169*100/C169</f>
        <v>63.07931790844124</v>
      </c>
    </row>
    <row r="170" spans="1:13" ht="15" customHeight="1" x14ac:dyDescent="0.25">
      <c r="A170" s="14" t="s">
        <v>23</v>
      </c>
      <c r="B170" s="20" t="s">
        <v>24</v>
      </c>
      <c r="C170" s="21">
        <v>0</v>
      </c>
      <c r="D170" s="35">
        <f t="shared" si="80"/>
        <v>1.6</v>
      </c>
      <c r="E170" s="16">
        <f t="shared" si="81"/>
        <v>1.6</v>
      </c>
      <c r="F170" s="21"/>
      <c r="G170" s="21">
        <v>1.6</v>
      </c>
      <c r="H170" s="22"/>
      <c r="I170" s="19"/>
      <c r="J170" s="19">
        <v>2.6</v>
      </c>
      <c r="K170" s="17">
        <f t="shared" si="78"/>
        <v>162.5</v>
      </c>
      <c r="L170" s="19">
        <f t="shared" si="79"/>
        <v>162.5</v>
      </c>
      <c r="M170" s="19"/>
    </row>
    <row r="171" spans="1:13" ht="20.25" customHeight="1" x14ac:dyDescent="0.25">
      <c r="A171" s="14" t="s">
        <v>25</v>
      </c>
      <c r="B171" s="20" t="s">
        <v>26</v>
      </c>
      <c r="C171" s="21">
        <v>875.5</v>
      </c>
      <c r="D171" s="35">
        <f t="shared" si="80"/>
        <v>875.5</v>
      </c>
      <c r="E171" s="16">
        <f t="shared" si="81"/>
        <v>212</v>
      </c>
      <c r="F171" s="21"/>
      <c r="G171" s="21">
        <v>106</v>
      </c>
      <c r="H171" s="22">
        <v>106</v>
      </c>
      <c r="I171" s="19">
        <v>663.5</v>
      </c>
      <c r="J171" s="19">
        <v>361.1</v>
      </c>
      <c r="K171" s="17">
        <f t="shared" si="78"/>
        <v>170.33018867924528</v>
      </c>
      <c r="L171" s="19">
        <f t="shared" si="79"/>
        <v>41.245002855511139</v>
      </c>
      <c r="M171" s="19">
        <f>J171*100/C171</f>
        <v>41.245002855511139</v>
      </c>
    </row>
    <row r="172" spans="1:13" ht="14.25" customHeight="1" x14ac:dyDescent="0.25">
      <c r="A172" s="14" t="s">
        <v>27</v>
      </c>
      <c r="B172" s="20" t="s">
        <v>28</v>
      </c>
      <c r="C172" s="21">
        <v>35</v>
      </c>
      <c r="D172" s="35">
        <f t="shared" si="80"/>
        <v>10</v>
      </c>
      <c r="E172" s="16">
        <f t="shared" si="81"/>
        <v>6.8</v>
      </c>
      <c r="F172" s="21">
        <v>1.8</v>
      </c>
      <c r="G172" s="21">
        <v>2</v>
      </c>
      <c r="H172" s="22">
        <v>3</v>
      </c>
      <c r="I172" s="19">
        <v>3.2</v>
      </c>
      <c r="J172" s="19">
        <v>4.7</v>
      </c>
      <c r="K172" s="17">
        <f t="shared" si="78"/>
        <v>69.117647058823536</v>
      </c>
      <c r="L172" s="19">
        <f t="shared" si="79"/>
        <v>47</v>
      </c>
      <c r="M172" s="19">
        <f>J172*100/C172</f>
        <v>13.428571428571429</v>
      </c>
    </row>
    <row r="173" spans="1:13" ht="39" customHeight="1" x14ac:dyDescent="0.25">
      <c r="A173" s="23" t="s">
        <v>31</v>
      </c>
      <c r="B173" s="20" t="s">
        <v>32</v>
      </c>
      <c r="C173" s="21">
        <v>414</v>
      </c>
      <c r="D173" s="35">
        <f t="shared" si="80"/>
        <v>637</v>
      </c>
      <c r="E173" s="16">
        <f t="shared" si="81"/>
        <v>430</v>
      </c>
      <c r="F173" s="21">
        <v>97.5</v>
      </c>
      <c r="G173" s="21">
        <v>229</v>
      </c>
      <c r="H173" s="22">
        <v>103.5</v>
      </c>
      <c r="I173" s="19">
        <v>207</v>
      </c>
      <c r="J173" s="19">
        <f>606.7-0.1</f>
        <v>606.6</v>
      </c>
      <c r="K173" s="17">
        <f t="shared" si="78"/>
        <v>141.06976744186048</v>
      </c>
      <c r="L173" s="19">
        <f t="shared" si="79"/>
        <v>95.2276295133438</v>
      </c>
      <c r="M173" s="19">
        <f>J173*100/C173</f>
        <v>146.52173913043478</v>
      </c>
    </row>
    <row r="174" spans="1:13" ht="27" customHeight="1" x14ac:dyDescent="0.25">
      <c r="A174" s="25" t="s">
        <v>35</v>
      </c>
      <c r="B174" s="20" t="s">
        <v>36</v>
      </c>
      <c r="C174" s="21">
        <v>0</v>
      </c>
      <c r="D174" s="35">
        <f t="shared" si="80"/>
        <v>7.3</v>
      </c>
      <c r="E174" s="16">
        <f t="shared" si="81"/>
        <v>7.3</v>
      </c>
      <c r="F174" s="21"/>
      <c r="G174" s="21">
        <v>7.3</v>
      </c>
      <c r="H174" s="22"/>
      <c r="I174" s="19"/>
      <c r="J174" s="19">
        <v>35.299999999999997</v>
      </c>
      <c r="K174" s="17">
        <f t="shared" si="78"/>
        <v>483.56164383561639</v>
      </c>
      <c r="L174" s="19">
        <f t="shared" si="79"/>
        <v>483.56164383561639</v>
      </c>
      <c r="M174" s="19"/>
    </row>
    <row r="175" spans="1:13" ht="26.25" customHeight="1" x14ac:dyDescent="0.25">
      <c r="A175" s="24" t="s">
        <v>37</v>
      </c>
      <c r="B175" s="20" t="s">
        <v>38</v>
      </c>
      <c r="C175" s="21"/>
      <c r="D175" s="35">
        <f t="shared" si="80"/>
        <v>0</v>
      </c>
      <c r="E175" s="16">
        <f t="shared" si="81"/>
        <v>0</v>
      </c>
      <c r="F175" s="21"/>
      <c r="G175" s="21"/>
      <c r="H175" s="22"/>
      <c r="I175" s="19"/>
      <c r="J175" s="19"/>
      <c r="K175" s="17" t="e">
        <f t="shared" si="78"/>
        <v>#DIV/0!</v>
      </c>
      <c r="L175" s="19" t="e">
        <f t="shared" si="79"/>
        <v>#DIV/0!</v>
      </c>
      <c r="M175" s="19"/>
    </row>
    <row r="176" spans="1:13" ht="15.75" customHeight="1" x14ac:dyDescent="0.25">
      <c r="A176" s="26" t="s">
        <v>41</v>
      </c>
      <c r="B176" s="20" t="s">
        <v>42</v>
      </c>
      <c r="C176" s="21"/>
      <c r="D176" s="35">
        <f t="shared" si="80"/>
        <v>10</v>
      </c>
      <c r="E176" s="16">
        <f t="shared" si="81"/>
        <v>10</v>
      </c>
      <c r="F176" s="21"/>
      <c r="G176" s="21">
        <v>10</v>
      </c>
      <c r="H176" s="22"/>
      <c r="I176" s="19"/>
      <c r="J176" s="19">
        <v>10</v>
      </c>
      <c r="K176" s="17">
        <f t="shared" si="78"/>
        <v>100</v>
      </c>
      <c r="L176" s="19">
        <f t="shared" si="79"/>
        <v>100</v>
      </c>
      <c r="M176" s="19"/>
    </row>
    <row r="177" spans="1:13" ht="18.75" customHeight="1" x14ac:dyDescent="0.25">
      <c r="A177" s="45" t="s">
        <v>43</v>
      </c>
      <c r="B177" s="28" t="s">
        <v>44</v>
      </c>
      <c r="C177" s="21"/>
      <c r="D177" s="35">
        <f t="shared" si="80"/>
        <v>0</v>
      </c>
      <c r="E177" s="16">
        <f t="shared" si="81"/>
        <v>0</v>
      </c>
      <c r="F177" s="21"/>
      <c r="G177" s="21"/>
      <c r="H177" s="22"/>
      <c r="I177" s="19"/>
      <c r="J177" s="19"/>
      <c r="K177" s="32"/>
      <c r="L177" s="13"/>
      <c r="M177" s="19"/>
    </row>
    <row r="178" spans="1:13" ht="16.5" customHeight="1" x14ac:dyDescent="0.25">
      <c r="A178" s="29" t="s">
        <v>45</v>
      </c>
      <c r="B178" s="30" t="s">
        <v>46</v>
      </c>
      <c r="C178" s="31">
        <f t="shared" ref="C178:J178" si="82">C179+C180</f>
        <v>28800.9</v>
      </c>
      <c r="D178" s="31">
        <f t="shared" si="82"/>
        <v>37566.9</v>
      </c>
      <c r="E178" s="53">
        <f t="shared" si="82"/>
        <v>30617.8</v>
      </c>
      <c r="F178" s="53">
        <f t="shared" si="82"/>
        <v>11213</v>
      </c>
      <c r="G178" s="53">
        <f t="shared" si="82"/>
        <v>8784.5</v>
      </c>
      <c r="H178" s="31">
        <f t="shared" si="82"/>
        <v>10620.3</v>
      </c>
      <c r="I178" s="31">
        <f t="shared" si="82"/>
        <v>6949.1</v>
      </c>
      <c r="J178" s="31">
        <f t="shared" si="82"/>
        <v>21018.6</v>
      </c>
      <c r="K178" s="32">
        <f>J178*100/E178</f>
        <v>68.648302621350979</v>
      </c>
      <c r="L178" s="13">
        <f>J178*100/D178</f>
        <v>55.949785582520782</v>
      </c>
      <c r="M178" s="13">
        <f>J178*100/C178</f>
        <v>72.978969407206023</v>
      </c>
    </row>
    <row r="179" spans="1:13" ht="37.5" customHeight="1" x14ac:dyDescent="0.25">
      <c r="A179" s="33" t="s">
        <v>47</v>
      </c>
      <c r="B179" s="34" t="s">
        <v>48</v>
      </c>
      <c r="C179" s="35">
        <v>28800.9</v>
      </c>
      <c r="D179" s="35">
        <f>F179+G179+H179+I179</f>
        <v>37566.9</v>
      </c>
      <c r="E179" s="16">
        <f>F179+G179+H179</f>
        <v>30617.8</v>
      </c>
      <c r="F179" s="21">
        <v>11213</v>
      </c>
      <c r="G179" s="21">
        <v>8784.5</v>
      </c>
      <c r="H179" s="22">
        <f>7084.7+3535.6</f>
        <v>10620.3</v>
      </c>
      <c r="I179" s="19">
        <v>6949.1</v>
      </c>
      <c r="J179" s="19">
        <v>21018.6</v>
      </c>
      <c r="K179" s="17">
        <f>J179*100/E179</f>
        <v>68.648302621350979</v>
      </c>
      <c r="L179" s="19">
        <f>J179*100/D179</f>
        <v>55.949785582520782</v>
      </c>
      <c r="M179" s="19">
        <f>J179*100/C179</f>
        <v>72.978969407206023</v>
      </c>
    </row>
    <row r="180" spans="1:13" ht="15" customHeight="1" x14ac:dyDescent="0.25">
      <c r="A180" s="33" t="s">
        <v>63</v>
      </c>
      <c r="B180" s="36" t="s">
        <v>50</v>
      </c>
      <c r="C180" s="37"/>
      <c r="D180" s="35">
        <f>F180+G180+H180+I180</f>
        <v>0</v>
      </c>
      <c r="E180" s="16">
        <f>F180+G180</f>
        <v>0</v>
      </c>
      <c r="F180" s="37"/>
      <c r="G180" s="37"/>
      <c r="H180" s="22"/>
      <c r="I180" s="19"/>
      <c r="J180" s="19"/>
      <c r="K180" s="17"/>
      <c r="L180" s="19"/>
      <c r="M180" s="19"/>
    </row>
    <row r="181" spans="1:13" ht="15" customHeight="1" x14ac:dyDescent="0.25">
      <c r="A181" s="26"/>
      <c r="B181" s="40" t="s">
        <v>55</v>
      </c>
      <c r="C181" s="13">
        <f t="shared" ref="C181:J181" si="83">C178+C167</f>
        <v>35882</v>
      </c>
      <c r="D181" s="13">
        <f t="shared" si="83"/>
        <v>44864.9</v>
      </c>
      <c r="E181" s="13">
        <f t="shared" si="83"/>
        <v>35552.199999999997</v>
      </c>
      <c r="F181" s="13">
        <f t="shared" si="83"/>
        <v>12749</v>
      </c>
      <c r="G181" s="13">
        <f t="shared" si="83"/>
        <v>10638.8</v>
      </c>
      <c r="H181" s="13">
        <f t="shared" si="83"/>
        <v>12164.4</v>
      </c>
      <c r="I181" s="13">
        <f t="shared" si="83"/>
        <v>9312.7000000000007</v>
      </c>
      <c r="J181" s="13">
        <f t="shared" si="83"/>
        <v>25762</v>
      </c>
      <c r="K181" s="32">
        <f>J181*100/E181</f>
        <v>72.462463645006508</v>
      </c>
      <c r="L181" s="13">
        <f>J181*100/D181</f>
        <v>57.421280332732266</v>
      </c>
      <c r="M181" s="13">
        <f>J181*100/C181</f>
        <v>71.796443899448192</v>
      </c>
    </row>
    <row r="182" spans="1:13" x14ac:dyDescent="0.25">
      <c r="A182" s="163"/>
      <c r="B182" s="164"/>
      <c r="C182" s="164"/>
      <c r="D182" s="164"/>
      <c r="E182" s="164"/>
      <c r="F182" s="164"/>
      <c r="G182" s="164"/>
      <c r="H182" s="164"/>
      <c r="I182" s="164"/>
      <c r="J182" s="164"/>
      <c r="K182" s="32"/>
      <c r="L182" s="13"/>
      <c r="M182" s="19"/>
    </row>
    <row r="183" spans="1:13" x14ac:dyDescent="0.25">
      <c r="A183" s="161" t="s">
        <v>68</v>
      </c>
      <c r="B183" s="162"/>
      <c r="C183" s="162"/>
      <c r="D183" s="162"/>
      <c r="E183" s="162"/>
      <c r="F183" s="162"/>
      <c r="G183" s="162"/>
      <c r="H183" s="162"/>
      <c r="I183" s="162"/>
      <c r="J183" s="162"/>
      <c r="K183" s="162"/>
      <c r="L183" s="162"/>
      <c r="M183" s="165"/>
    </row>
    <row r="184" spans="1:13" ht="15" customHeight="1" x14ac:dyDescent="0.25">
      <c r="A184" s="29" t="s">
        <v>17</v>
      </c>
      <c r="B184" s="42" t="s">
        <v>18</v>
      </c>
      <c r="C184" s="32">
        <f t="shared" ref="C184:I184" si="84">C185+C187+C188+C189+C190+C192+C194+C193+C191+C186</f>
        <v>25890.9</v>
      </c>
      <c r="D184" s="32">
        <f t="shared" si="84"/>
        <v>25890.9</v>
      </c>
      <c r="E184" s="32">
        <f t="shared" si="84"/>
        <v>17062.5</v>
      </c>
      <c r="F184" s="32">
        <f t="shared" si="84"/>
        <v>5517.5</v>
      </c>
      <c r="G184" s="32">
        <f t="shared" si="84"/>
        <v>5772.5</v>
      </c>
      <c r="H184" s="32">
        <f t="shared" si="84"/>
        <v>5772.5</v>
      </c>
      <c r="I184" s="32">
        <f t="shared" si="84"/>
        <v>8828.4</v>
      </c>
      <c r="J184" s="32">
        <f>J185+J187+J188+J189+J190+J192+J194+J193+J191+J186</f>
        <v>17102.400000000001</v>
      </c>
      <c r="K184" s="32">
        <f>J184*100/E184</f>
        <v>100.23384615384617</v>
      </c>
      <c r="L184" s="13">
        <f t="shared" ref="L184:L190" si="85">J184*100/D184</f>
        <v>66.055641171222334</v>
      </c>
      <c r="M184" s="13">
        <f t="shared" ref="M184:M190" si="86">J184*100/C184</f>
        <v>66.055641171222334</v>
      </c>
    </row>
    <row r="185" spans="1:13" ht="12.75" customHeight="1" x14ac:dyDescent="0.25">
      <c r="A185" s="26" t="s">
        <v>19</v>
      </c>
      <c r="B185" s="20" t="s">
        <v>20</v>
      </c>
      <c r="C185" s="21">
        <v>17800</v>
      </c>
      <c r="D185" s="35">
        <f t="shared" ref="D185:D194" si="87">F185+G185+H185+I185</f>
        <v>17800</v>
      </c>
      <c r="E185" s="16">
        <f t="shared" ref="E185:E194" si="88">F185+G185+H185</f>
        <v>12600</v>
      </c>
      <c r="F185" s="35">
        <v>4200</v>
      </c>
      <c r="G185" s="35">
        <v>4200</v>
      </c>
      <c r="H185" s="22">
        <v>4200</v>
      </c>
      <c r="I185" s="19">
        <v>5200</v>
      </c>
      <c r="J185" s="19">
        <v>13169.2</v>
      </c>
      <c r="K185" s="17">
        <f>J185*100/E185</f>
        <v>104.51746031746032</v>
      </c>
      <c r="L185" s="19">
        <f t="shared" si="85"/>
        <v>73.984269662921349</v>
      </c>
      <c r="M185" s="19">
        <f t="shared" si="86"/>
        <v>73.984269662921349</v>
      </c>
    </row>
    <row r="186" spans="1:13" ht="38.25" customHeight="1" x14ac:dyDescent="0.25">
      <c r="A186" s="14" t="s">
        <v>21</v>
      </c>
      <c r="B186" s="20" t="s">
        <v>22</v>
      </c>
      <c r="C186" s="21">
        <v>4590.2</v>
      </c>
      <c r="D186" s="35">
        <f t="shared" si="87"/>
        <v>4590.2</v>
      </c>
      <c r="E186" s="16">
        <f t="shared" si="88"/>
        <v>3447</v>
      </c>
      <c r="F186" s="35">
        <v>1149</v>
      </c>
      <c r="G186" s="35">
        <v>1149</v>
      </c>
      <c r="H186" s="22">
        <v>1149</v>
      </c>
      <c r="I186" s="19">
        <v>1143.2</v>
      </c>
      <c r="J186" s="19">
        <v>2895.5</v>
      </c>
      <c r="K186" s="17">
        <f>J186*100/E186</f>
        <v>84.000580214679431</v>
      </c>
      <c r="L186" s="19">
        <f t="shared" si="85"/>
        <v>63.080040085399332</v>
      </c>
      <c r="M186" s="19">
        <f t="shared" si="86"/>
        <v>63.080040085399332</v>
      </c>
    </row>
    <row r="187" spans="1:13" ht="17.25" customHeight="1" x14ac:dyDescent="0.25">
      <c r="A187" s="14" t="s">
        <v>23</v>
      </c>
      <c r="B187" s="20" t="s">
        <v>24</v>
      </c>
      <c r="C187" s="21">
        <v>1</v>
      </c>
      <c r="D187" s="35">
        <f t="shared" si="87"/>
        <v>1</v>
      </c>
      <c r="E187" s="16">
        <f t="shared" si="88"/>
        <v>0</v>
      </c>
      <c r="F187" s="35"/>
      <c r="G187" s="35"/>
      <c r="H187" s="22"/>
      <c r="I187" s="19">
        <v>1</v>
      </c>
      <c r="J187" s="19">
        <v>2.8</v>
      </c>
      <c r="K187" s="17"/>
      <c r="L187" s="19">
        <f t="shared" si="85"/>
        <v>280</v>
      </c>
      <c r="M187" s="19">
        <f t="shared" si="86"/>
        <v>280</v>
      </c>
    </row>
    <row r="188" spans="1:13" ht="18" customHeight="1" x14ac:dyDescent="0.25">
      <c r="A188" s="14" t="s">
        <v>25</v>
      </c>
      <c r="B188" s="20" t="s">
        <v>26</v>
      </c>
      <c r="C188" s="21">
        <v>3084.7</v>
      </c>
      <c r="D188" s="35">
        <f t="shared" si="87"/>
        <v>3084.7</v>
      </c>
      <c r="E188" s="16">
        <f t="shared" si="88"/>
        <v>692.5</v>
      </c>
      <c r="F188" s="35">
        <v>27.5</v>
      </c>
      <c r="G188" s="35">
        <v>332.5</v>
      </c>
      <c r="H188" s="22">
        <v>332.5</v>
      </c>
      <c r="I188" s="19">
        <v>2392.1999999999998</v>
      </c>
      <c r="J188" s="19">
        <v>751.6</v>
      </c>
      <c r="K188" s="17">
        <f>J188*100/E188</f>
        <v>108.53429602888086</v>
      </c>
      <c r="L188" s="19">
        <f t="shared" si="85"/>
        <v>24.365416410023666</v>
      </c>
      <c r="M188" s="19">
        <f t="shared" si="86"/>
        <v>24.365416410023666</v>
      </c>
    </row>
    <row r="189" spans="1:13" ht="14.25" customHeight="1" x14ac:dyDescent="0.25">
      <c r="A189" s="14" t="s">
        <v>27</v>
      </c>
      <c r="B189" s="20" t="s">
        <v>28</v>
      </c>
      <c r="C189" s="21">
        <v>165</v>
      </c>
      <c r="D189" s="35">
        <f t="shared" si="87"/>
        <v>165</v>
      </c>
      <c r="E189" s="16">
        <f t="shared" si="88"/>
        <v>123</v>
      </c>
      <c r="F189" s="35">
        <v>41</v>
      </c>
      <c r="G189" s="35">
        <v>41</v>
      </c>
      <c r="H189" s="22">
        <v>41</v>
      </c>
      <c r="I189" s="19">
        <v>42</v>
      </c>
      <c r="J189" s="19">
        <v>71.2</v>
      </c>
      <c r="K189" s="17">
        <f>J189*100/E189</f>
        <v>57.886178861788615</v>
      </c>
      <c r="L189" s="19">
        <f t="shared" si="85"/>
        <v>43.151515151515149</v>
      </c>
      <c r="M189" s="19">
        <f t="shared" si="86"/>
        <v>43.151515151515149</v>
      </c>
    </row>
    <row r="190" spans="1:13" ht="37.5" customHeight="1" x14ac:dyDescent="0.25">
      <c r="A190" s="23" t="s">
        <v>31</v>
      </c>
      <c r="B190" s="20" t="s">
        <v>32</v>
      </c>
      <c r="C190" s="21">
        <v>250</v>
      </c>
      <c r="D190" s="35">
        <f t="shared" si="87"/>
        <v>250</v>
      </c>
      <c r="E190" s="16">
        <f t="shared" si="88"/>
        <v>200</v>
      </c>
      <c r="F190" s="35">
        <v>100</v>
      </c>
      <c r="G190" s="35">
        <v>50</v>
      </c>
      <c r="H190" s="22">
        <v>50</v>
      </c>
      <c r="I190" s="19">
        <v>50</v>
      </c>
      <c r="J190" s="19">
        <v>211.9</v>
      </c>
      <c r="K190" s="17">
        <f>J190*100/E190</f>
        <v>105.95</v>
      </c>
      <c r="L190" s="19">
        <f t="shared" si="85"/>
        <v>84.76</v>
      </c>
      <c r="M190" s="19">
        <f t="shared" si="86"/>
        <v>84.76</v>
      </c>
    </row>
    <row r="191" spans="1:13" ht="28.5" customHeight="1" x14ac:dyDescent="0.25">
      <c r="A191" s="24" t="s">
        <v>35</v>
      </c>
      <c r="B191" s="20" t="s">
        <v>36</v>
      </c>
      <c r="C191" s="21">
        <v>0</v>
      </c>
      <c r="D191" s="35">
        <f t="shared" si="87"/>
        <v>0</v>
      </c>
      <c r="E191" s="16">
        <f t="shared" si="88"/>
        <v>0</v>
      </c>
      <c r="F191" s="35"/>
      <c r="G191" s="35"/>
      <c r="H191" s="22"/>
      <c r="I191" s="19"/>
      <c r="J191" s="19"/>
      <c r="K191" s="17"/>
      <c r="L191" s="19"/>
      <c r="M191" s="19"/>
    </row>
    <row r="192" spans="1:13" ht="27" customHeight="1" x14ac:dyDescent="0.25">
      <c r="A192" s="24" t="s">
        <v>37</v>
      </c>
      <c r="B192" s="20" t="s">
        <v>38</v>
      </c>
      <c r="C192" s="21"/>
      <c r="D192" s="35">
        <f t="shared" si="87"/>
        <v>0</v>
      </c>
      <c r="E192" s="16">
        <f t="shared" si="88"/>
        <v>0</v>
      </c>
      <c r="F192" s="35"/>
      <c r="G192" s="35"/>
      <c r="H192" s="22"/>
      <c r="I192" s="19"/>
      <c r="J192" s="19"/>
      <c r="K192" s="17"/>
      <c r="L192" s="19"/>
      <c r="M192" s="19"/>
    </row>
    <row r="193" spans="1:13" ht="18.75" customHeight="1" x14ac:dyDescent="0.25">
      <c r="A193" s="26" t="s">
        <v>41</v>
      </c>
      <c r="B193" s="20" t="s">
        <v>42</v>
      </c>
      <c r="C193" s="21"/>
      <c r="D193" s="35">
        <f t="shared" si="87"/>
        <v>0</v>
      </c>
      <c r="E193" s="16">
        <f t="shared" si="88"/>
        <v>0</v>
      </c>
      <c r="F193" s="35"/>
      <c r="G193" s="35"/>
      <c r="H193" s="22"/>
      <c r="I193" s="19"/>
      <c r="J193" s="19"/>
      <c r="K193" s="17"/>
      <c r="L193" s="19"/>
      <c r="M193" s="19"/>
    </row>
    <row r="194" spans="1:13" ht="14.25" customHeight="1" x14ac:dyDescent="0.25">
      <c r="A194" s="45" t="s">
        <v>43</v>
      </c>
      <c r="B194" s="28" t="s">
        <v>44</v>
      </c>
      <c r="C194" s="21"/>
      <c r="D194" s="35">
        <f t="shared" si="87"/>
        <v>0</v>
      </c>
      <c r="E194" s="16">
        <f t="shared" si="88"/>
        <v>0</v>
      </c>
      <c r="F194" s="35"/>
      <c r="G194" s="35"/>
      <c r="H194" s="22"/>
      <c r="I194" s="19"/>
      <c r="J194" s="19">
        <v>0.2</v>
      </c>
      <c r="K194" s="32"/>
      <c r="L194" s="13"/>
      <c r="M194" s="19"/>
    </row>
    <row r="195" spans="1:13" ht="16.5" customHeight="1" x14ac:dyDescent="0.25">
      <c r="A195" s="10" t="s">
        <v>45</v>
      </c>
      <c r="B195" s="30" t="s">
        <v>46</v>
      </c>
      <c r="C195" s="12">
        <f t="shared" ref="C195:I195" si="89">C196</f>
        <v>29655.7</v>
      </c>
      <c r="D195" s="12">
        <f>D196+D197</f>
        <v>50620.6</v>
      </c>
      <c r="E195" s="12">
        <f>E196</f>
        <v>43910.5</v>
      </c>
      <c r="F195" s="12">
        <f t="shared" si="89"/>
        <v>11478.2</v>
      </c>
      <c r="G195" s="12">
        <f t="shared" si="89"/>
        <v>11196.4</v>
      </c>
      <c r="H195" s="12">
        <f t="shared" si="89"/>
        <v>21235.9</v>
      </c>
      <c r="I195" s="12">
        <f t="shared" si="89"/>
        <v>6464.4</v>
      </c>
      <c r="J195" s="12">
        <f>J196+J197</f>
        <v>27333.200000000001</v>
      </c>
      <c r="K195" s="32">
        <f>J195*100/E195</f>
        <v>62.247526218102735</v>
      </c>
      <c r="L195" s="13">
        <f>J195*100/D195</f>
        <v>53.996199175829602</v>
      </c>
      <c r="M195" s="13">
        <f>J195*100/C195</f>
        <v>92.168453282168343</v>
      </c>
    </row>
    <row r="196" spans="1:13" ht="36.75" customHeight="1" x14ac:dyDescent="0.25">
      <c r="A196" s="54" t="s">
        <v>47</v>
      </c>
      <c r="B196" s="34" t="s">
        <v>48</v>
      </c>
      <c r="C196" s="35">
        <v>29655.7</v>
      </c>
      <c r="D196" s="35">
        <f>F196+G196+H196+I196</f>
        <v>50374.9</v>
      </c>
      <c r="E196" s="16">
        <f>F196+G196+H196</f>
        <v>43910.5</v>
      </c>
      <c r="F196" s="35">
        <f>11378.2+100</f>
        <v>11478.2</v>
      </c>
      <c r="G196" s="35">
        <v>11196.4</v>
      </c>
      <c r="H196" s="22">
        <f>8985.4+12250.5</f>
        <v>21235.9</v>
      </c>
      <c r="I196" s="19">
        <v>6464.4</v>
      </c>
      <c r="J196" s="19">
        <v>27087.5</v>
      </c>
      <c r="K196" s="17">
        <f>J196*100/E196</f>
        <v>61.687978957197025</v>
      </c>
      <c r="L196" s="19">
        <f>J196*100/D196</f>
        <v>53.77181890187375</v>
      </c>
      <c r="M196" s="19">
        <f>J196*100/C196</f>
        <v>91.339944766098924</v>
      </c>
    </row>
    <row r="197" spans="1:13" ht="18" customHeight="1" x14ac:dyDescent="0.25">
      <c r="A197" s="33" t="s">
        <v>49</v>
      </c>
      <c r="B197" s="36" t="s">
        <v>50</v>
      </c>
      <c r="C197" s="35"/>
      <c r="D197" s="35">
        <f>F197+G197+H197+I197</f>
        <v>245.7</v>
      </c>
      <c r="E197" s="16">
        <f>F197+G197+H197</f>
        <v>245.7</v>
      </c>
      <c r="F197" s="35"/>
      <c r="G197" s="35">
        <v>245.7</v>
      </c>
      <c r="H197" s="22"/>
      <c r="I197" s="19"/>
      <c r="J197" s="19">
        <v>245.7</v>
      </c>
      <c r="K197" s="17">
        <f>J197*100/E197</f>
        <v>100</v>
      </c>
      <c r="L197" s="19">
        <f>J197*100/D197</f>
        <v>100</v>
      </c>
      <c r="M197" s="19"/>
    </row>
    <row r="198" spans="1:13" ht="18" customHeight="1" x14ac:dyDescent="0.25">
      <c r="A198" s="26"/>
      <c r="B198" s="40" t="s">
        <v>55</v>
      </c>
      <c r="C198" s="13">
        <f t="shared" ref="C198:J198" si="90">C195+C184</f>
        <v>55546.600000000006</v>
      </c>
      <c r="D198" s="13">
        <f t="shared" si="90"/>
        <v>76511.5</v>
      </c>
      <c r="E198" s="13">
        <f t="shared" si="90"/>
        <v>60973</v>
      </c>
      <c r="F198" s="13">
        <f t="shared" si="90"/>
        <v>16995.7</v>
      </c>
      <c r="G198" s="13">
        <f t="shared" si="90"/>
        <v>16968.900000000001</v>
      </c>
      <c r="H198" s="13">
        <f t="shared" si="90"/>
        <v>27008.400000000001</v>
      </c>
      <c r="I198" s="13">
        <f t="shared" si="90"/>
        <v>15292.8</v>
      </c>
      <c r="J198" s="13">
        <f t="shared" si="90"/>
        <v>44435.600000000006</v>
      </c>
      <c r="K198" s="32">
        <f>J198*100/E198</f>
        <v>72.877503157135138</v>
      </c>
      <c r="L198" s="13">
        <f>J198*100/D198</f>
        <v>58.077021101403069</v>
      </c>
      <c r="M198" s="13">
        <f>J198*100/C198</f>
        <v>79.996975512452622</v>
      </c>
    </row>
    <row r="199" spans="1:13" x14ac:dyDescent="0.25">
      <c r="A199" s="163"/>
      <c r="B199" s="164"/>
      <c r="C199" s="164"/>
      <c r="D199" s="164"/>
      <c r="E199" s="164"/>
      <c r="F199" s="164"/>
      <c r="G199" s="164"/>
      <c r="H199" s="164"/>
      <c r="I199" s="164"/>
      <c r="J199" s="164"/>
      <c r="K199" s="32"/>
      <c r="L199" s="13"/>
      <c r="M199" s="19"/>
    </row>
    <row r="200" spans="1:13" x14ac:dyDescent="0.25">
      <c r="A200" s="161" t="s">
        <v>69</v>
      </c>
      <c r="B200" s="162"/>
      <c r="C200" s="162"/>
      <c r="D200" s="162"/>
      <c r="E200" s="162"/>
      <c r="F200" s="162"/>
      <c r="G200" s="162"/>
      <c r="H200" s="162"/>
      <c r="I200" s="162"/>
      <c r="J200" s="162"/>
      <c r="K200" s="162"/>
      <c r="L200" s="162"/>
      <c r="M200" s="165"/>
    </row>
    <row r="201" spans="1:13" ht="17.25" customHeight="1" x14ac:dyDescent="0.25">
      <c r="A201" s="29" t="s">
        <v>17</v>
      </c>
      <c r="B201" s="42" t="s">
        <v>18</v>
      </c>
      <c r="C201" s="32">
        <f>C202+C205+C207+C208+C206+C209+C210+C204+C203</f>
        <v>5268.6</v>
      </c>
      <c r="D201" s="32">
        <f>D202+D205+D207+D208+D206+D209+D210+D204+D203</f>
        <v>5268.6</v>
      </c>
      <c r="E201" s="32">
        <f>E202+E205+E207+E208+E206+E209+E210+E204+E203</f>
        <v>3769.7999999999997</v>
      </c>
      <c r="F201" s="32">
        <f t="shared" ref="F201:I201" si="91">F202+F205+F207+F208+F206+F209+F210+F204+F203</f>
        <v>1182.2</v>
      </c>
      <c r="G201" s="32">
        <f t="shared" si="91"/>
        <v>1269.3</v>
      </c>
      <c r="H201" s="32">
        <f t="shared" si="91"/>
        <v>1318.3000000000002</v>
      </c>
      <c r="I201" s="32">
        <f t="shared" si="91"/>
        <v>1498.8</v>
      </c>
      <c r="J201" s="32">
        <f>J202+J205+J207+J208+J206+J209+J210+J204+J203</f>
        <v>3264.5</v>
      </c>
      <c r="K201" s="32">
        <f t="shared" ref="K201:K207" si="92">J201*100/E201</f>
        <v>86.596105894211902</v>
      </c>
      <c r="L201" s="13">
        <f t="shared" ref="L201:L207" si="93">J201*100/D201</f>
        <v>61.96143187943666</v>
      </c>
      <c r="M201" s="13">
        <f t="shared" ref="M201:M209" si="94">J201*100/C201</f>
        <v>61.96143187943666</v>
      </c>
    </row>
    <row r="202" spans="1:13" ht="18.75" customHeight="1" x14ac:dyDescent="0.25">
      <c r="A202" s="26" t="s">
        <v>19</v>
      </c>
      <c r="B202" s="20" t="s">
        <v>20</v>
      </c>
      <c r="C202" s="21">
        <v>1320</v>
      </c>
      <c r="D202" s="35">
        <f t="shared" ref="D202:D210" si="95">F202+G202+H202+I202</f>
        <v>1320</v>
      </c>
      <c r="E202" s="16">
        <f t="shared" ref="E202:E210" si="96">F202+G202+H202</f>
        <v>905</v>
      </c>
      <c r="F202" s="35">
        <v>245</v>
      </c>
      <c r="G202" s="35">
        <v>330</v>
      </c>
      <c r="H202" s="22">
        <v>330</v>
      </c>
      <c r="I202" s="22">
        <v>415</v>
      </c>
      <c r="J202" s="19">
        <v>876.6</v>
      </c>
      <c r="K202" s="17">
        <f t="shared" si="92"/>
        <v>96.861878453038671</v>
      </c>
      <c r="L202" s="19">
        <f t="shared" si="93"/>
        <v>66.409090909090907</v>
      </c>
      <c r="M202" s="19">
        <f t="shared" si="94"/>
        <v>66.409090909090907</v>
      </c>
    </row>
    <row r="203" spans="1:13" ht="41.25" customHeight="1" x14ac:dyDescent="0.25">
      <c r="A203" s="14" t="s">
        <v>21</v>
      </c>
      <c r="B203" s="20" t="s">
        <v>22</v>
      </c>
      <c r="C203" s="21">
        <v>3521.6</v>
      </c>
      <c r="D203" s="35">
        <f t="shared" si="95"/>
        <v>3521.6</v>
      </c>
      <c r="E203" s="16">
        <f t="shared" si="96"/>
        <v>2639.2</v>
      </c>
      <c r="F203" s="35">
        <v>879.7</v>
      </c>
      <c r="G203" s="35">
        <v>879.8</v>
      </c>
      <c r="H203" s="22">
        <v>879.7</v>
      </c>
      <c r="I203" s="22">
        <v>882.4</v>
      </c>
      <c r="J203" s="19">
        <v>2221.4</v>
      </c>
      <c r="K203" s="17">
        <f t="shared" si="92"/>
        <v>84.16944528645044</v>
      </c>
      <c r="L203" s="19">
        <f t="shared" si="93"/>
        <v>63.079282144479784</v>
      </c>
      <c r="M203" s="19">
        <f t="shared" si="94"/>
        <v>63.079282144479784</v>
      </c>
    </row>
    <row r="204" spans="1:13" ht="19.5" customHeight="1" x14ac:dyDescent="0.25">
      <c r="A204" s="14" t="s">
        <v>23</v>
      </c>
      <c r="B204" s="20" t="s">
        <v>24</v>
      </c>
      <c r="C204" s="21">
        <v>16</v>
      </c>
      <c r="D204" s="35">
        <f t="shared" si="95"/>
        <v>16</v>
      </c>
      <c r="E204" s="16">
        <f t="shared" si="96"/>
        <v>16</v>
      </c>
      <c r="F204" s="35"/>
      <c r="G204" s="35">
        <v>16</v>
      </c>
      <c r="H204" s="22"/>
      <c r="I204" s="22"/>
      <c r="J204" s="19"/>
      <c r="K204" s="17">
        <f t="shared" si="92"/>
        <v>0</v>
      </c>
      <c r="L204" s="19">
        <f t="shared" si="93"/>
        <v>0</v>
      </c>
      <c r="M204" s="19">
        <f t="shared" si="94"/>
        <v>0</v>
      </c>
    </row>
    <row r="205" spans="1:13" ht="14.25" customHeight="1" x14ac:dyDescent="0.25">
      <c r="A205" s="14" t="s">
        <v>25</v>
      </c>
      <c r="B205" s="20" t="s">
        <v>26</v>
      </c>
      <c r="C205" s="21">
        <v>256.89999999999998</v>
      </c>
      <c r="D205" s="35">
        <f t="shared" si="95"/>
        <v>256.89999999999998</v>
      </c>
      <c r="E205" s="16">
        <f t="shared" si="96"/>
        <v>108.5</v>
      </c>
      <c r="F205" s="35">
        <v>30</v>
      </c>
      <c r="G205" s="35">
        <v>7.7</v>
      </c>
      <c r="H205" s="22">
        <v>70.8</v>
      </c>
      <c r="I205" s="22">
        <v>148.4</v>
      </c>
      <c r="J205" s="19">
        <v>65.5</v>
      </c>
      <c r="K205" s="17">
        <f t="shared" si="92"/>
        <v>60.368663594470043</v>
      </c>
      <c r="L205" s="19">
        <f t="shared" si="93"/>
        <v>25.496302063059559</v>
      </c>
      <c r="M205" s="19">
        <f t="shared" si="94"/>
        <v>25.496302063059559</v>
      </c>
    </row>
    <row r="206" spans="1:13" ht="18" customHeight="1" x14ac:dyDescent="0.25">
      <c r="A206" s="14" t="s">
        <v>27</v>
      </c>
      <c r="B206" s="20" t="s">
        <v>28</v>
      </c>
      <c r="C206" s="21">
        <v>19</v>
      </c>
      <c r="D206" s="35">
        <f t="shared" si="95"/>
        <v>19</v>
      </c>
      <c r="E206" s="16">
        <f t="shared" si="96"/>
        <v>8</v>
      </c>
      <c r="F206" s="35">
        <v>2</v>
      </c>
      <c r="G206" s="35">
        <v>2</v>
      </c>
      <c r="H206" s="22">
        <v>4</v>
      </c>
      <c r="I206" s="22">
        <v>11</v>
      </c>
      <c r="J206" s="19">
        <v>9.1</v>
      </c>
      <c r="K206" s="17">
        <f t="shared" si="92"/>
        <v>113.75</v>
      </c>
      <c r="L206" s="19">
        <f t="shared" si="93"/>
        <v>47.89473684210526</v>
      </c>
      <c r="M206" s="19">
        <f t="shared" si="94"/>
        <v>47.89473684210526</v>
      </c>
    </row>
    <row r="207" spans="1:13" ht="38.25" customHeight="1" x14ac:dyDescent="0.25">
      <c r="A207" s="23" t="s">
        <v>31</v>
      </c>
      <c r="B207" s="20" t="s">
        <v>32</v>
      </c>
      <c r="C207" s="21">
        <v>135.1</v>
      </c>
      <c r="D207" s="35">
        <f t="shared" si="95"/>
        <v>135.1</v>
      </c>
      <c r="E207" s="16">
        <f t="shared" si="96"/>
        <v>93.1</v>
      </c>
      <c r="F207" s="35">
        <v>25.5</v>
      </c>
      <c r="G207" s="35">
        <v>33.799999999999997</v>
      </c>
      <c r="H207" s="22">
        <v>33.799999999999997</v>
      </c>
      <c r="I207" s="22">
        <v>42</v>
      </c>
      <c r="J207" s="19">
        <v>91.9</v>
      </c>
      <c r="K207" s="17">
        <f t="shared" si="92"/>
        <v>98.711063372717518</v>
      </c>
      <c r="L207" s="19">
        <f t="shared" si="93"/>
        <v>68.02368615840119</v>
      </c>
      <c r="M207" s="19">
        <f t="shared" si="94"/>
        <v>68.02368615840119</v>
      </c>
    </row>
    <row r="208" spans="1:13" ht="29.25" customHeight="1" x14ac:dyDescent="0.25">
      <c r="A208" s="24" t="s">
        <v>37</v>
      </c>
      <c r="B208" s="20" t="s">
        <v>38</v>
      </c>
      <c r="C208" s="21"/>
      <c r="D208" s="35">
        <f t="shared" si="95"/>
        <v>0</v>
      </c>
      <c r="E208" s="16">
        <f t="shared" si="96"/>
        <v>0</v>
      </c>
      <c r="F208" s="35"/>
      <c r="G208" s="35"/>
      <c r="H208" s="22"/>
      <c r="I208" s="22"/>
      <c r="J208" s="19"/>
      <c r="K208" s="17"/>
      <c r="L208" s="19"/>
      <c r="M208" s="19" t="e">
        <f t="shared" si="94"/>
        <v>#DIV/0!</v>
      </c>
    </row>
    <row r="209" spans="1:13" ht="17.25" customHeight="1" x14ac:dyDescent="0.25">
      <c r="A209" s="24" t="s">
        <v>41</v>
      </c>
      <c r="B209" s="20" t="s">
        <v>42</v>
      </c>
      <c r="C209" s="21"/>
      <c r="D209" s="35">
        <f t="shared" si="95"/>
        <v>0</v>
      </c>
      <c r="E209" s="16">
        <f t="shared" si="96"/>
        <v>0</v>
      </c>
      <c r="F209" s="35"/>
      <c r="G209" s="35"/>
      <c r="H209" s="22"/>
      <c r="I209" s="22"/>
      <c r="J209" s="19"/>
      <c r="K209" s="17"/>
      <c r="L209" s="19"/>
      <c r="M209" s="19" t="e">
        <f t="shared" si="94"/>
        <v>#DIV/0!</v>
      </c>
    </row>
    <row r="210" spans="1:13" ht="14.25" customHeight="1" x14ac:dyDescent="0.25">
      <c r="A210" s="45" t="s">
        <v>43</v>
      </c>
      <c r="B210" s="28" t="s">
        <v>44</v>
      </c>
      <c r="C210" s="21"/>
      <c r="D210" s="35">
        <f t="shared" si="95"/>
        <v>0</v>
      </c>
      <c r="E210" s="16">
        <f t="shared" si="96"/>
        <v>0</v>
      </c>
      <c r="F210" s="35"/>
      <c r="G210" s="35"/>
      <c r="H210" s="22"/>
      <c r="I210" s="22"/>
      <c r="J210" s="19"/>
      <c r="K210" s="17"/>
      <c r="L210" s="19"/>
      <c r="M210" s="19"/>
    </row>
    <row r="211" spans="1:13" ht="14.25" customHeight="1" x14ac:dyDescent="0.25">
      <c r="A211" s="29" t="s">
        <v>45</v>
      </c>
      <c r="B211" s="30" t="s">
        <v>46</v>
      </c>
      <c r="C211" s="31">
        <f t="shared" ref="C211:I211" si="97">C212</f>
        <v>25685.5</v>
      </c>
      <c r="D211" s="31">
        <f>D212+D213</f>
        <v>35673.100000000006</v>
      </c>
      <c r="E211" s="31">
        <f t="shared" si="97"/>
        <v>29745.7</v>
      </c>
      <c r="F211" s="31">
        <f t="shared" si="97"/>
        <v>14870.8</v>
      </c>
      <c r="G211" s="31">
        <f t="shared" si="97"/>
        <v>7727.7</v>
      </c>
      <c r="H211" s="31">
        <f t="shared" si="97"/>
        <v>7147.2</v>
      </c>
      <c r="I211" s="31">
        <f t="shared" si="97"/>
        <v>5927.1</v>
      </c>
      <c r="J211" s="31">
        <f>J212+J213</f>
        <v>25733.7</v>
      </c>
      <c r="K211" s="32">
        <f>J211*100/E211</f>
        <v>86.51233623683423</v>
      </c>
      <c r="L211" s="13">
        <f>J211*100/D211</f>
        <v>72.137549021531612</v>
      </c>
      <c r="M211" s="13">
        <f>J211*100/C211</f>
        <v>100.18765451324677</v>
      </c>
    </row>
    <row r="212" spans="1:13" ht="40.5" customHeight="1" x14ac:dyDescent="0.25">
      <c r="A212" s="33" t="s">
        <v>47</v>
      </c>
      <c r="B212" s="34" t="s">
        <v>48</v>
      </c>
      <c r="C212" s="35">
        <v>25685.5</v>
      </c>
      <c r="D212" s="35">
        <f>F212+G212+H212+I212</f>
        <v>35672.800000000003</v>
      </c>
      <c r="E212" s="16">
        <f>F212+G212+H212</f>
        <v>29745.7</v>
      </c>
      <c r="F212" s="35">
        <v>14870.8</v>
      </c>
      <c r="G212" s="35">
        <v>7727.7</v>
      </c>
      <c r="H212" s="22">
        <f>7192.2-45</f>
        <v>7147.2</v>
      </c>
      <c r="I212" s="22">
        <v>5927.1</v>
      </c>
      <c r="J212" s="19">
        <v>25733.4</v>
      </c>
      <c r="K212" s="17">
        <f>J212*100/E212</f>
        <v>86.511327687699392</v>
      </c>
      <c r="L212" s="19">
        <f>J212*100/D212</f>
        <v>72.137314704761039</v>
      </c>
      <c r="M212" s="19">
        <f>J212*100/C212</f>
        <v>100.18648653909793</v>
      </c>
    </row>
    <row r="213" spans="1:13" ht="15" customHeight="1" x14ac:dyDescent="0.25">
      <c r="A213" s="33" t="s">
        <v>49</v>
      </c>
      <c r="B213" s="36" t="s">
        <v>50</v>
      </c>
      <c r="C213" s="35"/>
      <c r="D213" s="35">
        <f>F213+G213+H213+I213</f>
        <v>0.3</v>
      </c>
      <c r="E213" s="16">
        <f>F213+G213+H213</f>
        <v>0.3</v>
      </c>
      <c r="F213" s="35"/>
      <c r="G213" s="35">
        <v>0.3</v>
      </c>
      <c r="H213" s="22"/>
      <c r="I213" s="22"/>
      <c r="J213" s="19">
        <v>0.3</v>
      </c>
      <c r="K213" s="17"/>
      <c r="L213" s="19"/>
      <c r="M213" s="19"/>
    </row>
    <row r="214" spans="1:13" ht="16.5" customHeight="1" x14ac:dyDescent="0.25">
      <c r="A214" s="26"/>
      <c r="B214" s="40" t="s">
        <v>55</v>
      </c>
      <c r="C214" s="13">
        <f t="shared" ref="C214:I214" si="98">C211+C201</f>
        <v>30954.1</v>
      </c>
      <c r="D214" s="13">
        <f t="shared" si="98"/>
        <v>40941.700000000004</v>
      </c>
      <c r="E214" s="13">
        <f t="shared" si="98"/>
        <v>33515.5</v>
      </c>
      <c r="F214" s="12">
        <f t="shared" si="98"/>
        <v>16053</v>
      </c>
      <c r="G214" s="12">
        <f t="shared" si="98"/>
        <v>8997</v>
      </c>
      <c r="H214" s="12">
        <f t="shared" si="98"/>
        <v>8465.5</v>
      </c>
      <c r="I214" s="12">
        <f t="shared" si="98"/>
        <v>7425.9000000000005</v>
      </c>
      <c r="J214" s="13">
        <f>J211+J201</f>
        <v>28998.2</v>
      </c>
      <c r="K214" s="32">
        <f>J214*100/E214</f>
        <v>86.521758589309428</v>
      </c>
      <c r="L214" s="13">
        <f>J214*100/D214</f>
        <v>70.828031078338213</v>
      </c>
      <c r="M214" s="13">
        <f>J214*100/C214</f>
        <v>93.681289393004491</v>
      </c>
    </row>
    <row r="215" spans="1:13" x14ac:dyDescent="0.25">
      <c r="A215" s="163"/>
      <c r="B215" s="164"/>
      <c r="C215" s="164"/>
      <c r="D215" s="164"/>
      <c r="E215" s="164"/>
      <c r="F215" s="164"/>
      <c r="G215" s="164"/>
      <c r="H215" s="164"/>
      <c r="I215" s="164"/>
      <c r="J215" s="164"/>
      <c r="K215" s="32"/>
      <c r="L215" s="13"/>
      <c r="M215" s="19"/>
    </row>
    <row r="216" spans="1:13" x14ac:dyDescent="0.25">
      <c r="A216" s="161" t="s">
        <v>70</v>
      </c>
      <c r="B216" s="162"/>
      <c r="C216" s="162"/>
      <c r="D216" s="162"/>
      <c r="E216" s="162"/>
      <c r="F216" s="162"/>
      <c r="G216" s="162"/>
      <c r="H216" s="162"/>
      <c r="I216" s="162"/>
      <c r="J216" s="162"/>
      <c r="K216" s="162"/>
      <c r="L216" s="162"/>
      <c r="M216" s="165"/>
    </row>
    <row r="217" spans="1:13" ht="16.5" customHeight="1" x14ac:dyDescent="0.25">
      <c r="A217" s="29" t="s">
        <v>17</v>
      </c>
      <c r="B217" s="42" t="s">
        <v>18</v>
      </c>
      <c r="C217" s="32">
        <f t="shared" ref="C217:I217" si="99">C218+C220+C221+C222+C224+C225+C227+C229+C226+C223+C230+C228+C219</f>
        <v>1078319.6000000001</v>
      </c>
      <c r="D217" s="32">
        <f t="shared" si="99"/>
        <v>1097054.7999999998</v>
      </c>
      <c r="E217" s="32">
        <f t="shared" si="99"/>
        <v>795996.1</v>
      </c>
      <c r="F217" s="32">
        <f t="shared" si="99"/>
        <v>276350.3</v>
      </c>
      <c r="G217" s="32">
        <f t="shared" si="99"/>
        <v>282271.8</v>
      </c>
      <c r="H217" s="32">
        <f t="shared" si="99"/>
        <v>237374</v>
      </c>
      <c r="I217" s="32">
        <f t="shared" si="99"/>
        <v>301058.69999999995</v>
      </c>
      <c r="J217" s="32">
        <f>J218+J220+J221+J222+J224+J225+J227+J229+J226+J223+J230+J228+J219+0.1</f>
        <v>730614.49999999988</v>
      </c>
      <c r="K217" s="32">
        <f t="shared" ref="K217:K222" si="100">J217*100/E217</f>
        <v>91.786190912241892</v>
      </c>
      <c r="L217" s="13">
        <f t="shared" ref="L217:L222" si="101">J217*100/D217</f>
        <v>66.597812616106324</v>
      </c>
      <c r="M217" s="13">
        <f t="shared" ref="M217:M228" si="102">J217*100/C217</f>
        <v>67.754912365499038</v>
      </c>
    </row>
    <row r="218" spans="1:13" ht="17.25" customHeight="1" x14ac:dyDescent="0.25">
      <c r="A218" s="26" t="s">
        <v>19</v>
      </c>
      <c r="B218" s="20" t="s">
        <v>20</v>
      </c>
      <c r="C218" s="19">
        <f>C9+C31+C47+C65+C82+C100+C116+C133+C151+C168+C185+C202</f>
        <v>788632.3</v>
      </c>
      <c r="D218" s="35">
        <f t="shared" ref="D218:D230" si="103">F218+G218+H218+I218</f>
        <v>788882.3</v>
      </c>
      <c r="E218" s="16">
        <f t="shared" ref="E218:E230" si="104">F218+G218+H218</f>
        <v>572556.80000000005</v>
      </c>
      <c r="F218" s="19">
        <f>F9+F31+F47+F65+F82+F100+F116+F133+F151+F168+F185+F202</f>
        <v>194197.7</v>
      </c>
      <c r="G218" s="19">
        <f>G9+G31+G47+G65+G82+G100+G116+G133+G151+G168+G185+G202</f>
        <v>205238.60000000003</v>
      </c>
      <c r="H218" s="19">
        <f>H9+H31+H47+H65+H82+H100+H116+H133+H151+H168+H185+H202</f>
        <v>173120.5</v>
      </c>
      <c r="I218" s="19">
        <f>I9+I31+I47+I65+I82+I100+I116+I133+I151+I168+I185+I202</f>
        <v>216325.5</v>
      </c>
      <c r="J218" s="19">
        <f>J9+J31+J47+J65+J82+J100+J116+J133+J151+J168+J185+J202+0.2</f>
        <v>513799.4</v>
      </c>
      <c r="K218" s="17">
        <f t="shared" si="100"/>
        <v>89.737716851847708</v>
      </c>
      <c r="L218" s="19">
        <f t="shared" si="101"/>
        <v>65.130045381928326</v>
      </c>
      <c r="M218" s="19">
        <f t="shared" si="102"/>
        <v>65.150691900395145</v>
      </c>
    </row>
    <row r="219" spans="1:13" ht="39" customHeight="1" x14ac:dyDescent="0.25">
      <c r="A219" s="14" t="s">
        <v>21</v>
      </c>
      <c r="B219" s="20" t="s">
        <v>22</v>
      </c>
      <c r="C219" s="19">
        <f>C10+C32+C48+C66+C83+C101+C118+C134+C152+C169+C186+C203</f>
        <v>48723.299999999996</v>
      </c>
      <c r="D219" s="35">
        <f t="shared" si="103"/>
        <v>48723.30000000001</v>
      </c>
      <c r="E219" s="16">
        <f t="shared" si="104"/>
        <v>36081.500000000007</v>
      </c>
      <c r="F219" s="19">
        <f>F10+F32+F48+F66+F83+F101+F118+F134+F152+F169+F186+F203</f>
        <v>11838.600000000002</v>
      </c>
      <c r="G219" s="19">
        <f>G10+G32+G48+G66+G83+G101+G118+G134+G152+G169+G186+G203</f>
        <v>12028.500000000002</v>
      </c>
      <c r="H219" s="19">
        <f>H10+H32+H48+H66+H83+H101+H118+H134+H152+H169+H186+H203</f>
        <v>12214.400000000001</v>
      </c>
      <c r="I219" s="19">
        <f>I10+I32+I48+I66+I83+I101+I118+I134+I152+I169+I186+I203</f>
        <v>12641.800000000003</v>
      </c>
      <c r="J219" s="19">
        <f>J10+J32+J48+J66+J83+J101+J118+J134+J152+J169+J186+J203</f>
        <v>30734.400000000001</v>
      </c>
      <c r="K219" s="17">
        <f t="shared" si="100"/>
        <v>85.180494159056565</v>
      </c>
      <c r="L219" s="19">
        <f t="shared" si="101"/>
        <v>63.079471218082503</v>
      </c>
      <c r="M219" s="19">
        <f t="shared" si="102"/>
        <v>63.079471218082524</v>
      </c>
    </row>
    <row r="220" spans="1:13" ht="21" customHeight="1" x14ac:dyDescent="0.25">
      <c r="A220" s="14" t="s">
        <v>23</v>
      </c>
      <c r="B220" s="20" t="s">
        <v>24</v>
      </c>
      <c r="C220" s="19">
        <f>C11+C49+C67+C204+C153+C117+C187+C84+C102+C170+C119</f>
        <v>44696</v>
      </c>
      <c r="D220" s="35">
        <f t="shared" si="103"/>
        <v>44716.700000000004</v>
      </c>
      <c r="E220" s="16">
        <f t="shared" si="104"/>
        <v>35100.800000000003</v>
      </c>
      <c r="F220" s="19">
        <f>F11+F49+F67+F204+F153+F187+F84+F102+F170+F119</f>
        <v>13416.3</v>
      </c>
      <c r="G220" s="19">
        <f>G11+G49+G67+G204+G153+G187+G84+G102+G170+G119</f>
        <v>13143.5</v>
      </c>
      <c r="H220" s="19">
        <f>H11+H49+H67+H204+H153+H187+H84+H102+H170+H119</f>
        <v>8541</v>
      </c>
      <c r="I220" s="19">
        <f>I11+I49+I67+I204+I153+I187+I84+I102+I170+I119</f>
        <v>9615.9</v>
      </c>
      <c r="J220" s="19">
        <f>J11+J49+J67+J204+J153+J117+J187+J84+J102+J170+J119+0.1</f>
        <v>33531.69999999999</v>
      </c>
      <c r="K220" s="17">
        <f t="shared" si="100"/>
        <v>95.529731516090763</v>
      </c>
      <c r="L220" s="19">
        <f t="shared" si="101"/>
        <v>74.986973546795682</v>
      </c>
      <c r="M220" s="19">
        <f t="shared" si="102"/>
        <v>75.021702165741885</v>
      </c>
    </row>
    <row r="221" spans="1:13" ht="19.5" customHeight="1" x14ac:dyDescent="0.25">
      <c r="A221" s="14" t="s">
        <v>25</v>
      </c>
      <c r="B221" s="20" t="s">
        <v>26</v>
      </c>
      <c r="C221" s="19">
        <f>C12+C33+C50+C68+C85+C103+C120+C135+C154+C171+C188+C205</f>
        <v>31354.900000000005</v>
      </c>
      <c r="D221" s="35">
        <f t="shared" si="103"/>
        <v>30706.500000000004</v>
      </c>
      <c r="E221" s="16">
        <f t="shared" si="104"/>
        <v>13649</v>
      </c>
      <c r="F221" s="19">
        <f>F12+F33+F50+F68+F85+F103+F120+F135+F154+F171+F188+F205</f>
        <v>4406.2</v>
      </c>
      <c r="G221" s="19">
        <f>G12+G33+G50+G68+G85+G103+G120+G135+G154+G171+G188+G205</f>
        <v>3624.8999999999996</v>
      </c>
      <c r="H221" s="19">
        <f>H12+H33+H50+H68+H85+H103+H120+H135+H154+H171+H188+H205</f>
        <v>5617.9000000000005</v>
      </c>
      <c r="I221" s="19">
        <f>I12+I33+I50+I68+I85+I103+I120+I135+I154+I171+I188+I205</f>
        <v>17057.500000000004</v>
      </c>
      <c r="J221" s="19">
        <f>J12+J33+J50+J68+J85+J103+J120+J135+J154+J171+J188+J205-0.1</f>
        <v>10843.5</v>
      </c>
      <c r="K221" s="17">
        <f t="shared" si="100"/>
        <v>79.445380613964389</v>
      </c>
      <c r="L221" s="19">
        <f t="shared" si="101"/>
        <v>35.313370133359385</v>
      </c>
      <c r="M221" s="19">
        <f t="shared" si="102"/>
        <v>34.583111411613487</v>
      </c>
    </row>
    <row r="222" spans="1:13" ht="18" customHeight="1" x14ac:dyDescent="0.25">
      <c r="A222" s="14" t="s">
        <v>27</v>
      </c>
      <c r="B222" s="20" t="s">
        <v>28</v>
      </c>
      <c r="C222" s="19">
        <f>C13+C34+C51+C69+C86+C104+C121+C136+C155+C172+C189+C206</f>
        <v>3813.7</v>
      </c>
      <c r="D222" s="35">
        <f t="shared" si="103"/>
        <v>3783.7</v>
      </c>
      <c r="E222" s="16">
        <f t="shared" si="104"/>
        <v>2843.7</v>
      </c>
      <c r="F222" s="19">
        <f>F13+F34+F69+F86+F104+F121+F136+F155+F172+F189+F206</f>
        <v>1198</v>
      </c>
      <c r="G222" s="19">
        <f>G13+G34+G69+G86+G104+G121+G136+G155+G172+G189+G206</f>
        <v>774.3</v>
      </c>
      <c r="H222" s="19">
        <f>H13+H34+H69+H86+H104+H121+H136+H155+H172+H189+H206</f>
        <v>871.4</v>
      </c>
      <c r="I222" s="19">
        <f>I13+I34+I69+I86+I104+I121+I136+I155+I172+I189+I206</f>
        <v>940</v>
      </c>
      <c r="J222" s="19">
        <f>J13+J34+J51+J69+J86+J104+J121+J136+J155+J172+J189+J206-0.1</f>
        <v>2659.5999999999995</v>
      </c>
      <c r="K222" s="17">
        <f t="shared" si="100"/>
        <v>93.526040018286025</v>
      </c>
      <c r="L222" s="19">
        <f t="shared" si="101"/>
        <v>70.290985014668166</v>
      </c>
      <c r="M222" s="19">
        <f t="shared" si="102"/>
        <v>69.738049663056856</v>
      </c>
    </row>
    <row r="223" spans="1:13" ht="41.25" customHeight="1" x14ac:dyDescent="0.25">
      <c r="A223" s="14" t="s">
        <v>29</v>
      </c>
      <c r="B223" s="20" t="s">
        <v>30</v>
      </c>
      <c r="C223" s="55">
        <f>C14</f>
        <v>0</v>
      </c>
      <c r="D223" s="35">
        <f t="shared" si="103"/>
        <v>0</v>
      </c>
      <c r="E223" s="16">
        <f t="shared" si="104"/>
        <v>0</v>
      </c>
      <c r="F223" s="55">
        <f>F14</f>
        <v>0</v>
      </c>
      <c r="G223" s="55">
        <f>G14</f>
        <v>0</v>
      </c>
      <c r="H223" s="55">
        <f>H14</f>
        <v>0</v>
      </c>
      <c r="I223" s="55">
        <f>I14</f>
        <v>0</v>
      </c>
      <c r="J223" s="55">
        <f>J14</f>
        <v>0</v>
      </c>
      <c r="K223" s="17"/>
      <c r="L223" s="19"/>
      <c r="M223" s="19" t="e">
        <f t="shared" si="102"/>
        <v>#DIV/0!</v>
      </c>
    </row>
    <row r="224" spans="1:13" ht="42" customHeight="1" x14ac:dyDescent="0.25">
      <c r="A224" s="23" t="s">
        <v>31</v>
      </c>
      <c r="B224" s="20" t="s">
        <v>32</v>
      </c>
      <c r="C224" s="19">
        <f>C15+C35+C52+C70+C87+C105+C122+C137+C156+C173+C190+C207</f>
        <v>122481.50000000001</v>
      </c>
      <c r="D224" s="35">
        <f t="shared" si="103"/>
        <v>123183.59999999998</v>
      </c>
      <c r="E224" s="16">
        <f t="shared" si="104"/>
        <v>89417.39999999998</v>
      </c>
      <c r="F224" s="19">
        <f>F15+F35+F52+F70+F87+F105+F122+F137+F156+F173+F190+F207</f>
        <v>27257.299999999996</v>
      </c>
      <c r="G224" s="19">
        <f>G15+G35+G52+G70+G87+G105+G122+G137+G156+G173+G190+G207</f>
        <v>30305.499999999996</v>
      </c>
      <c r="H224" s="19">
        <f>H15+H35+H52+H70+H87+H105+H122+H137+H156+H173+H190+H207</f>
        <v>31854.599999999995</v>
      </c>
      <c r="I224" s="19">
        <f>I15+I35+I52+I70+I87+I105+I122+I137+I156+I173+I190+I207</f>
        <v>33766.199999999997</v>
      </c>
      <c r="J224" s="19">
        <f>J15+J35+J52+J70+J87+J105+J122+J137+J156+J173+J190+J207-0.1</f>
        <v>68440.599999999991</v>
      </c>
      <c r="K224" s="17">
        <f t="shared" ref="K224:K229" si="105">J224*100/E224</f>
        <v>76.54058382373006</v>
      </c>
      <c r="L224" s="19">
        <f t="shared" ref="L224:L229" si="106">J224*100/D224</f>
        <v>55.559831016466482</v>
      </c>
      <c r="M224" s="19">
        <f t="shared" si="102"/>
        <v>55.878316317158088</v>
      </c>
    </row>
    <row r="225" spans="1:13" ht="28.5" customHeight="1" x14ac:dyDescent="0.25">
      <c r="A225" s="24" t="s">
        <v>33</v>
      </c>
      <c r="B225" s="20" t="s">
        <v>34</v>
      </c>
      <c r="C225" s="19">
        <f>C16</f>
        <v>9593.1</v>
      </c>
      <c r="D225" s="35">
        <f t="shared" si="103"/>
        <v>17317.599999999999</v>
      </c>
      <c r="E225" s="16">
        <f t="shared" si="104"/>
        <v>17317.599999999999</v>
      </c>
      <c r="F225" s="19">
        <f>F16</f>
        <v>10874.1</v>
      </c>
      <c r="G225" s="19">
        <f>G16</f>
        <v>6443.5</v>
      </c>
      <c r="H225" s="19">
        <f>H16</f>
        <v>0</v>
      </c>
      <c r="I225" s="19">
        <f>I16</f>
        <v>0</v>
      </c>
      <c r="J225" s="19">
        <f>J16</f>
        <v>24058.5</v>
      </c>
      <c r="K225" s="17">
        <f t="shared" si="105"/>
        <v>138.92513974222757</v>
      </c>
      <c r="L225" s="19">
        <f t="shared" si="106"/>
        <v>138.92513974222757</v>
      </c>
      <c r="M225" s="19">
        <f t="shared" si="102"/>
        <v>250.78963004659599</v>
      </c>
    </row>
    <row r="226" spans="1:13" ht="29.25" customHeight="1" x14ac:dyDescent="0.25">
      <c r="A226" s="25" t="s">
        <v>35</v>
      </c>
      <c r="B226" s="20" t="s">
        <v>36</v>
      </c>
      <c r="C226" s="56">
        <f>C17+C88+C53+C106+C138+C157+C174+C191+C123+C71+C36</f>
        <v>15967.8</v>
      </c>
      <c r="D226" s="35">
        <f t="shared" si="103"/>
        <v>17021.400000000001</v>
      </c>
      <c r="E226" s="16">
        <f t="shared" si="104"/>
        <v>10495.1</v>
      </c>
      <c r="F226" s="56">
        <f t="shared" ref="F226:I226" si="107">F17+F88+F53+F106+F138+F157+F174+F191+F123+F71+F36</f>
        <v>5313.2</v>
      </c>
      <c r="G226" s="56">
        <f t="shared" si="107"/>
        <v>3138.0000000000005</v>
      </c>
      <c r="H226" s="56">
        <f t="shared" si="107"/>
        <v>2043.9</v>
      </c>
      <c r="I226" s="56">
        <f t="shared" si="107"/>
        <v>6526.3</v>
      </c>
      <c r="J226" s="56">
        <f>J17+J88+J53+J106+J138+J157+J174+J191+J123+J71+J36</f>
        <v>9624.0999999999985</v>
      </c>
      <c r="K226" s="17">
        <f t="shared" si="105"/>
        <v>91.700888986288831</v>
      </c>
      <c r="L226" s="19">
        <f t="shared" si="106"/>
        <v>56.541177576462559</v>
      </c>
      <c r="M226" s="19">
        <f t="shared" si="102"/>
        <v>60.271922243515071</v>
      </c>
    </row>
    <row r="227" spans="1:13" ht="27.75" customHeight="1" x14ac:dyDescent="0.25">
      <c r="A227" s="25" t="s">
        <v>37</v>
      </c>
      <c r="B227" s="20" t="s">
        <v>38</v>
      </c>
      <c r="C227" s="19">
        <f>C18+C37+C54+C72+C89+C124+C158+C175+C192+C208+C139</f>
        <v>13051</v>
      </c>
      <c r="D227" s="35">
        <f t="shared" si="103"/>
        <v>15946</v>
      </c>
      <c r="E227" s="16">
        <f t="shared" si="104"/>
        <v>12218.9</v>
      </c>
      <c r="F227" s="19">
        <f>F18+F37+F54+F72+F89+F107+F124+F158+F175+F192+F208+F139</f>
        <v>4579.0999999999995</v>
      </c>
      <c r="G227" s="19">
        <f>G18+G37+G54+G72+G89+G107+G124+G158+G175+G192+G208+G139</f>
        <v>4791.2</v>
      </c>
      <c r="H227" s="19">
        <f>H18+H37+H54+H72+H89+H107+H124+H158+H175+H192+H208+H139</f>
        <v>2848.6</v>
      </c>
      <c r="I227" s="19">
        <f>I18+I37+I54+I72+I89+I107+I124+I158+I175+I192+I208+I139</f>
        <v>3727.1</v>
      </c>
      <c r="J227" s="19">
        <f>J18+J37+J54+J72+J89+J124+J158+J175+J192+J208+J139-0.1</f>
        <v>10630.4</v>
      </c>
      <c r="K227" s="17">
        <f t="shared" si="105"/>
        <v>86.999648086161599</v>
      </c>
      <c r="L227" s="19">
        <f t="shared" si="106"/>
        <v>66.664994355951336</v>
      </c>
      <c r="M227" s="19">
        <f t="shared" si="102"/>
        <v>81.452762240441345</v>
      </c>
    </row>
    <row r="228" spans="1:13" ht="17.25" customHeight="1" x14ac:dyDescent="0.25">
      <c r="A228" s="25" t="s">
        <v>39</v>
      </c>
      <c r="B228" s="20" t="s">
        <v>40</v>
      </c>
      <c r="C228" s="19">
        <f>C19</f>
        <v>6</v>
      </c>
      <c r="D228" s="35">
        <f t="shared" si="103"/>
        <v>4.5999999999999996</v>
      </c>
      <c r="E228" s="16">
        <f t="shared" si="104"/>
        <v>4.5999999999999996</v>
      </c>
      <c r="F228" s="19">
        <f>F19</f>
        <v>2.6</v>
      </c>
      <c r="G228" s="19">
        <f>G19</f>
        <v>0</v>
      </c>
      <c r="H228" s="19">
        <f>H19</f>
        <v>2</v>
      </c>
      <c r="I228" s="19">
        <f>I19</f>
        <v>0</v>
      </c>
      <c r="J228" s="19">
        <f>J19</f>
        <v>11.6</v>
      </c>
      <c r="K228" s="17">
        <f t="shared" si="105"/>
        <v>252.17391304347828</v>
      </c>
      <c r="L228" s="19">
        <f t="shared" si="106"/>
        <v>252.17391304347828</v>
      </c>
      <c r="M228" s="19">
        <f t="shared" si="102"/>
        <v>193.33333333333334</v>
      </c>
    </row>
    <row r="229" spans="1:13" ht="19.5" customHeight="1" x14ac:dyDescent="0.25">
      <c r="A229" s="26" t="s">
        <v>41</v>
      </c>
      <c r="B229" s="20" t="s">
        <v>42</v>
      </c>
      <c r="C229" s="19">
        <f>C20+C193+C209+C73+C140+C55+C159+C90+C176+C107</f>
        <v>0</v>
      </c>
      <c r="D229" s="35">
        <f t="shared" si="103"/>
        <v>6769.0999999999995</v>
      </c>
      <c r="E229" s="16">
        <f t="shared" si="104"/>
        <v>6310.7</v>
      </c>
      <c r="F229" s="19">
        <f>F20+F193+F209+F73+F140+F55+F159+F90+F176</f>
        <v>3267.2</v>
      </c>
      <c r="G229" s="19">
        <f>G20+G193+G209+G73+G140+G55+G159+G90+G176</f>
        <v>2783.8</v>
      </c>
      <c r="H229" s="19">
        <f>H20+H193+H209+H73+H140+H55+H159+H90+H176</f>
        <v>259.7</v>
      </c>
      <c r="I229" s="19">
        <f>I20+I193+I209+I73+I140+I55+I159+I90+I176</f>
        <v>458.4</v>
      </c>
      <c r="J229" s="19">
        <f>J20+J193+J209+J73+J140+J55+J159+J90+J176+J107+J38</f>
        <v>26201.1</v>
      </c>
      <c r="K229" s="17">
        <f t="shared" si="105"/>
        <v>415.1853201705041</v>
      </c>
      <c r="L229" s="19">
        <f t="shared" si="106"/>
        <v>387.06918201828904</v>
      </c>
      <c r="M229" s="19"/>
    </row>
    <row r="230" spans="1:13" ht="18.75" customHeight="1" x14ac:dyDescent="0.25">
      <c r="A230" s="27" t="s">
        <v>43</v>
      </c>
      <c r="B230" s="28" t="s">
        <v>44</v>
      </c>
      <c r="C230" s="19">
        <f>C21+C39+C56+C74+C91+C108+C126+C141+C160+C177+C194+C210</f>
        <v>0</v>
      </c>
      <c r="D230" s="35">
        <f t="shared" si="103"/>
        <v>0</v>
      </c>
      <c r="E230" s="16">
        <f t="shared" si="104"/>
        <v>0</v>
      </c>
      <c r="F230" s="19">
        <v>0</v>
      </c>
      <c r="G230" s="19">
        <f>G21+G39+G56+G74+G91+G108+G126+G141+G160+G177+G194+G210</f>
        <v>0</v>
      </c>
      <c r="H230" s="19">
        <f>H21+H39+H56+H74+H91+H108+H126+H141+H160+H177+H194+H210</f>
        <v>0</v>
      </c>
      <c r="I230" s="19">
        <f>I21+I39+I56+I74+I91+I108+I126+I141+I160+I177+I194+I210</f>
        <v>0</v>
      </c>
      <c r="J230" s="19">
        <f>J21+J39+J56+J74+J91+J108+J126+J141+J160+J177+J194+J210+0.1</f>
        <v>79.5</v>
      </c>
      <c r="K230" s="17"/>
      <c r="L230" s="19"/>
      <c r="M230" s="19"/>
    </row>
    <row r="231" spans="1:13" ht="17.25" customHeight="1" x14ac:dyDescent="0.25">
      <c r="A231" s="29" t="s">
        <v>45</v>
      </c>
      <c r="B231" s="30" t="s">
        <v>46</v>
      </c>
      <c r="C231" s="31">
        <f t="shared" ref="C231:I231" si="108">C232+C233+C234</f>
        <v>3294234.4</v>
      </c>
      <c r="D231" s="31">
        <f>D232+D233+D234</f>
        <v>3549233.5999999992</v>
      </c>
      <c r="E231" s="31">
        <f t="shared" si="108"/>
        <v>2771396.9999999991</v>
      </c>
      <c r="F231" s="31">
        <f t="shared" si="108"/>
        <v>1064823.2</v>
      </c>
      <c r="G231" s="31">
        <f>G232+G233+G234</f>
        <v>894119.6</v>
      </c>
      <c r="H231" s="31">
        <f t="shared" si="108"/>
        <v>812454.2</v>
      </c>
      <c r="I231" s="31">
        <f t="shared" si="108"/>
        <v>777836.6</v>
      </c>
      <c r="J231" s="31">
        <f>J232+J233+J234</f>
        <v>2335763.7000000002</v>
      </c>
      <c r="K231" s="32">
        <f>J231*100/E231</f>
        <v>84.281093614520074</v>
      </c>
      <c r="L231" s="13">
        <f>J231*100/D231</f>
        <v>65.810368187656081</v>
      </c>
      <c r="M231" s="13">
        <f>J231*100/C231</f>
        <v>70.90459925984625</v>
      </c>
    </row>
    <row r="232" spans="1:13" ht="40.5" customHeight="1" x14ac:dyDescent="0.25">
      <c r="A232" s="33" t="s">
        <v>47</v>
      </c>
      <c r="B232" s="34" t="s">
        <v>48</v>
      </c>
      <c r="C232" s="22">
        <f>C23-26864.5</f>
        <v>3294234.4</v>
      </c>
      <c r="D232" s="35">
        <f>F232+G232+H232+I232</f>
        <v>3524260.9999999995</v>
      </c>
      <c r="E232" s="16">
        <f>F232+G232+H232</f>
        <v>2748924.3999999994</v>
      </c>
      <c r="F232" s="22">
        <f>F23-73</f>
        <v>1065719.3999999999</v>
      </c>
      <c r="G232" s="22">
        <f>G23-5372.9</f>
        <v>892060.79999999993</v>
      </c>
      <c r="H232" s="22">
        <f>H23-10745.8</f>
        <v>791144.2</v>
      </c>
      <c r="I232" s="22">
        <f>I23-11092.5</f>
        <v>775336.6</v>
      </c>
      <c r="J232" s="22">
        <f>J23-13541.4</f>
        <v>2331057.1</v>
      </c>
      <c r="K232" s="17">
        <f>J232*100/E232</f>
        <v>84.798879881891281</v>
      </c>
      <c r="L232" s="19">
        <f>J232*100/D232</f>
        <v>66.14314603827583</v>
      </c>
      <c r="M232" s="19">
        <f>J232*100/C232</f>
        <v>70.761725395132785</v>
      </c>
    </row>
    <row r="233" spans="1:13" ht="19.5" customHeight="1" x14ac:dyDescent="0.25">
      <c r="A233" s="33" t="s">
        <v>49</v>
      </c>
      <c r="B233" s="36" t="s">
        <v>50</v>
      </c>
      <c r="C233" s="19">
        <f>C24+C95+C180+C77</f>
        <v>0</v>
      </c>
      <c r="D233" s="35">
        <f>F233+G233+H233+I233</f>
        <v>28818.3</v>
      </c>
      <c r="E233" s="16">
        <f>F233+G233+H233</f>
        <v>26318.3</v>
      </c>
      <c r="F233" s="19">
        <f>F24+F95+F163+F197+F213+F146+F77+0.1</f>
        <v>2949.5</v>
      </c>
      <c r="G233" s="19">
        <f>G24+G95+G163+G197+G213+G146+G77</f>
        <v>2058.8000000000002</v>
      </c>
      <c r="H233" s="19">
        <f>H24+H95+H163+H197+H213+H146+H77</f>
        <v>21310</v>
      </c>
      <c r="I233" s="19">
        <f>I24+I95+I163+I197+I213+I146+I77</f>
        <v>2500</v>
      </c>
      <c r="J233" s="19">
        <f>J24+J95+J163+J197+J213+J146+J77+0.1</f>
        <v>8571.4</v>
      </c>
      <c r="K233" s="17">
        <f>J233*100/E233</f>
        <v>32.568212992480518</v>
      </c>
      <c r="L233" s="19">
        <f>J233*100/D233</f>
        <v>29.742906417103022</v>
      </c>
      <c r="M233" s="19"/>
    </row>
    <row r="234" spans="1:13" ht="49.5" customHeight="1" x14ac:dyDescent="0.25">
      <c r="A234" s="33" t="s">
        <v>53</v>
      </c>
      <c r="B234" s="38" t="s">
        <v>54</v>
      </c>
      <c r="C234" s="19">
        <f>C26</f>
        <v>0</v>
      </c>
      <c r="D234" s="35">
        <f>F234+G234+H234+I234</f>
        <v>-3845.7</v>
      </c>
      <c r="E234" s="16">
        <f>F234+G234+H234</f>
        <v>-3845.7</v>
      </c>
      <c r="F234" s="19">
        <f>F26+28</f>
        <v>-3845.7</v>
      </c>
      <c r="G234" s="19">
        <f>G26</f>
        <v>0</v>
      </c>
      <c r="H234" s="19">
        <f>H26</f>
        <v>0</v>
      </c>
      <c r="I234" s="19">
        <f>I26</f>
        <v>0</v>
      </c>
      <c r="J234" s="19">
        <f>J26+28</f>
        <v>-3864.8</v>
      </c>
      <c r="K234" s="17">
        <f>J234*100/E234</f>
        <v>100.49665860571548</v>
      </c>
      <c r="L234" s="19">
        <f>J234*100/D234</f>
        <v>100.49665860571548</v>
      </c>
      <c r="M234" s="19"/>
    </row>
    <row r="235" spans="1:13" ht="19.5" customHeight="1" x14ac:dyDescent="0.25">
      <c r="A235" s="26"/>
      <c r="B235" s="40" t="s">
        <v>55</v>
      </c>
      <c r="C235" s="13">
        <f t="shared" ref="C235:J235" si="109">C231+C217</f>
        <v>4372554</v>
      </c>
      <c r="D235" s="13">
        <f t="shared" si="109"/>
        <v>4646288.3999999985</v>
      </c>
      <c r="E235" s="13">
        <f t="shared" si="109"/>
        <v>3567393.0999999992</v>
      </c>
      <c r="F235" s="13">
        <f t="shared" si="109"/>
        <v>1341173.5</v>
      </c>
      <c r="G235" s="13">
        <f t="shared" si="109"/>
        <v>1176391.3999999999</v>
      </c>
      <c r="H235" s="13">
        <f t="shared" si="109"/>
        <v>1049828.2</v>
      </c>
      <c r="I235" s="13">
        <f t="shared" si="109"/>
        <v>1078895.2999999998</v>
      </c>
      <c r="J235" s="13">
        <f t="shared" si="109"/>
        <v>3066378.2</v>
      </c>
      <c r="K235" s="32">
        <f>J235*100/E235</f>
        <v>85.955713711505496</v>
      </c>
      <c r="L235" s="13">
        <f>J235*100/D235</f>
        <v>65.996295021204475</v>
      </c>
      <c r="M235" s="13">
        <f>J235*100/C235</f>
        <v>70.127852051684215</v>
      </c>
    </row>
  </sheetData>
  <mergeCells count="38">
    <mergeCell ref="A200:M200"/>
    <mergeCell ref="A215:J215"/>
    <mergeCell ref="A216:M216"/>
    <mergeCell ref="A149:M149"/>
    <mergeCell ref="A165:J165"/>
    <mergeCell ref="A166:M166"/>
    <mergeCell ref="A182:J182"/>
    <mergeCell ref="A183:M183"/>
    <mergeCell ref="A199:J199"/>
    <mergeCell ref="A29:M29"/>
    <mergeCell ref="A148:J148"/>
    <mergeCell ref="A45:M45"/>
    <mergeCell ref="A62:J62"/>
    <mergeCell ref="A63:M63"/>
    <mergeCell ref="A79:J79"/>
    <mergeCell ref="A80:M80"/>
    <mergeCell ref="A97:J97"/>
    <mergeCell ref="A98:M98"/>
    <mergeCell ref="A113:J113"/>
    <mergeCell ref="A114:M114"/>
    <mergeCell ref="A130:J130"/>
    <mergeCell ref="A131:M131"/>
    <mergeCell ref="B44:J44"/>
    <mergeCell ref="K4:K6"/>
    <mergeCell ref="A1:M1"/>
    <mergeCell ref="A2:J2"/>
    <mergeCell ref="C4:C6"/>
    <mergeCell ref="D4:D6"/>
    <mergeCell ref="E4:E6"/>
    <mergeCell ref="F4:F6"/>
    <mergeCell ref="G4:G6"/>
    <mergeCell ref="H4:H6"/>
    <mergeCell ref="I4:I6"/>
    <mergeCell ref="J4:J6"/>
    <mergeCell ref="L4:L6"/>
    <mergeCell ref="M4:M6"/>
    <mergeCell ref="A7:M7"/>
    <mergeCell ref="A28:J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7"/>
  <sheetViews>
    <sheetView tabSelected="1" topLeftCell="A2" workbookViewId="0">
      <selection activeCell="A67" sqref="A67:XFD68"/>
    </sheetView>
  </sheetViews>
  <sheetFormatPr defaultRowHeight="15" x14ac:dyDescent="0.25"/>
  <cols>
    <col min="2" max="2" width="37.7109375" customWidth="1"/>
    <col min="3" max="3" width="21.7109375" customWidth="1"/>
    <col min="4" max="4" width="17.42578125" customWidth="1"/>
    <col min="5" max="5" width="15.7109375" customWidth="1"/>
    <col min="6" max="6" width="20.5703125" customWidth="1"/>
    <col min="7" max="7" width="17.5703125" customWidth="1"/>
    <col min="8" max="8" width="10.7109375" customWidth="1"/>
    <col min="9" max="10" width="0" hidden="1" customWidth="1"/>
    <col min="11" max="11" width="17.5703125" customWidth="1"/>
    <col min="12" max="13" width="0" hidden="1" customWidth="1"/>
    <col min="14" max="14" width="18.85546875" customWidth="1"/>
    <col min="15" max="15" width="14.140625" customWidth="1"/>
  </cols>
  <sheetData>
    <row r="1" spans="1:15" ht="15.75" x14ac:dyDescent="0.25">
      <c r="A1" s="168" t="s">
        <v>71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</row>
    <row r="2" spans="1:15" ht="15.75" thickBot="1" x14ac:dyDescent="0.3">
      <c r="A2" s="57"/>
      <c r="B2" s="58"/>
      <c r="C2" s="59"/>
      <c r="D2" s="60"/>
      <c r="E2" s="61"/>
      <c r="F2" s="62"/>
      <c r="G2" s="62"/>
      <c r="H2" s="63"/>
      <c r="I2" s="63"/>
      <c r="J2" s="63"/>
      <c r="K2" s="64"/>
      <c r="L2" s="65"/>
      <c r="M2" s="64"/>
      <c r="N2" s="66"/>
      <c r="O2" s="67"/>
    </row>
    <row r="3" spans="1:15" x14ac:dyDescent="0.25">
      <c r="A3" s="169" t="s">
        <v>72</v>
      </c>
      <c r="B3" s="171" t="s">
        <v>73</v>
      </c>
      <c r="C3" s="173" t="s">
        <v>74</v>
      </c>
      <c r="D3" s="173"/>
      <c r="E3" s="173"/>
      <c r="F3" s="174" t="s">
        <v>75</v>
      </c>
      <c r="G3" s="174"/>
      <c r="H3" s="174"/>
      <c r="I3" s="175" t="s">
        <v>76</v>
      </c>
      <c r="J3" s="176"/>
      <c r="K3" s="176"/>
      <c r="L3" s="176"/>
      <c r="M3" s="176"/>
      <c r="N3" s="176"/>
      <c r="O3" s="177"/>
    </row>
    <row r="4" spans="1:15" x14ac:dyDescent="0.25">
      <c r="A4" s="170"/>
      <c r="B4" s="172"/>
      <c r="C4" s="178" t="s">
        <v>77</v>
      </c>
      <c r="D4" s="178" t="s">
        <v>78</v>
      </c>
      <c r="E4" s="180" t="s">
        <v>79</v>
      </c>
      <c r="F4" s="178" t="s">
        <v>77</v>
      </c>
      <c r="G4" s="178" t="s">
        <v>78</v>
      </c>
      <c r="H4" s="183" t="s">
        <v>79</v>
      </c>
      <c r="I4" s="185" t="s">
        <v>80</v>
      </c>
      <c r="J4" s="185" t="s">
        <v>81</v>
      </c>
      <c r="K4" s="192" t="s">
        <v>77</v>
      </c>
      <c r="L4" s="185" t="s">
        <v>82</v>
      </c>
      <c r="M4" s="185" t="s">
        <v>81</v>
      </c>
      <c r="N4" s="186" t="s">
        <v>83</v>
      </c>
      <c r="O4" s="187" t="s">
        <v>79</v>
      </c>
    </row>
    <row r="5" spans="1:15" ht="40.5" customHeight="1" x14ac:dyDescent="0.25">
      <c r="A5" s="170"/>
      <c r="B5" s="172"/>
      <c r="C5" s="179"/>
      <c r="D5" s="178"/>
      <c r="E5" s="181"/>
      <c r="F5" s="179"/>
      <c r="G5" s="178"/>
      <c r="H5" s="184"/>
      <c r="I5" s="185"/>
      <c r="J5" s="185"/>
      <c r="K5" s="193"/>
      <c r="L5" s="185"/>
      <c r="M5" s="185"/>
      <c r="N5" s="186"/>
      <c r="O5" s="188"/>
    </row>
    <row r="6" spans="1:15" x14ac:dyDescent="0.25">
      <c r="A6" s="170"/>
      <c r="B6" s="189" t="s">
        <v>84</v>
      </c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</row>
    <row r="7" spans="1:15" x14ac:dyDescent="0.25">
      <c r="A7" s="170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</row>
    <row r="8" spans="1:15" x14ac:dyDescent="0.25">
      <c r="A8" s="170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</row>
    <row r="9" spans="1:15" x14ac:dyDescent="0.25">
      <c r="A9" s="68"/>
      <c r="B9" s="69"/>
      <c r="C9" s="69"/>
      <c r="D9" s="69"/>
      <c r="E9" s="69"/>
      <c r="F9" s="69"/>
      <c r="G9" s="69"/>
      <c r="H9" s="69"/>
      <c r="I9" s="69"/>
      <c r="J9" s="69"/>
      <c r="K9" s="69"/>
      <c r="L9" s="70"/>
      <c r="M9" s="69"/>
      <c r="N9" s="69"/>
      <c r="O9" s="71"/>
    </row>
    <row r="10" spans="1:15" ht="27.75" customHeight="1" x14ac:dyDescent="0.25">
      <c r="A10" s="72" t="s">
        <v>85</v>
      </c>
      <c r="B10" s="73" t="s">
        <v>86</v>
      </c>
      <c r="C10" s="74">
        <f>SUM(C11:C18)</f>
        <v>490918.2</v>
      </c>
      <c r="D10" s="74">
        <f>SUM(D11:D18)</f>
        <v>254433.5</v>
      </c>
      <c r="E10" s="74">
        <f>D10/C10*100</f>
        <v>51.828084597393207</v>
      </c>
      <c r="F10" s="74">
        <f>F11+F12+F13+F14+F15+F17+F18+F16</f>
        <v>217383.6</v>
      </c>
      <c r="G10" s="74">
        <f>SUM(G11:G18)</f>
        <v>141594.9</v>
      </c>
      <c r="H10" s="75">
        <f>G10/F10*100</f>
        <v>65.135962418508115</v>
      </c>
      <c r="I10" s="74">
        <f t="shared" ref="I10:N10" si="0">SUM(I11:I18)</f>
        <v>708301.79999999993</v>
      </c>
      <c r="J10" s="74">
        <f t="shared" si="0"/>
        <v>20379.8</v>
      </c>
      <c r="K10" s="74">
        <f t="shared" si="0"/>
        <v>687922</v>
      </c>
      <c r="L10" s="74">
        <f t="shared" si="0"/>
        <v>396028.4</v>
      </c>
      <c r="M10" s="74">
        <f t="shared" si="0"/>
        <v>5866.5</v>
      </c>
      <c r="N10" s="74">
        <f t="shared" si="0"/>
        <v>390161.9</v>
      </c>
      <c r="O10" s="76">
        <f>N10/K10*100</f>
        <v>56.716008500963774</v>
      </c>
    </row>
    <row r="11" spans="1:15" ht="30" customHeight="1" x14ac:dyDescent="0.25">
      <c r="A11" s="77" t="s">
        <v>87</v>
      </c>
      <c r="B11" s="78" t="s">
        <v>88</v>
      </c>
      <c r="C11" s="79">
        <v>4678.7</v>
      </c>
      <c r="D11" s="79">
        <v>3106.2</v>
      </c>
      <c r="E11" s="80">
        <f>D11/C11*100</f>
        <v>66.390236604184921</v>
      </c>
      <c r="F11" s="81">
        <v>44909.9</v>
      </c>
      <c r="G11" s="81">
        <v>32714.2</v>
      </c>
      <c r="H11" s="82">
        <f>G11/F11*100</f>
        <v>72.844072242423167</v>
      </c>
      <c r="I11" s="83">
        <f>C11+F11</f>
        <v>49588.6</v>
      </c>
      <c r="J11" s="84"/>
      <c r="K11" s="85">
        <f t="shared" ref="K11:K12" si="1">I11-J11</f>
        <v>49588.6</v>
      </c>
      <c r="L11" s="83">
        <f>D11+G11</f>
        <v>35820.400000000001</v>
      </c>
      <c r="M11" s="84"/>
      <c r="N11" s="85">
        <f>L11-M11</f>
        <v>35820.400000000001</v>
      </c>
      <c r="O11" s="86">
        <f t="shared" ref="O11:O104" si="2">N11/K11*100</f>
        <v>72.235150820954814</v>
      </c>
    </row>
    <row r="12" spans="1:15" ht="39" customHeight="1" x14ac:dyDescent="0.25">
      <c r="A12" s="77" t="s">
        <v>89</v>
      </c>
      <c r="B12" s="78" t="s">
        <v>90</v>
      </c>
      <c r="C12" s="79">
        <v>8540</v>
      </c>
      <c r="D12" s="79">
        <v>6045.7</v>
      </c>
      <c r="E12" s="80">
        <f t="shared" ref="E12:E20" si="3">D12/C12*100</f>
        <v>70.792740046838404</v>
      </c>
      <c r="F12" s="81">
        <v>0</v>
      </c>
      <c r="G12" s="81"/>
      <c r="H12" s="82">
        <v>0</v>
      </c>
      <c r="I12" s="83">
        <f t="shared" ref="I12:I75" si="4">C12+F12</f>
        <v>8540</v>
      </c>
      <c r="J12" s="84"/>
      <c r="K12" s="85">
        <f t="shared" si="1"/>
        <v>8540</v>
      </c>
      <c r="L12" s="83">
        <f t="shared" ref="L12:L75" si="5">D12+G12</f>
        <v>6045.7</v>
      </c>
      <c r="M12" s="84"/>
      <c r="N12" s="85">
        <f t="shared" ref="N12:N75" si="6">L12-M12</f>
        <v>6045.7</v>
      </c>
      <c r="O12" s="86">
        <f t="shared" si="2"/>
        <v>70.792740046838404</v>
      </c>
    </row>
    <row r="13" spans="1:15" ht="29.25" customHeight="1" x14ac:dyDescent="0.25">
      <c r="A13" s="77" t="s">
        <v>91</v>
      </c>
      <c r="B13" s="78" t="s">
        <v>92</v>
      </c>
      <c r="C13" s="79">
        <v>175570.4</v>
      </c>
      <c r="D13" s="79">
        <v>107624.3</v>
      </c>
      <c r="E13" s="80">
        <f t="shared" si="3"/>
        <v>61.299797687992964</v>
      </c>
      <c r="F13" s="81">
        <v>122347.8</v>
      </c>
      <c r="G13" s="81">
        <v>88265.4</v>
      </c>
      <c r="H13" s="82">
        <f>G13/F13*100</f>
        <v>72.1430217788959</v>
      </c>
      <c r="I13" s="83">
        <f t="shared" si="4"/>
        <v>297918.2</v>
      </c>
      <c r="J13" s="84">
        <v>6300</v>
      </c>
      <c r="K13" s="85">
        <f>I13-J13</f>
        <v>291618.2</v>
      </c>
      <c r="L13" s="83">
        <f t="shared" si="5"/>
        <v>195889.7</v>
      </c>
      <c r="M13" s="84">
        <v>3150</v>
      </c>
      <c r="N13" s="85">
        <f t="shared" si="6"/>
        <v>192739.7</v>
      </c>
      <c r="O13" s="86">
        <f t="shared" si="2"/>
        <v>66.093165652898207</v>
      </c>
    </row>
    <row r="14" spans="1:15" ht="22.5" customHeight="1" x14ac:dyDescent="0.25">
      <c r="A14" s="77" t="s">
        <v>93</v>
      </c>
      <c r="B14" s="78" t="s">
        <v>94</v>
      </c>
      <c r="C14" s="79">
        <v>13.1</v>
      </c>
      <c r="D14" s="79"/>
      <c r="E14" s="80">
        <f t="shared" si="3"/>
        <v>0</v>
      </c>
      <c r="F14" s="81">
        <v>0</v>
      </c>
      <c r="G14" s="81"/>
      <c r="H14" s="82">
        <v>0</v>
      </c>
      <c r="I14" s="83">
        <f t="shared" si="4"/>
        <v>13.1</v>
      </c>
      <c r="J14" s="84"/>
      <c r="K14" s="85">
        <f t="shared" ref="K14:K77" si="7">I14-J14</f>
        <v>13.1</v>
      </c>
      <c r="L14" s="83">
        <f t="shared" si="5"/>
        <v>0</v>
      </c>
      <c r="M14" s="84"/>
      <c r="N14" s="85">
        <f t="shared" si="6"/>
        <v>0</v>
      </c>
      <c r="O14" s="86">
        <f t="shared" si="2"/>
        <v>0</v>
      </c>
    </row>
    <row r="15" spans="1:15" ht="30.75" customHeight="1" x14ac:dyDescent="0.25">
      <c r="A15" s="77" t="s">
        <v>95</v>
      </c>
      <c r="B15" s="78" t="s">
        <v>96</v>
      </c>
      <c r="C15" s="79">
        <v>34572</v>
      </c>
      <c r="D15" s="79">
        <v>23367.3</v>
      </c>
      <c r="E15" s="80">
        <f t="shared" si="3"/>
        <v>67.590246442207572</v>
      </c>
      <c r="F15" s="81">
        <v>0</v>
      </c>
      <c r="G15" s="81"/>
      <c r="H15" s="82">
        <v>0</v>
      </c>
      <c r="I15" s="83">
        <f t="shared" si="4"/>
        <v>34572</v>
      </c>
      <c r="J15" s="84"/>
      <c r="K15" s="85">
        <f t="shared" si="7"/>
        <v>34572</v>
      </c>
      <c r="L15" s="83">
        <f t="shared" si="5"/>
        <v>23367.3</v>
      </c>
      <c r="M15" s="84"/>
      <c r="N15" s="85">
        <f t="shared" si="6"/>
        <v>23367.3</v>
      </c>
      <c r="O15" s="86">
        <f t="shared" si="2"/>
        <v>67.590246442207572</v>
      </c>
    </row>
    <row r="16" spans="1:15" ht="39.75" customHeight="1" x14ac:dyDescent="0.25">
      <c r="A16" s="77" t="s">
        <v>97</v>
      </c>
      <c r="B16" s="78" t="s">
        <v>98</v>
      </c>
      <c r="C16" s="79"/>
      <c r="D16" s="79"/>
      <c r="E16" s="80"/>
      <c r="F16" s="81">
        <v>1362.3</v>
      </c>
      <c r="G16" s="81">
        <v>1362.3</v>
      </c>
      <c r="H16" s="82">
        <f>G16/F16*100</f>
        <v>100</v>
      </c>
      <c r="I16" s="83">
        <f t="shared" si="4"/>
        <v>1362.3</v>
      </c>
      <c r="J16" s="84"/>
      <c r="K16" s="85">
        <f t="shared" si="7"/>
        <v>1362.3</v>
      </c>
      <c r="L16" s="83">
        <f t="shared" si="5"/>
        <v>1362.3</v>
      </c>
      <c r="M16" s="84"/>
      <c r="N16" s="85">
        <f t="shared" si="6"/>
        <v>1362.3</v>
      </c>
      <c r="O16" s="86">
        <f t="shared" si="2"/>
        <v>100</v>
      </c>
    </row>
    <row r="17" spans="1:15" ht="21" customHeight="1" x14ac:dyDescent="0.25">
      <c r="A17" s="87" t="s">
        <v>99</v>
      </c>
      <c r="B17" s="78" t="s">
        <v>100</v>
      </c>
      <c r="C17" s="79">
        <v>11666</v>
      </c>
      <c r="D17" s="79">
        <v>0</v>
      </c>
      <c r="E17" s="80">
        <f t="shared" si="3"/>
        <v>0</v>
      </c>
      <c r="F17" s="81">
        <v>431.1</v>
      </c>
      <c r="G17" s="81"/>
      <c r="H17" s="82">
        <f>G17/F17*100</f>
        <v>0</v>
      </c>
      <c r="I17" s="83">
        <f t="shared" si="4"/>
        <v>12097.1</v>
      </c>
      <c r="J17" s="84"/>
      <c r="K17" s="85">
        <f t="shared" si="7"/>
        <v>12097.1</v>
      </c>
      <c r="L17" s="83">
        <f t="shared" si="5"/>
        <v>0</v>
      </c>
      <c r="M17" s="84"/>
      <c r="N17" s="85">
        <f t="shared" si="6"/>
        <v>0</v>
      </c>
      <c r="O17" s="86">
        <f t="shared" si="2"/>
        <v>0</v>
      </c>
    </row>
    <row r="18" spans="1:15" ht="24" customHeight="1" x14ac:dyDescent="0.25">
      <c r="A18" s="77" t="s">
        <v>101</v>
      </c>
      <c r="B18" s="78" t="s">
        <v>102</v>
      </c>
      <c r="C18" s="79">
        <v>255878</v>
      </c>
      <c r="D18" s="79">
        <v>114290</v>
      </c>
      <c r="E18" s="80">
        <f t="shared" si="3"/>
        <v>44.665817303558725</v>
      </c>
      <c r="F18" s="81">
        <v>48332.5</v>
      </c>
      <c r="G18" s="81">
        <v>19253</v>
      </c>
      <c r="H18" s="82">
        <f>G18/F18*100</f>
        <v>39.834479904825947</v>
      </c>
      <c r="I18" s="83">
        <f t="shared" si="4"/>
        <v>304210.5</v>
      </c>
      <c r="J18" s="84">
        <v>14079.8</v>
      </c>
      <c r="K18" s="85">
        <f t="shared" si="7"/>
        <v>290130.7</v>
      </c>
      <c r="L18" s="83">
        <f t="shared" si="5"/>
        <v>133543</v>
      </c>
      <c r="M18" s="88">
        <v>2716.5</v>
      </c>
      <c r="N18" s="85">
        <f t="shared" si="6"/>
        <v>130826.5</v>
      </c>
      <c r="O18" s="86">
        <f t="shared" si="2"/>
        <v>45.092263590168152</v>
      </c>
    </row>
    <row r="19" spans="1:15" ht="23.25" customHeight="1" x14ac:dyDescent="0.25">
      <c r="A19" s="72" t="s">
        <v>103</v>
      </c>
      <c r="B19" s="73" t="s">
        <v>104</v>
      </c>
      <c r="C19" s="74">
        <f t="shared" ref="C19:N19" si="8">C20</f>
        <v>3955.3</v>
      </c>
      <c r="D19" s="74">
        <f t="shared" si="8"/>
        <v>2287.6999999999998</v>
      </c>
      <c r="E19" s="74">
        <f t="shared" si="8"/>
        <v>57.838849139129763</v>
      </c>
      <c r="F19" s="74">
        <f t="shared" si="8"/>
        <v>3955.3</v>
      </c>
      <c r="G19" s="74">
        <f t="shared" si="8"/>
        <v>2201.3000000000002</v>
      </c>
      <c r="H19" s="89">
        <f t="shared" si="8"/>
        <v>55.654438348544986</v>
      </c>
      <c r="I19" s="74">
        <f>I20</f>
        <v>7910.6</v>
      </c>
      <c r="J19" s="74">
        <f>J20</f>
        <v>3955.3</v>
      </c>
      <c r="K19" s="74">
        <f>K20</f>
        <v>3955.3</v>
      </c>
      <c r="L19" s="74">
        <f t="shared" si="8"/>
        <v>4489</v>
      </c>
      <c r="M19" s="74">
        <f>M20</f>
        <v>2287.6999999999998</v>
      </c>
      <c r="N19" s="74">
        <f t="shared" si="8"/>
        <v>2201.3000000000002</v>
      </c>
      <c r="O19" s="90">
        <f t="shared" si="2"/>
        <v>55.654438348544986</v>
      </c>
    </row>
    <row r="20" spans="1:15" ht="23.25" customHeight="1" x14ac:dyDescent="0.25">
      <c r="A20" s="77" t="s">
        <v>105</v>
      </c>
      <c r="B20" s="78" t="s">
        <v>106</v>
      </c>
      <c r="C20" s="79">
        <v>3955.3</v>
      </c>
      <c r="D20" s="79">
        <v>2287.6999999999998</v>
      </c>
      <c r="E20" s="80">
        <f t="shared" si="3"/>
        <v>57.838849139129763</v>
      </c>
      <c r="F20" s="81">
        <v>3955.3</v>
      </c>
      <c r="G20" s="81">
        <v>2201.3000000000002</v>
      </c>
      <c r="H20" s="82">
        <f t="shared" ref="H20:H26" si="9">G20/F20*100</f>
        <v>55.654438348544986</v>
      </c>
      <c r="I20" s="83">
        <f t="shared" si="4"/>
        <v>7910.6</v>
      </c>
      <c r="J20" s="84">
        <v>3955.3</v>
      </c>
      <c r="K20" s="85">
        <f t="shared" si="7"/>
        <v>3955.3</v>
      </c>
      <c r="L20" s="83">
        <f t="shared" si="5"/>
        <v>4489</v>
      </c>
      <c r="M20" s="84">
        <v>2287.6999999999998</v>
      </c>
      <c r="N20" s="85">
        <f t="shared" si="6"/>
        <v>2201.3000000000002</v>
      </c>
      <c r="O20" s="86">
        <f t="shared" si="2"/>
        <v>55.654438348544986</v>
      </c>
    </row>
    <row r="21" spans="1:15" ht="35.25" customHeight="1" x14ac:dyDescent="0.25">
      <c r="A21" s="72" t="s">
        <v>107</v>
      </c>
      <c r="B21" s="91" t="s">
        <v>108</v>
      </c>
      <c r="C21" s="74">
        <f>C23+C24+C22</f>
        <v>32403</v>
      </c>
      <c r="D21" s="74">
        <f>D23+D24+D22</f>
        <v>19655.2</v>
      </c>
      <c r="E21" s="92">
        <f>D21/C21*100</f>
        <v>60.658580995586831</v>
      </c>
      <c r="F21" s="92">
        <f>F23+F24+F22</f>
        <v>20078.8</v>
      </c>
      <c r="G21" s="92">
        <f>G23+G24+G22</f>
        <v>13619.8</v>
      </c>
      <c r="H21" s="92">
        <f t="shared" si="9"/>
        <v>67.831742932844591</v>
      </c>
      <c r="I21" s="92">
        <f t="shared" ref="I21:N21" si="10">SUM(I22:I24)</f>
        <v>52481.799999999996</v>
      </c>
      <c r="J21" s="92">
        <f t="shared" si="10"/>
        <v>14368.7</v>
      </c>
      <c r="K21" s="92">
        <f t="shared" si="10"/>
        <v>38113.1</v>
      </c>
      <c r="L21" s="92">
        <f t="shared" si="10"/>
        <v>33274.999999999993</v>
      </c>
      <c r="M21" s="92">
        <f t="shared" si="10"/>
        <v>10254.799999999999</v>
      </c>
      <c r="N21" s="92">
        <f t="shared" si="10"/>
        <v>23020.199999999997</v>
      </c>
      <c r="O21" s="93">
        <f>N21/K21*100</f>
        <v>60.399705088276733</v>
      </c>
    </row>
    <row r="22" spans="1:15" x14ac:dyDescent="0.25">
      <c r="A22" s="87" t="s">
        <v>109</v>
      </c>
      <c r="B22" s="78" t="s">
        <v>110</v>
      </c>
      <c r="C22" s="79">
        <v>5702.7</v>
      </c>
      <c r="D22" s="79">
        <v>3555.4</v>
      </c>
      <c r="E22" s="80">
        <f t="shared" ref="E22:E116" si="11">D22/C22*100</f>
        <v>62.345906325074097</v>
      </c>
      <c r="F22" s="81">
        <v>915.9</v>
      </c>
      <c r="G22" s="81">
        <v>448.8</v>
      </c>
      <c r="H22" s="82">
        <f t="shared" si="9"/>
        <v>49.000982640026209</v>
      </c>
      <c r="I22" s="83">
        <f t="shared" si="4"/>
        <v>6618.5999999999995</v>
      </c>
      <c r="J22" s="84">
        <v>915.9</v>
      </c>
      <c r="K22" s="85">
        <f t="shared" si="7"/>
        <v>5702.7</v>
      </c>
      <c r="L22" s="83">
        <f t="shared" si="5"/>
        <v>4004.2000000000003</v>
      </c>
      <c r="M22" s="84">
        <v>518.4</v>
      </c>
      <c r="N22" s="85">
        <f t="shared" si="6"/>
        <v>3485.8</v>
      </c>
      <c r="O22" s="86">
        <f>N22/K22*100</f>
        <v>61.125431813000866</v>
      </c>
    </row>
    <row r="23" spans="1:15" ht="38.25" customHeight="1" x14ac:dyDescent="0.25">
      <c r="A23" s="94" t="s">
        <v>111</v>
      </c>
      <c r="B23" s="78" t="s">
        <v>112</v>
      </c>
      <c r="C23" s="79">
        <v>25066.2</v>
      </c>
      <c r="D23" s="79">
        <v>16025.7</v>
      </c>
      <c r="E23" s="80">
        <f t="shared" si="11"/>
        <v>63.933504081193007</v>
      </c>
      <c r="F23" s="81">
        <v>18824.8</v>
      </c>
      <c r="G23" s="81">
        <v>13061.9</v>
      </c>
      <c r="H23" s="82">
        <f t="shared" si="9"/>
        <v>69.386660150439852</v>
      </c>
      <c r="I23" s="83">
        <f t="shared" si="4"/>
        <v>43891</v>
      </c>
      <c r="J23" s="84">
        <v>13216.2</v>
      </c>
      <c r="K23" s="85">
        <f t="shared" si="7"/>
        <v>30674.799999999999</v>
      </c>
      <c r="L23" s="83">
        <f t="shared" si="5"/>
        <v>29087.599999999999</v>
      </c>
      <c r="M23" s="84">
        <v>9662.2999999999993</v>
      </c>
      <c r="N23" s="85">
        <f t="shared" si="6"/>
        <v>19425.3</v>
      </c>
      <c r="O23" s="86">
        <f t="shared" ref="O23:O24" si="12">N23/K23*100</f>
        <v>63.326574256392867</v>
      </c>
    </row>
    <row r="24" spans="1:15" ht="62.25" customHeight="1" x14ac:dyDescent="0.25">
      <c r="A24" s="87" t="s">
        <v>113</v>
      </c>
      <c r="B24" s="78" t="s">
        <v>114</v>
      </c>
      <c r="C24" s="79">
        <v>1634.1</v>
      </c>
      <c r="D24" s="79">
        <v>74.099999999999994</v>
      </c>
      <c r="E24" s="80">
        <f t="shared" si="11"/>
        <v>4.5346062052505962</v>
      </c>
      <c r="F24" s="81">
        <v>338.1</v>
      </c>
      <c r="G24" s="81">
        <v>109.1</v>
      </c>
      <c r="H24" s="82">
        <f t="shared" si="9"/>
        <v>32.268559597752137</v>
      </c>
      <c r="I24" s="83">
        <f t="shared" si="4"/>
        <v>1972.1999999999998</v>
      </c>
      <c r="J24" s="84">
        <v>236.6</v>
      </c>
      <c r="K24" s="85">
        <f t="shared" si="7"/>
        <v>1735.6</v>
      </c>
      <c r="L24" s="83">
        <f t="shared" si="5"/>
        <v>183.2</v>
      </c>
      <c r="M24" s="84">
        <v>74.099999999999994</v>
      </c>
      <c r="N24" s="85">
        <f t="shared" si="6"/>
        <v>109.1</v>
      </c>
      <c r="O24" s="86">
        <f t="shared" si="12"/>
        <v>6.2860106015210873</v>
      </c>
    </row>
    <row r="25" spans="1:15" ht="28.5" customHeight="1" x14ac:dyDescent="0.25">
      <c r="A25" s="72" t="s">
        <v>115</v>
      </c>
      <c r="B25" s="73" t="s">
        <v>116</v>
      </c>
      <c r="C25" s="74">
        <f>SUM(C26:C49)</f>
        <v>168190.6</v>
      </c>
      <c r="D25" s="74">
        <f>SUM(D26:D49)</f>
        <v>104487.3</v>
      </c>
      <c r="E25" s="74">
        <f>D25/C25*100</f>
        <v>62.124339885820014</v>
      </c>
      <c r="F25" s="74">
        <f>SUM(F26:F49)</f>
        <v>109577.5</v>
      </c>
      <c r="G25" s="74">
        <f>SUM(G26:G49)</f>
        <v>59280.299999999996</v>
      </c>
      <c r="H25" s="75">
        <f t="shared" si="9"/>
        <v>54.098971047888476</v>
      </c>
      <c r="I25" s="74">
        <f t="shared" ref="I25:N25" si="13">SUM(I26:I49)</f>
        <v>277768.10000000003</v>
      </c>
      <c r="J25" s="74">
        <f t="shared" si="13"/>
        <v>34599.1</v>
      </c>
      <c r="K25" s="74">
        <f t="shared" si="13"/>
        <v>243168.99999999997</v>
      </c>
      <c r="L25" s="74">
        <f t="shared" si="13"/>
        <v>163767.6</v>
      </c>
      <c r="M25" s="74">
        <f t="shared" si="13"/>
        <v>20598.099999999999</v>
      </c>
      <c r="N25" s="74">
        <f t="shared" si="13"/>
        <v>143169.50000000003</v>
      </c>
      <c r="O25" s="76">
        <f t="shared" si="2"/>
        <v>58.876542651407057</v>
      </c>
    </row>
    <row r="26" spans="1:15" ht="76.5" customHeight="1" x14ac:dyDescent="0.25">
      <c r="A26" s="87" t="s">
        <v>117</v>
      </c>
      <c r="B26" s="95" t="s">
        <v>118</v>
      </c>
      <c r="C26" s="79">
        <v>20572.8</v>
      </c>
      <c r="D26" s="79">
        <v>12411.1</v>
      </c>
      <c r="E26" s="80">
        <f t="shared" si="11"/>
        <v>60.327714263493547</v>
      </c>
      <c r="F26" s="79">
        <v>10551.8</v>
      </c>
      <c r="G26" s="81">
        <v>9489</v>
      </c>
      <c r="H26" s="82">
        <f t="shared" si="9"/>
        <v>89.927784832919514</v>
      </c>
      <c r="I26" s="83">
        <f t="shared" si="4"/>
        <v>31124.6</v>
      </c>
      <c r="J26" s="84">
        <v>10151.799999999999</v>
      </c>
      <c r="K26" s="85">
        <f t="shared" si="7"/>
        <v>20972.799999999999</v>
      </c>
      <c r="L26" s="83">
        <f t="shared" si="5"/>
        <v>21900.1</v>
      </c>
      <c r="M26" s="84">
        <v>10151.799999999999</v>
      </c>
      <c r="N26" s="85">
        <f t="shared" si="6"/>
        <v>11748.3</v>
      </c>
      <c r="O26" s="86">
        <f t="shared" si="2"/>
        <v>56.016840860543184</v>
      </c>
    </row>
    <row r="27" spans="1:15" ht="21.75" customHeight="1" x14ac:dyDescent="0.25">
      <c r="A27" s="77" t="s">
        <v>119</v>
      </c>
      <c r="B27" s="78" t="s">
        <v>120</v>
      </c>
      <c r="C27" s="79">
        <v>42873.4</v>
      </c>
      <c r="D27" s="79">
        <v>37272.400000000001</v>
      </c>
      <c r="E27" s="80">
        <f t="shared" si="11"/>
        <v>86.935955627498643</v>
      </c>
      <c r="F27" s="81">
        <v>111</v>
      </c>
      <c r="G27" s="81"/>
      <c r="H27" s="82">
        <v>0</v>
      </c>
      <c r="I27" s="83">
        <f t="shared" si="4"/>
        <v>42984.4</v>
      </c>
      <c r="J27" s="84">
        <v>111</v>
      </c>
      <c r="K27" s="85">
        <f t="shared" si="7"/>
        <v>42873.4</v>
      </c>
      <c r="L27" s="83">
        <f t="shared" si="5"/>
        <v>37272.400000000001</v>
      </c>
      <c r="M27" s="84"/>
      <c r="N27" s="85">
        <f t="shared" si="6"/>
        <v>37272.400000000001</v>
      </c>
      <c r="O27" s="86">
        <f t="shared" si="2"/>
        <v>86.935955627498643</v>
      </c>
    </row>
    <row r="28" spans="1:15" ht="18.75" customHeight="1" x14ac:dyDescent="0.25">
      <c r="A28" s="77" t="s">
        <v>121</v>
      </c>
      <c r="B28" s="78" t="s">
        <v>122</v>
      </c>
      <c r="C28" s="79">
        <v>7000</v>
      </c>
      <c r="D28" s="79">
        <v>1288.9000000000001</v>
      </c>
      <c r="E28" s="80">
        <f t="shared" si="11"/>
        <v>18.412857142857145</v>
      </c>
      <c r="F28" s="81">
        <v>0</v>
      </c>
      <c r="G28" s="81"/>
      <c r="H28" s="82">
        <v>0</v>
      </c>
      <c r="I28" s="83">
        <f t="shared" si="4"/>
        <v>7000</v>
      </c>
      <c r="J28" s="84"/>
      <c r="K28" s="85">
        <f t="shared" si="7"/>
        <v>7000</v>
      </c>
      <c r="L28" s="83">
        <f t="shared" si="5"/>
        <v>1288.9000000000001</v>
      </c>
      <c r="M28" s="84"/>
      <c r="N28" s="85">
        <f t="shared" si="6"/>
        <v>1288.9000000000001</v>
      </c>
      <c r="O28" s="86">
        <f t="shared" si="2"/>
        <v>18.412857142857145</v>
      </c>
    </row>
    <row r="29" spans="1:15" ht="36" customHeight="1" x14ac:dyDescent="0.25">
      <c r="A29" s="77" t="s">
        <v>121</v>
      </c>
      <c r="B29" s="78" t="s">
        <v>123</v>
      </c>
      <c r="C29" s="79">
        <v>18607</v>
      </c>
      <c r="D29" s="79">
        <v>15044.7</v>
      </c>
      <c r="E29" s="80">
        <f t="shared" si="11"/>
        <v>80.855054549363146</v>
      </c>
      <c r="F29" s="81">
        <v>14395.7</v>
      </c>
      <c r="G29" s="81">
        <v>9247</v>
      </c>
      <c r="H29" s="82">
        <f>G29/F29*100</f>
        <v>64.234458900921794</v>
      </c>
      <c r="I29" s="83">
        <f t="shared" si="4"/>
        <v>33002.699999999997</v>
      </c>
      <c r="J29" s="84">
        <v>2107</v>
      </c>
      <c r="K29" s="85">
        <f t="shared" si="7"/>
        <v>30895.699999999997</v>
      </c>
      <c r="L29" s="83">
        <f t="shared" si="5"/>
        <v>24291.7</v>
      </c>
      <c r="M29" s="84">
        <v>1053.5</v>
      </c>
      <c r="N29" s="85">
        <f t="shared" si="6"/>
        <v>23238.2</v>
      </c>
      <c r="O29" s="86">
        <f t="shared" si="2"/>
        <v>75.21499755629425</v>
      </c>
    </row>
    <row r="30" spans="1:15" ht="24" customHeight="1" x14ac:dyDescent="0.25">
      <c r="A30" s="77" t="s">
        <v>121</v>
      </c>
      <c r="B30" s="78" t="s">
        <v>124</v>
      </c>
      <c r="C30" s="79">
        <v>21500</v>
      </c>
      <c r="D30" s="79">
        <v>14291</v>
      </c>
      <c r="E30" s="80">
        <f t="shared" si="11"/>
        <v>66.469767441860455</v>
      </c>
      <c r="F30" s="81">
        <v>0</v>
      </c>
      <c r="G30" s="81"/>
      <c r="H30" s="82">
        <v>0</v>
      </c>
      <c r="I30" s="83">
        <f t="shared" si="4"/>
        <v>21500</v>
      </c>
      <c r="J30" s="84"/>
      <c r="K30" s="85">
        <f t="shared" si="7"/>
        <v>21500</v>
      </c>
      <c r="L30" s="83">
        <f t="shared" si="5"/>
        <v>14291</v>
      </c>
      <c r="M30" s="84"/>
      <c r="N30" s="85">
        <f t="shared" si="6"/>
        <v>14291</v>
      </c>
      <c r="O30" s="86">
        <f t="shared" si="2"/>
        <v>66.469767441860455</v>
      </c>
    </row>
    <row r="31" spans="1:15" ht="62.25" hidden="1" customHeight="1" x14ac:dyDescent="0.25">
      <c r="A31" s="77" t="s">
        <v>125</v>
      </c>
      <c r="B31" s="96" t="s">
        <v>126</v>
      </c>
      <c r="C31" s="79"/>
      <c r="D31" s="79"/>
      <c r="E31" s="80"/>
      <c r="F31" s="81"/>
      <c r="G31" s="81"/>
      <c r="H31" s="82"/>
      <c r="I31" s="83">
        <f t="shared" si="4"/>
        <v>0</v>
      </c>
      <c r="J31" s="84"/>
      <c r="K31" s="85">
        <f t="shared" si="7"/>
        <v>0</v>
      </c>
      <c r="L31" s="83">
        <f t="shared" si="5"/>
        <v>0</v>
      </c>
      <c r="M31" s="84"/>
      <c r="N31" s="85">
        <f t="shared" si="6"/>
        <v>0</v>
      </c>
      <c r="O31" s="86"/>
    </row>
    <row r="32" spans="1:15" ht="66" hidden="1" customHeight="1" x14ac:dyDescent="0.25">
      <c r="A32" s="87" t="s">
        <v>125</v>
      </c>
      <c r="B32" s="96" t="s">
        <v>127</v>
      </c>
      <c r="C32" s="79"/>
      <c r="D32" s="79"/>
      <c r="E32" s="80"/>
      <c r="F32" s="81"/>
      <c r="G32" s="81"/>
      <c r="H32" s="82"/>
      <c r="I32" s="83">
        <f t="shared" si="4"/>
        <v>0</v>
      </c>
      <c r="J32" s="84"/>
      <c r="K32" s="85">
        <f t="shared" si="7"/>
        <v>0</v>
      </c>
      <c r="L32" s="83">
        <f t="shared" si="5"/>
        <v>0</v>
      </c>
      <c r="M32" s="84"/>
      <c r="N32" s="85">
        <f t="shared" si="6"/>
        <v>0</v>
      </c>
      <c r="O32" s="86"/>
    </row>
    <row r="33" spans="1:15" ht="63" customHeight="1" x14ac:dyDescent="0.25">
      <c r="A33" s="87" t="s">
        <v>125</v>
      </c>
      <c r="B33" s="78" t="s">
        <v>128</v>
      </c>
      <c r="C33" s="79">
        <v>15718.5</v>
      </c>
      <c r="D33" s="79">
        <v>9232.1</v>
      </c>
      <c r="E33" s="80">
        <f t="shared" si="11"/>
        <v>58.733975888284505</v>
      </c>
      <c r="F33" s="81">
        <v>13072</v>
      </c>
      <c r="G33" s="81">
        <v>6762.9</v>
      </c>
      <c r="H33" s="82">
        <f>G33/F33*100</f>
        <v>51.735771113831085</v>
      </c>
      <c r="I33" s="83">
        <f t="shared" si="4"/>
        <v>28790.5</v>
      </c>
      <c r="J33" s="84">
        <v>15245</v>
      </c>
      <c r="K33" s="85">
        <f t="shared" si="7"/>
        <v>13545.5</v>
      </c>
      <c r="L33" s="83">
        <f t="shared" si="5"/>
        <v>15995</v>
      </c>
      <c r="M33" s="84">
        <v>8935.9</v>
      </c>
      <c r="N33" s="85">
        <f t="shared" si="6"/>
        <v>7059.1</v>
      </c>
      <c r="O33" s="86">
        <f t="shared" si="2"/>
        <v>52.113986194677196</v>
      </c>
    </row>
    <row r="34" spans="1:15" ht="100.5" customHeight="1" x14ac:dyDescent="0.25">
      <c r="A34" s="87" t="s">
        <v>125</v>
      </c>
      <c r="B34" s="78" t="s">
        <v>129</v>
      </c>
      <c r="C34" s="79">
        <v>210</v>
      </c>
      <c r="D34" s="79">
        <v>40</v>
      </c>
      <c r="E34" s="80">
        <f t="shared" si="11"/>
        <v>19.047619047619047</v>
      </c>
      <c r="F34" s="81"/>
      <c r="G34" s="81"/>
      <c r="H34" s="82"/>
      <c r="I34" s="83">
        <f t="shared" si="4"/>
        <v>210</v>
      </c>
      <c r="J34" s="84"/>
      <c r="K34" s="85">
        <f t="shared" si="7"/>
        <v>210</v>
      </c>
      <c r="L34" s="83">
        <f t="shared" si="5"/>
        <v>40</v>
      </c>
      <c r="M34" s="84"/>
      <c r="N34" s="85">
        <f t="shared" si="6"/>
        <v>40</v>
      </c>
      <c r="O34" s="86">
        <f t="shared" si="2"/>
        <v>19.047619047619047</v>
      </c>
    </row>
    <row r="35" spans="1:15" ht="46.5" customHeight="1" x14ac:dyDescent="0.25">
      <c r="A35" s="87" t="s">
        <v>125</v>
      </c>
      <c r="B35" s="78" t="s">
        <v>130</v>
      </c>
      <c r="C35" s="79"/>
      <c r="D35" s="79"/>
      <c r="E35" s="80"/>
      <c r="F35" s="81">
        <v>4754.8999999999996</v>
      </c>
      <c r="G35" s="81">
        <v>2170.1</v>
      </c>
      <c r="H35" s="82">
        <f t="shared" ref="H35:H41" si="14">G35/F35*100</f>
        <v>45.639235315148582</v>
      </c>
      <c r="I35" s="83">
        <f t="shared" si="4"/>
        <v>4754.8999999999996</v>
      </c>
      <c r="J35" s="84"/>
      <c r="K35" s="85">
        <f t="shared" si="7"/>
        <v>4754.8999999999996</v>
      </c>
      <c r="L35" s="83">
        <f t="shared" si="5"/>
        <v>2170.1</v>
      </c>
      <c r="M35" s="84"/>
      <c r="N35" s="85">
        <f t="shared" si="6"/>
        <v>2170.1</v>
      </c>
      <c r="O35" s="86">
        <f t="shared" si="2"/>
        <v>45.639235315148582</v>
      </c>
    </row>
    <row r="36" spans="1:15" ht="117.75" customHeight="1" x14ac:dyDescent="0.25">
      <c r="A36" s="87" t="s">
        <v>125</v>
      </c>
      <c r="B36" s="78" t="s">
        <v>131</v>
      </c>
      <c r="C36" s="79">
        <v>5749.3</v>
      </c>
      <c r="D36" s="79"/>
      <c r="E36" s="80">
        <f t="shared" si="11"/>
        <v>0</v>
      </c>
      <c r="F36" s="81">
        <v>5749.3</v>
      </c>
      <c r="G36" s="81"/>
      <c r="H36" s="82">
        <f t="shared" si="14"/>
        <v>0</v>
      </c>
      <c r="I36" s="83">
        <f t="shared" si="4"/>
        <v>11498.6</v>
      </c>
      <c r="J36" s="84">
        <v>5749.3</v>
      </c>
      <c r="K36" s="85">
        <f t="shared" si="7"/>
        <v>5749.3</v>
      </c>
      <c r="L36" s="83">
        <f t="shared" si="5"/>
        <v>0</v>
      </c>
      <c r="M36" s="84"/>
      <c r="N36" s="85">
        <f t="shared" si="6"/>
        <v>0</v>
      </c>
      <c r="O36" s="86">
        <f t="shared" si="2"/>
        <v>0</v>
      </c>
    </row>
    <row r="37" spans="1:15" ht="60" customHeight="1" x14ac:dyDescent="0.25">
      <c r="A37" s="87" t="s">
        <v>125</v>
      </c>
      <c r="B37" s="78" t="s">
        <v>132</v>
      </c>
      <c r="C37" s="79">
        <v>0</v>
      </c>
      <c r="D37" s="79"/>
      <c r="E37" s="80"/>
      <c r="F37" s="81">
        <v>9280.4</v>
      </c>
      <c r="G37" s="81">
        <v>3110.6</v>
      </c>
      <c r="H37" s="82">
        <f t="shared" si="14"/>
        <v>33.517951812421884</v>
      </c>
      <c r="I37" s="83">
        <f t="shared" si="4"/>
        <v>9280.4</v>
      </c>
      <c r="J37" s="84"/>
      <c r="K37" s="85">
        <f t="shared" si="7"/>
        <v>9280.4</v>
      </c>
      <c r="L37" s="83">
        <f t="shared" si="5"/>
        <v>3110.6</v>
      </c>
      <c r="M37" s="84"/>
      <c r="N37" s="85">
        <f t="shared" si="6"/>
        <v>3110.6</v>
      </c>
      <c r="O37" s="86">
        <f t="shared" si="2"/>
        <v>33.517951812421884</v>
      </c>
    </row>
    <row r="38" spans="1:15" ht="35.25" customHeight="1" x14ac:dyDescent="0.25">
      <c r="A38" s="87" t="s">
        <v>125</v>
      </c>
      <c r="B38" s="78" t="s">
        <v>133</v>
      </c>
      <c r="C38" s="79"/>
      <c r="D38" s="79"/>
      <c r="E38" s="79"/>
      <c r="F38" s="81">
        <v>11827</v>
      </c>
      <c r="G38" s="81">
        <v>4505</v>
      </c>
      <c r="H38" s="82">
        <f t="shared" si="14"/>
        <v>38.090809165468841</v>
      </c>
      <c r="I38" s="83">
        <f t="shared" si="4"/>
        <v>11827</v>
      </c>
      <c r="J38" s="84"/>
      <c r="K38" s="85">
        <f t="shared" si="7"/>
        <v>11827</v>
      </c>
      <c r="L38" s="83">
        <f t="shared" si="5"/>
        <v>4505</v>
      </c>
      <c r="M38" s="84"/>
      <c r="N38" s="85">
        <f t="shared" si="6"/>
        <v>4505</v>
      </c>
      <c r="O38" s="86">
        <f t="shared" si="2"/>
        <v>38.090809165468841</v>
      </c>
    </row>
    <row r="39" spans="1:15" ht="54" customHeight="1" x14ac:dyDescent="0.25">
      <c r="A39" s="87" t="s">
        <v>125</v>
      </c>
      <c r="B39" s="78" t="s">
        <v>134</v>
      </c>
      <c r="C39" s="79"/>
      <c r="D39" s="79"/>
      <c r="E39" s="80"/>
      <c r="F39" s="81">
        <v>32970.199999999997</v>
      </c>
      <c r="G39" s="81">
        <v>19975.8</v>
      </c>
      <c r="H39" s="82">
        <f t="shared" si="14"/>
        <v>60.58743956663897</v>
      </c>
      <c r="I39" s="83">
        <f t="shared" si="4"/>
        <v>32970.199999999997</v>
      </c>
      <c r="J39" s="84"/>
      <c r="K39" s="85">
        <f t="shared" si="7"/>
        <v>32970.199999999997</v>
      </c>
      <c r="L39" s="83">
        <f t="shared" si="5"/>
        <v>19975.8</v>
      </c>
      <c r="M39" s="84"/>
      <c r="N39" s="85">
        <f t="shared" si="6"/>
        <v>19975.8</v>
      </c>
      <c r="O39" s="86">
        <f t="shared" si="2"/>
        <v>60.58743956663897</v>
      </c>
    </row>
    <row r="40" spans="1:15" ht="20.25" customHeight="1" x14ac:dyDescent="0.25">
      <c r="A40" s="77" t="s">
        <v>135</v>
      </c>
      <c r="B40" s="78" t="s">
        <v>136</v>
      </c>
      <c r="C40" s="79">
        <v>5580.5</v>
      </c>
      <c r="D40" s="79">
        <v>3024.5</v>
      </c>
      <c r="E40" s="80">
        <f t="shared" si="11"/>
        <v>54.197652540094978</v>
      </c>
      <c r="F40" s="81">
        <v>5150.2</v>
      </c>
      <c r="G40" s="81">
        <v>3543</v>
      </c>
      <c r="H40" s="81">
        <f t="shared" si="14"/>
        <v>68.793444914760599</v>
      </c>
      <c r="I40" s="83">
        <f t="shared" si="4"/>
        <v>10730.7</v>
      </c>
      <c r="J40" s="84"/>
      <c r="K40" s="85">
        <f t="shared" si="7"/>
        <v>10730.7</v>
      </c>
      <c r="L40" s="83">
        <f t="shared" si="5"/>
        <v>6567.5</v>
      </c>
      <c r="M40" s="84"/>
      <c r="N40" s="85">
        <f t="shared" si="6"/>
        <v>6567.5</v>
      </c>
      <c r="O40" s="86">
        <f t="shared" si="2"/>
        <v>61.202903818017461</v>
      </c>
    </row>
    <row r="41" spans="1:15" ht="69.75" customHeight="1" x14ac:dyDescent="0.25">
      <c r="A41" s="77" t="s">
        <v>137</v>
      </c>
      <c r="B41" s="96" t="s">
        <v>138</v>
      </c>
      <c r="C41" s="79">
        <v>3412.7</v>
      </c>
      <c r="D41" s="79">
        <v>1550.9</v>
      </c>
      <c r="E41" s="79">
        <f t="shared" si="11"/>
        <v>45.444955606997397</v>
      </c>
      <c r="F41" s="81">
        <v>1235</v>
      </c>
      <c r="G41" s="81">
        <v>476.9</v>
      </c>
      <c r="H41" s="81">
        <f t="shared" si="14"/>
        <v>38.615384615384613</v>
      </c>
      <c r="I41" s="83">
        <f t="shared" si="4"/>
        <v>4647.7</v>
      </c>
      <c r="J41" s="84">
        <v>1235</v>
      </c>
      <c r="K41" s="85">
        <f t="shared" si="7"/>
        <v>3412.7</v>
      </c>
      <c r="L41" s="83">
        <f t="shared" si="5"/>
        <v>2027.8000000000002</v>
      </c>
      <c r="M41" s="84">
        <v>456.9</v>
      </c>
      <c r="N41" s="85">
        <f t="shared" si="6"/>
        <v>1570.9</v>
      </c>
      <c r="O41" s="86">
        <f t="shared" si="2"/>
        <v>46.031001846045662</v>
      </c>
    </row>
    <row r="42" spans="1:15" ht="52.5" customHeight="1" x14ac:dyDescent="0.25">
      <c r="A42" s="77" t="s">
        <v>137</v>
      </c>
      <c r="B42" s="96" t="s">
        <v>139</v>
      </c>
      <c r="C42" s="79">
        <v>13928.5</v>
      </c>
      <c r="D42" s="79">
        <v>900</v>
      </c>
      <c r="E42" s="79">
        <f t="shared" si="11"/>
        <v>6.4615715978030659</v>
      </c>
      <c r="F42" s="81"/>
      <c r="G42" s="81"/>
      <c r="H42" s="81"/>
      <c r="I42" s="83">
        <f t="shared" si="4"/>
        <v>13928.5</v>
      </c>
      <c r="J42" s="84"/>
      <c r="K42" s="85">
        <f t="shared" si="7"/>
        <v>13928.5</v>
      </c>
      <c r="L42" s="83">
        <f t="shared" si="5"/>
        <v>900</v>
      </c>
      <c r="M42" s="84"/>
      <c r="N42" s="85">
        <f t="shared" si="6"/>
        <v>900</v>
      </c>
      <c r="O42" s="86">
        <f t="shared" si="2"/>
        <v>6.4615715978030659</v>
      </c>
    </row>
    <row r="43" spans="1:15" ht="102.75" customHeight="1" x14ac:dyDescent="0.25">
      <c r="A43" s="77" t="s">
        <v>137</v>
      </c>
      <c r="B43" s="96" t="s">
        <v>140</v>
      </c>
      <c r="C43" s="79">
        <v>1123.4000000000001</v>
      </c>
      <c r="D43" s="81">
        <v>130</v>
      </c>
      <c r="E43" s="80">
        <f t="shared" si="11"/>
        <v>11.57201353035428</v>
      </c>
      <c r="F43" s="81">
        <v>0</v>
      </c>
      <c r="G43" s="81"/>
      <c r="H43" s="81">
        <v>0</v>
      </c>
      <c r="I43" s="83">
        <f t="shared" si="4"/>
        <v>1123.4000000000001</v>
      </c>
      <c r="J43" s="84"/>
      <c r="K43" s="85">
        <f t="shared" si="7"/>
        <v>1123.4000000000001</v>
      </c>
      <c r="L43" s="83">
        <f t="shared" si="5"/>
        <v>130</v>
      </c>
      <c r="M43" s="84"/>
      <c r="N43" s="85">
        <f t="shared" si="6"/>
        <v>130</v>
      </c>
      <c r="O43" s="86">
        <f t="shared" si="2"/>
        <v>11.57201353035428</v>
      </c>
    </row>
    <row r="44" spans="1:15" ht="120.75" customHeight="1" x14ac:dyDescent="0.25">
      <c r="A44" s="87" t="s">
        <v>137</v>
      </c>
      <c r="B44" s="96" t="s">
        <v>141</v>
      </c>
      <c r="C44" s="79">
        <f>4382.7+601.8+381.1</f>
        <v>5365.6</v>
      </c>
      <c r="D44" s="81">
        <v>4855.8</v>
      </c>
      <c r="E44" s="79">
        <f t="shared" si="11"/>
        <v>90.498732667362461</v>
      </c>
      <c r="F44" s="81"/>
      <c r="G44" s="81"/>
      <c r="H44" s="81"/>
      <c r="I44" s="83">
        <f t="shared" si="4"/>
        <v>5365.6</v>
      </c>
      <c r="J44" s="84"/>
      <c r="K44" s="85">
        <f t="shared" si="7"/>
        <v>5365.6</v>
      </c>
      <c r="L44" s="83">
        <f t="shared" si="5"/>
        <v>4855.8</v>
      </c>
      <c r="M44" s="84"/>
      <c r="N44" s="85">
        <f t="shared" si="6"/>
        <v>4855.8</v>
      </c>
      <c r="O44" s="86">
        <f t="shared" si="2"/>
        <v>90.498732667362461</v>
      </c>
    </row>
    <row r="45" spans="1:15" ht="50.25" customHeight="1" x14ac:dyDescent="0.25">
      <c r="A45" s="87" t="s">
        <v>137</v>
      </c>
      <c r="B45" s="96" t="s">
        <v>142</v>
      </c>
      <c r="C45" s="79">
        <v>1546.5</v>
      </c>
      <c r="D45" s="81">
        <v>1080.7</v>
      </c>
      <c r="E45" s="79">
        <f t="shared" si="11"/>
        <v>69.880375040413838</v>
      </c>
      <c r="F45" s="81">
        <v>0</v>
      </c>
      <c r="G45" s="81"/>
      <c r="H45" s="81">
        <v>0</v>
      </c>
      <c r="I45" s="83">
        <f t="shared" si="4"/>
        <v>1546.5</v>
      </c>
      <c r="J45" s="84"/>
      <c r="K45" s="85">
        <f t="shared" si="7"/>
        <v>1546.5</v>
      </c>
      <c r="L45" s="83">
        <f t="shared" si="5"/>
        <v>1080.7</v>
      </c>
      <c r="M45" s="84"/>
      <c r="N45" s="85">
        <f t="shared" si="6"/>
        <v>1080.7</v>
      </c>
      <c r="O45" s="86">
        <f t="shared" si="2"/>
        <v>69.880375040413838</v>
      </c>
    </row>
    <row r="46" spans="1:15" ht="83.25" customHeight="1" x14ac:dyDescent="0.25">
      <c r="A46" s="87" t="s">
        <v>137</v>
      </c>
      <c r="B46" s="96" t="s">
        <v>143</v>
      </c>
      <c r="C46" s="79">
        <v>3319.5</v>
      </c>
      <c r="D46" s="81">
        <v>3319.5</v>
      </c>
      <c r="E46" s="79">
        <f t="shared" si="11"/>
        <v>100</v>
      </c>
      <c r="F46" s="81"/>
      <c r="G46" s="81"/>
      <c r="H46" s="81"/>
      <c r="I46" s="83">
        <f t="shared" si="4"/>
        <v>3319.5</v>
      </c>
      <c r="J46" s="84"/>
      <c r="K46" s="85">
        <f t="shared" si="7"/>
        <v>3319.5</v>
      </c>
      <c r="L46" s="83">
        <f t="shared" si="5"/>
        <v>3319.5</v>
      </c>
      <c r="M46" s="84"/>
      <c r="N46" s="85">
        <f t="shared" si="6"/>
        <v>3319.5</v>
      </c>
      <c r="O46" s="86">
        <f t="shared" si="2"/>
        <v>100</v>
      </c>
    </row>
    <row r="47" spans="1:15" ht="80.25" customHeight="1" x14ac:dyDescent="0.25">
      <c r="A47" s="87" t="s">
        <v>137</v>
      </c>
      <c r="B47" s="96" t="s">
        <v>144</v>
      </c>
      <c r="C47" s="79">
        <v>1597.9</v>
      </c>
      <c r="D47" s="81">
        <v>8</v>
      </c>
      <c r="E47" s="79">
        <f t="shared" si="11"/>
        <v>0.5006571124601038</v>
      </c>
      <c r="F47" s="81"/>
      <c r="G47" s="81"/>
      <c r="H47" s="81"/>
      <c r="I47" s="83">
        <f t="shared" si="4"/>
        <v>1597.9</v>
      </c>
      <c r="J47" s="84"/>
      <c r="K47" s="85">
        <f t="shared" si="7"/>
        <v>1597.9</v>
      </c>
      <c r="L47" s="83">
        <f t="shared" si="5"/>
        <v>8</v>
      </c>
      <c r="M47" s="84"/>
      <c r="N47" s="85">
        <f t="shared" si="6"/>
        <v>8</v>
      </c>
      <c r="O47" s="86">
        <f t="shared" si="2"/>
        <v>0.5006571124601038</v>
      </c>
    </row>
    <row r="48" spans="1:15" ht="53.25" customHeight="1" x14ac:dyDescent="0.25">
      <c r="A48" s="87" t="s">
        <v>137</v>
      </c>
      <c r="B48" s="96" t="s">
        <v>145</v>
      </c>
      <c r="C48" s="79">
        <v>85</v>
      </c>
      <c r="D48" s="81">
        <v>37.700000000000003</v>
      </c>
      <c r="E48" s="79">
        <f>D48/C48*100</f>
        <v>44.352941176470587</v>
      </c>
      <c r="F48" s="81"/>
      <c r="G48" s="81"/>
      <c r="H48" s="81">
        <v>0</v>
      </c>
      <c r="I48" s="83">
        <f t="shared" si="4"/>
        <v>85</v>
      </c>
      <c r="J48" s="84"/>
      <c r="K48" s="85">
        <f t="shared" si="7"/>
        <v>85</v>
      </c>
      <c r="L48" s="83">
        <f t="shared" si="5"/>
        <v>37.700000000000003</v>
      </c>
      <c r="M48" s="84"/>
      <c r="N48" s="85">
        <f t="shared" si="6"/>
        <v>37.700000000000003</v>
      </c>
      <c r="O48" s="86">
        <f t="shared" si="2"/>
        <v>44.352941176470587</v>
      </c>
    </row>
    <row r="49" spans="1:15" ht="52.5" customHeight="1" x14ac:dyDescent="0.25">
      <c r="A49" s="87" t="s">
        <v>137</v>
      </c>
      <c r="B49" s="96" t="s">
        <v>146</v>
      </c>
      <c r="C49" s="79">
        <v>0</v>
      </c>
      <c r="D49" s="81">
        <v>0</v>
      </c>
      <c r="E49" s="79"/>
      <c r="F49" s="81">
        <v>480</v>
      </c>
      <c r="G49" s="81"/>
      <c r="H49" s="81">
        <v>0</v>
      </c>
      <c r="I49" s="83">
        <f t="shared" si="4"/>
        <v>480</v>
      </c>
      <c r="J49" s="84"/>
      <c r="K49" s="85">
        <f t="shared" si="7"/>
        <v>480</v>
      </c>
      <c r="L49" s="83">
        <f t="shared" si="5"/>
        <v>0</v>
      </c>
      <c r="M49" s="84"/>
      <c r="N49" s="85">
        <f t="shared" si="6"/>
        <v>0</v>
      </c>
      <c r="O49" s="86">
        <f t="shared" si="2"/>
        <v>0</v>
      </c>
    </row>
    <row r="50" spans="1:15" ht="27" customHeight="1" x14ac:dyDescent="0.25">
      <c r="A50" s="72" t="s">
        <v>147</v>
      </c>
      <c r="B50" s="73" t="s">
        <v>148</v>
      </c>
      <c r="C50" s="74">
        <f>SUM(C51:C89)</f>
        <v>870129</v>
      </c>
      <c r="D50" s="74">
        <f>SUM(D51:D89)</f>
        <v>202319.7</v>
      </c>
      <c r="E50" s="74">
        <f t="shared" si="11"/>
        <v>23.25169026661564</v>
      </c>
      <c r="F50" s="97">
        <f>SUM(F51:F89)</f>
        <v>279676.7</v>
      </c>
      <c r="G50" s="97">
        <f>SUM(G51:G89)</f>
        <v>114923.6</v>
      </c>
      <c r="H50" s="97">
        <f>G50/F50*100</f>
        <v>41.091588966832063</v>
      </c>
      <c r="I50" s="74">
        <f t="shared" ref="I50:N50" si="15">SUM(I51:I89)</f>
        <v>1149805.7</v>
      </c>
      <c r="J50" s="74">
        <f t="shared" si="15"/>
        <v>186004.90000000002</v>
      </c>
      <c r="K50" s="74">
        <f t="shared" si="15"/>
        <v>963800.79999999993</v>
      </c>
      <c r="L50" s="74">
        <f t="shared" si="15"/>
        <v>317243.3</v>
      </c>
      <c r="M50" s="74">
        <f t="shared" si="15"/>
        <v>57341.8</v>
      </c>
      <c r="N50" s="74">
        <f t="shared" si="15"/>
        <v>259901.5</v>
      </c>
      <c r="O50" s="76">
        <f t="shared" si="2"/>
        <v>26.966308805720026</v>
      </c>
    </row>
    <row r="51" spans="1:15" ht="99.75" customHeight="1" x14ac:dyDescent="0.25">
      <c r="A51" s="77" t="s">
        <v>149</v>
      </c>
      <c r="B51" s="78" t="s">
        <v>150</v>
      </c>
      <c r="C51" s="79">
        <v>452337.3</v>
      </c>
      <c r="D51" s="79">
        <v>52569.3</v>
      </c>
      <c r="E51" s="80">
        <f t="shared" si="11"/>
        <v>11.621703538487763</v>
      </c>
      <c r="F51" s="81">
        <v>0</v>
      </c>
      <c r="G51" s="81">
        <v>0</v>
      </c>
      <c r="H51" s="82">
        <v>0</v>
      </c>
      <c r="I51" s="83">
        <f t="shared" si="4"/>
        <v>452337.3</v>
      </c>
      <c r="J51" s="84"/>
      <c r="K51" s="85">
        <f t="shared" si="7"/>
        <v>452337.3</v>
      </c>
      <c r="L51" s="83">
        <f t="shared" si="5"/>
        <v>52569.3</v>
      </c>
      <c r="M51" s="84"/>
      <c r="N51" s="85">
        <f t="shared" si="6"/>
        <v>52569.3</v>
      </c>
      <c r="O51" s="86">
        <f t="shared" si="2"/>
        <v>11.621703538487763</v>
      </c>
    </row>
    <row r="52" spans="1:15" ht="66.75" customHeight="1" x14ac:dyDescent="0.25">
      <c r="A52" s="77" t="s">
        <v>149</v>
      </c>
      <c r="B52" s="78" t="s">
        <v>151</v>
      </c>
      <c r="C52" s="79">
        <v>1836</v>
      </c>
      <c r="D52" s="79">
        <v>968.6</v>
      </c>
      <c r="E52" s="80">
        <f t="shared" si="11"/>
        <v>52.755991285403049</v>
      </c>
      <c r="F52" s="81"/>
      <c r="G52" s="81"/>
      <c r="H52" s="82">
        <v>0</v>
      </c>
      <c r="I52" s="83">
        <f t="shared" si="4"/>
        <v>1836</v>
      </c>
      <c r="J52" s="84"/>
      <c r="K52" s="85">
        <f t="shared" si="7"/>
        <v>1836</v>
      </c>
      <c r="L52" s="83">
        <f t="shared" si="5"/>
        <v>968.6</v>
      </c>
      <c r="M52" s="84"/>
      <c r="N52" s="85">
        <f t="shared" si="6"/>
        <v>968.6</v>
      </c>
      <c r="O52" s="86">
        <f t="shared" si="2"/>
        <v>52.755991285403049</v>
      </c>
    </row>
    <row r="53" spans="1:15" ht="49.5" hidden="1" customHeight="1" x14ac:dyDescent="0.25">
      <c r="A53" s="77" t="s">
        <v>149</v>
      </c>
      <c r="B53" s="78" t="s">
        <v>152</v>
      </c>
      <c r="C53" s="79">
        <v>0</v>
      </c>
      <c r="D53" s="79">
        <v>0</v>
      </c>
      <c r="E53" s="80"/>
      <c r="F53" s="81"/>
      <c r="G53" s="81"/>
      <c r="H53" s="82">
        <v>0</v>
      </c>
      <c r="I53" s="83">
        <f t="shared" si="4"/>
        <v>0</v>
      </c>
      <c r="J53" s="84"/>
      <c r="K53" s="85">
        <f t="shared" si="7"/>
        <v>0</v>
      </c>
      <c r="L53" s="83">
        <f t="shared" si="5"/>
        <v>0</v>
      </c>
      <c r="M53" s="84"/>
      <c r="N53" s="85">
        <f t="shared" si="6"/>
        <v>0</v>
      </c>
      <c r="O53" s="86"/>
    </row>
    <row r="54" spans="1:15" ht="43.5" hidden="1" customHeight="1" x14ac:dyDescent="0.25">
      <c r="A54" s="77" t="s">
        <v>149</v>
      </c>
      <c r="B54" s="78" t="s">
        <v>153</v>
      </c>
      <c r="C54" s="79"/>
      <c r="D54" s="79"/>
      <c r="E54" s="80"/>
      <c r="F54" s="81"/>
      <c r="G54" s="81"/>
      <c r="H54" s="82">
        <v>0</v>
      </c>
      <c r="I54" s="83">
        <f t="shared" si="4"/>
        <v>0</v>
      </c>
      <c r="J54" s="84"/>
      <c r="K54" s="85">
        <f t="shared" si="7"/>
        <v>0</v>
      </c>
      <c r="L54" s="83">
        <f t="shared" si="5"/>
        <v>0</v>
      </c>
      <c r="M54" s="84"/>
      <c r="N54" s="85">
        <f t="shared" si="6"/>
        <v>0</v>
      </c>
      <c r="O54" s="86"/>
    </row>
    <row r="55" spans="1:15" ht="66.75" hidden="1" customHeight="1" x14ac:dyDescent="0.25">
      <c r="A55" s="77" t="s">
        <v>149</v>
      </c>
      <c r="B55" s="78" t="s">
        <v>154</v>
      </c>
      <c r="C55" s="79"/>
      <c r="D55" s="79"/>
      <c r="E55" s="80"/>
      <c r="F55" s="81"/>
      <c r="G55" s="81"/>
      <c r="H55" s="82">
        <v>0</v>
      </c>
      <c r="I55" s="83">
        <f t="shared" si="4"/>
        <v>0</v>
      </c>
      <c r="J55" s="84"/>
      <c r="K55" s="85">
        <f t="shared" si="7"/>
        <v>0</v>
      </c>
      <c r="L55" s="83">
        <f t="shared" si="5"/>
        <v>0</v>
      </c>
      <c r="M55" s="84"/>
      <c r="N55" s="85">
        <f t="shared" si="6"/>
        <v>0</v>
      </c>
      <c r="O55" s="86"/>
    </row>
    <row r="56" spans="1:15" ht="123.75" customHeight="1" x14ac:dyDescent="0.25">
      <c r="A56" s="77" t="s">
        <v>149</v>
      </c>
      <c r="B56" s="78" t="s">
        <v>155</v>
      </c>
      <c r="C56" s="79">
        <v>51343.6</v>
      </c>
      <c r="D56" s="79">
        <v>22738.2</v>
      </c>
      <c r="E56" s="80">
        <f t="shared" si="11"/>
        <v>44.286337537687274</v>
      </c>
      <c r="F56" s="81"/>
      <c r="G56" s="81"/>
      <c r="H56" s="82">
        <v>0</v>
      </c>
      <c r="I56" s="83">
        <f t="shared" si="4"/>
        <v>51343.6</v>
      </c>
      <c r="J56" s="84"/>
      <c r="K56" s="85">
        <f t="shared" si="7"/>
        <v>51343.6</v>
      </c>
      <c r="L56" s="83">
        <f t="shared" si="5"/>
        <v>22738.2</v>
      </c>
      <c r="M56" s="84"/>
      <c r="N56" s="85">
        <f t="shared" si="6"/>
        <v>22738.2</v>
      </c>
      <c r="O56" s="86">
        <f t="shared" si="2"/>
        <v>44.286337537687274</v>
      </c>
    </row>
    <row r="57" spans="1:15" ht="111.75" customHeight="1" x14ac:dyDescent="0.25">
      <c r="A57" s="77" t="s">
        <v>149</v>
      </c>
      <c r="B57" s="78" t="s">
        <v>156</v>
      </c>
      <c r="C57" s="79">
        <v>6355.3</v>
      </c>
      <c r="D57" s="79">
        <v>2938.3</v>
      </c>
      <c r="E57" s="80">
        <f t="shared" si="11"/>
        <v>46.233852060484956</v>
      </c>
      <c r="F57" s="81"/>
      <c r="G57" s="81"/>
      <c r="H57" s="82">
        <v>0</v>
      </c>
      <c r="I57" s="83">
        <f t="shared" si="4"/>
        <v>6355.3</v>
      </c>
      <c r="J57" s="84"/>
      <c r="K57" s="85">
        <f t="shared" si="7"/>
        <v>6355.3</v>
      </c>
      <c r="L57" s="83">
        <f t="shared" si="5"/>
        <v>2938.3</v>
      </c>
      <c r="M57" s="84"/>
      <c r="N57" s="85">
        <f t="shared" si="6"/>
        <v>2938.3</v>
      </c>
      <c r="O57" s="86">
        <f t="shared" si="2"/>
        <v>46.233852060484956</v>
      </c>
    </row>
    <row r="58" spans="1:15" ht="146.25" customHeight="1" x14ac:dyDescent="0.25">
      <c r="A58" s="77" t="s">
        <v>149</v>
      </c>
      <c r="B58" s="78" t="s">
        <v>157</v>
      </c>
      <c r="C58" s="79">
        <v>33091</v>
      </c>
      <c r="D58" s="79">
        <v>14537.5</v>
      </c>
      <c r="E58" s="80">
        <f t="shared" si="11"/>
        <v>43.931884802514276</v>
      </c>
      <c r="F58" s="81"/>
      <c r="G58" s="81"/>
      <c r="H58" s="82">
        <v>0</v>
      </c>
      <c r="I58" s="83">
        <f t="shared" si="4"/>
        <v>33091</v>
      </c>
      <c r="J58" s="84"/>
      <c r="K58" s="85">
        <f t="shared" si="7"/>
        <v>33091</v>
      </c>
      <c r="L58" s="83">
        <f t="shared" si="5"/>
        <v>14537.5</v>
      </c>
      <c r="M58" s="84"/>
      <c r="N58" s="85">
        <f t="shared" si="6"/>
        <v>14537.5</v>
      </c>
      <c r="O58" s="86">
        <f t="shared" si="2"/>
        <v>43.931884802514276</v>
      </c>
    </row>
    <row r="59" spans="1:15" ht="72.75" customHeight="1" x14ac:dyDescent="0.25">
      <c r="A59" s="77" t="s">
        <v>149</v>
      </c>
      <c r="B59" s="78" t="s">
        <v>158</v>
      </c>
      <c r="C59" s="79"/>
      <c r="D59" s="79"/>
      <c r="E59" s="80"/>
      <c r="F59" s="81">
        <v>100</v>
      </c>
      <c r="G59" s="81">
        <v>100</v>
      </c>
      <c r="H59" s="82">
        <f>G59/F59*100</f>
        <v>100</v>
      </c>
      <c r="I59" s="83">
        <f t="shared" si="4"/>
        <v>100</v>
      </c>
      <c r="J59" s="84"/>
      <c r="K59" s="85">
        <f t="shared" si="7"/>
        <v>100</v>
      </c>
      <c r="L59" s="83">
        <f t="shared" si="5"/>
        <v>100</v>
      </c>
      <c r="M59" s="84"/>
      <c r="N59" s="85">
        <f t="shared" si="6"/>
        <v>100</v>
      </c>
      <c r="O59" s="86">
        <f t="shared" si="2"/>
        <v>100</v>
      </c>
    </row>
    <row r="60" spans="1:15" ht="63.75" customHeight="1" x14ac:dyDescent="0.25">
      <c r="A60" s="87" t="s">
        <v>149</v>
      </c>
      <c r="B60" s="78" t="s">
        <v>159</v>
      </c>
      <c r="C60" s="79">
        <v>29316</v>
      </c>
      <c r="D60" s="79">
        <v>7285.7</v>
      </c>
      <c r="E60" s="80">
        <f t="shared" si="11"/>
        <v>24.852299085823439</v>
      </c>
      <c r="F60" s="81">
        <v>31070.5</v>
      </c>
      <c r="G60" s="81">
        <v>5370.3</v>
      </c>
      <c r="H60" s="82">
        <f>G60/F60*100</f>
        <v>17.284240678457056</v>
      </c>
      <c r="I60" s="83">
        <f t="shared" si="4"/>
        <v>60386.5</v>
      </c>
      <c r="J60" s="84">
        <v>21958.7</v>
      </c>
      <c r="K60" s="85">
        <f t="shared" si="7"/>
        <v>38427.800000000003</v>
      </c>
      <c r="L60" s="83">
        <f t="shared" si="5"/>
        <v>12656</v>
      </c>
      <c r="M60" s="84">
        <v>1279.2</v>
      </c>
      <c r="N60" s="85">
        <f t="shared" si="6"/>
        <v>11376.8</v>
      </c>
      <c r="O60" s="86">
        <f t="shared" si="2"/>
        <v>29.605650076246881</v>
      </c>
    </row>
    <row r="61" spans="1:15" ht="186" customHeight="1" x14ac:dyDescent="0.25">
      <c r="A61" s="94" t="s">
        <v>160</v>
      </c>
      <c r="B61" s="78" t="s">
        <v>161</v>
      </c>
      <c r="C61" s="79">
        <v>25501.9</v>
      </c>
      <c r="D61" s="79">
        <v>24760.9</v>
      </c>
      <c r="E61" s="80">
        <f t="shared" si="11"/>
        <v>97.094334147651736</v>
      </c>
      <c r="F61" s="81"/>
      <c r="G61" s="81"/>
      <c r="H61" s="82" t="e">
        <f>G61/F61*100</f>
        <v>#DIV/0!</v>
      </c>
      <c r="I61" s="83">
        <f t="shared" si="4"/>
        <v>25501.9</v>
      </c>
      <c r="J61" s="84"/>
      <c r="K61" s="85">
        <f t="shared" si="7"/>
        <v>25501.9</v>
      </c>
      <c r="L61" s="83">
        <f t="shared" si="5"/>
        <v>24760.9</v>
      </c>
      <c r="M61" s="84"/>
      <c r="N61" s="85">
        <f t="shared" si="6"/>
        <v>24760.9</v>
      </c>
      <c r="O61" s="86">
        <f t="shared" si="2"/>
        <v>97.094334147651736</v>
      </c>
    </row>
    <row r="62" spans="1:15" ht="174" customHeight="1" x14ac:dyDescent="0.25">
      <c r="A62" s="77" t="s">
        <v>160</v>
      </c>
      <c r="B62" s="78" t="s">
        <v>162</v>
      </c>
      <c r="C62" s="79">
        <v>14898</v>
      </c>
      <c r="D62" s="79">
        <v>14898</v>
      </c>
      <c r="E62" s="80">
        <f t="shared" si="11"/>
        <v>100</v>
      </c>
      <c r="F62" s="81">
        <v>9300</v>
      </c>
      <c r="G62" s="81">
        <v>9300</v>
      </c>
      <c r="H62" s="82">
        <f t="shared" ref="H62" si="16">G62/F62*100</f>
        <v>100</v>
      </c>
      <c r="I62" s="83">
        <f t="shared" si="4"/>
        <v>24198</v>
      </c>
      <c r="J62" s="84">
        <v>9300</v>
      </c>
      <c r="K62" s="85">
        <f t="shared" si="7"/>
        <v>14898</v>
      </c>
      <c r="L62" s="83">
        <f t="shared" si="5"/>
        <v>24198</v>
      </c>
      <c r="M62" s="84">
        <v>9300</v>
      </c>
      <c r="N62" s="85">
        <f t="shared" si="6"/>
        <v>14898</v>
      </c>
      <c r="O62" s="86">
        <f t="shared" si="2"/>
        <v>100</v>
      </c>
    </row>
    <row r="63" spans="1:15" ht="146.25" customHeight="1" x14ac:dyDescent="0.25">
      <c r="A63" s="87" t="s">
        <v>160</v>
      </c>
      <c r="B63" s="78" t="s">
        <v>163</v>
      </c>
      <c r="C63" s="79">
        <v>2186.3000000000002</v>
      </c>
      <c r="D63" s="79">
        <v>1630.2</v>
      </c>
      <c r="E63" s="80">
        <f t="shared" si="11"/>
        <v>74.564332433792245</v>
      </c>
      <c r="F63" s="81"/>
      <c r="G63" s="81"/>
      <c r="H63" s="82"/>
      <c r="I63" s="83">
        <f t="shared" si="4"/>
        <v>2186.3000000000002</v>
      </c>
      <c r="J63" s="84"/>
      <c r="K63" s="85">
        <f t="shared" si="7"/>
        <v>2186.3000000000002</v>
      </c>
      <c r="L63" s="83">
        <f t="shared" si="5"/>
        <v>1630.2</v>
      </c>
      <c r="M63" s="84"/>
      <c r="N63" s="85">
        <f t="shared" si="6"/>
        <v>1630.2</v>
      </c>
      <c r="O63" s="86">
        <f t="shared" si="2"/>
        <v>74.564332433792245</v>
      </c>
    </row>
    <row r="64" spans="1:15" ht="152.25" customHeight="1" x14ac:dyDescent="0.25">
      <c r="A64" s="87" t="s">
        <v>160</v>
      </c>
      <c r="B64" s="78" t="s">
        <v>164</v>
      </c>
      <c r="C64" s="79">
        <v>6728.9</v>
      </c>
      <c r="D64" s="79">
        <v>2445.3000000000002</v>
      </c>
      <c r="E64" s="80">
        <f t="shared" si="11"/>
        <v>36.340263638930587</v>
      </c>
      <c r="F64" s="81"/>
      <c r="G64" s="81"/>
      <c r="H64" s="82"/>
      <c r="I64" s="83">
        <f t="shared" si="4"/>
        <v>6728.9</v>
      </c>
      <c r="J64" s="84"/>
      <c r="K64" s="85">
        <f t="shared" si="7"/>
        <v>6728.9</v>
      </c>
      <c r="L64" s="83">
        <f t="shared" si="5"/>
        <v>2445.3000000000002</v>
      </c>
      <c r="M64" s="84"/>
      <c r="N64" s="85">
        <f t="shared" si="6"/>
        <v>2445.3000000000002</v>
      </c>
      <c r="O64" s="86">
        <f t="shared" si="2"/>
        <v>36.340263638930587</v>
      </c>
    </row>
    <row r="65" spans="1:15" ht="213" customHeight="1" x14ac:dyDescent="0.25">
      <c r="A65" s="77" t="s">
        <v>160</v>
      </c>
      <c r="B65" s="98" t="s">
        <v>165</v>
      </c>
      <c r="C65" s="79">
        <v>28857</v>
      </c>
      <c r="D65" s="79">
        <v>16907.2</v>
      </c>
      <c r="E65" s="80">
        <f>D65/C65*100</f>
        <v>58.589596978202863</v>
      </c>
      <c r="F65" s="81"/>
      <c r="G65" s="81"/>
      <c r="H65" s="82"/>
      <c r="I65" s="83">
        <f t="shared" si="4"/>
        <v>28857</v>
      </c>
      <c r="J65" s="84"/>
      <c r="K65" s="85">
        <f t="shared" si="7"/>
        <v>28857</v>
      </c>
      <c r="L65" s="83">
        <f t="shared" si="5"/>
        <v>16907.2</v>
      </c>
      <c r="M65" s="84"/>
      <c r="N65" s="85">
        <f t="shared" si="6"/>
        <v>16907.2</v>
      </c>
      <c r="O65" s="86">
        <f>N65/K65*100</f>
        <v>58.589596978202863</v>
      </c>
    </row>
    <row r="66" spans="1:15" ht="219" customHeight="1" x14ac:dyDescent="0.25">
      <c r="A66" s="87" t="s">
        <v>160</v>
      </c>
      <c r="B66" s="96" t="s">
        <v>166</v>
      </c>
      <c r="C66" s="79">
        <v>115186.3</v>
      </c>
      <c r="D66" s="79">
        <v>8934.2000000000007</v>
      </c>
      <c r="E66" s="80">
        <f t="shared" ref="E66:E73" si="17">D66/C66*100</f>
        <v>7.7563043521668815</v>
      </c>
      <c r="F66" s="81">
        <v>45183.4</v>
      </c>
      <c r="G66" s="81">
        <v>6779.1</v>
      </c>
      <c r="H66" s="82">
        <f>G66/F66*100</f>
        <v>15.003518991488024</v>
      </c>
      <c r="I66" s="83">
        <f t="shared" si="4"/>
        <v>160369.70000000001</v>
      </c>
      <c r="J66" s="84">
        <f>54483.4-9300</f>
        <v>45183.4</v>
      </c>
      <c r="K66" s="85">
        <f t="shared" si="7"/>
        <v>115186.30000000002</v>
      </c>
      <c r="L66" s="83">
        <f>D66+G66</f>
        <v>15713.300000000001</v>
      </c>
      <c r="M66" s="84">
        <v>6779.1</v>
      </c>
      <c r="N66" s="85">
        <f>L66-M66</f>
        <v>8934.2000000000007</v>
      </c>
      <c r="O66" s="86">
        <f t="shared" si="2"/>
        <v>7.7563043521668806</v>
      </c>
    </row>
    <row r="67" spans="1:15" ht="90.75" hidden="1" customHeight="1" x14ac:dyDescent="0.25">
      <c r="A67" s="87" t="s">
        <v>160</v>
      </c>
      <c r="B67" s="96" t="s">
        <v>167</v>
      </c>
      <c r="C67" s="79"/>
      <c r="D67" s="79"/>
      <c r="E67" s="80"/>
      <c r="F67" s="81"/>
      <c r="G67" s="81"/>
      <c r="H67" s="82"/>
      <c r="I67" s="83">
        <f t="shared" si="4"/>
        <v>0</v>
      </c>
      <c r="J67" s="84"/>
      <c r="K67" s="85">
        <f t="shared" si="7"/>
        <v>0</v>
      </c>
      <c r="L67" s="83">
        <f t="shared" si="5"/>
        <v>0</v>
      </c>
      <c r="M67" s="84"/>
      <c r="N67" s="85">
        <f t="shared" si="6"/>
        <v>0</v>
      </c>
      <c r="O67" s="86"/>
    </row>
    <row r="68" spans="1:15" ht="51" hidden="1" customHeight="1" x14ac:dyDescent="0.25">
      <c r="A68" s="87" t="s">
        <v>160</v>
      </c>
      <c r="B68" s="96" t="s">
        <v>168</v>
      </c>
      <c r="C68" s="79"/>
      <c r="D68" s="79"/>
      <c r="E68" s="80"/>
      <c r="F68" s="81"/>
      <c r="G68" s="81"/>
      <c r="H68" s="82"/>
      <c r="I68" s="83">
        <f t="shared" si="4"/>
        <v>0</v>
      </c>
      <c r="J68" s="84"/>
      <c r="K68" s="85">
        <f t="shared" si="7"/>
        <v>0</v>
      </c>
      <c r="L68" s="83">
        <f t="shared" si="5"/>
        <v>0</v>
      </c>
      <c r="M68" s="84"/>
      <c r="N68" s="85">
        <f t="shared" si="6"/>
        <v>0</v>
      </c>
      <c r="O68" s="86"/>
    </row>
    <row r="69" spans="1:15" ht="83.25" customHeight="1" x14ac:dyDescent="0.25">
      <c r="A69" s="87" t="s">
        <v>160</v>
      </c>
      <c r="B69" s="96" t="s">
        <v>169</v>
      </c>
      <c r="C69" s="79"/>
      <c r="D69" s="79"/>
      <c r="E69" s="80"/>
      <c r="F69" s="81">
        <v>50</v>
      </c>
      <c r="G69" s="81">
        <v>50</v>
      </c>
      <c r="H69" s="82">
        <f>G69/F69*100</f>
        <v>100</v>
      </c>
      <c r="I69" s="83">
        <f t="shared" si="4"/>
        <v>50</v>
      </c>
      <c r="J69" s="84"/>
      <c r="K69" s="85">
        <f t="shared" si="7"/>
        <v>50</v>
      </c>
      <c r="L69" s="83">
        <f t="shared" si="5"/>
        <v>50</v>
      </c>
      <c r="M69" s="84"/>
      <c r="N69" s="85">
        <f t="shared" si="6"/>
        <v>50</v>
      </c>
      <c r="O69" s="86">
        <f>N69/K69*100</f>
        <v>100</v>
      </c>
    </row>
    <row r="70" spans="1:15" ht="96" hidden="1" customHeight="1" x14ac:dyDescent="0.25">
      <c r="A70" s="87" t="s">
        <v>160</v>
      </c>
      <c r="B70" s="96" t="s">
        <v>170</v>
      </c>
      <c r="C70" s="79"/>
      <c r="D70" s="79"/>
      <c r="E70" s="80"/>
      <c r="F70" s="81"/>
      <c r="G70" s="81"/>
      <c r="H70" s="82"/>
      <c r="I70" s="83">
        <f t="shared" si="4"/>
        <v>0</v>
      </c>
      <c r="J70" s="84"/>
      <c r="K70" s="85">
        <f t="shared" si="7"/>
        <v>0</v>
      </c>
      <c r="L70" s="83">
        <f t="shared" si="5"/>
        <v>0</v>
      </c>
      <c r="M70" s="84"/>
      <c r="N70" s="85">
        <f t="shared" si="6"/>
        <v>0</v>
      </c>
      <c r="O70" s="86"/>
    </row>
    <row r="71" spans="1:15" ht="87" customHeight="1" x14ac:dyDescent="0.25">
      <c r="A71" s="87" t="s">
        <v>160</v>
      </c>
      <c r="B71" s="96" t="s">
        <v>171</v>
      </c>
      <c r="C71" s="79"/>
      <c r="D71" s="79"/>
      <c r="E71" s="80"/>
      <c r="F71" s="81">
        <v>7719.7</v>
      </c>
      <c r="G71" s="81">
        <v>6446.5</v>
      </c>
      <c r="H71" s="82">
        <f>G71/F71*100</f>
        <v>83.507131106131069</v>
      </c>
      <c r="I71" s="83">
        <f t="shared" si="4"/>
        <v>7719.7</v>
      </c>
      <c r="J71" s="84"/>
      <c r="K71" s="85">
        <f t="shared" si="7"/>
        <v>7719.7</v>
      </c>
      <c r="L71" s="83">
        <f t="shared" si="5"/>
        <v>6446.5</v>
      </c>
      <c r="M71" s="84"/>
      <c r="N71" s="85">
        <f t="shared" si="6"/>
        <v>6446.5</v>
      </c>
      <c r="O71" s="99">
        <f t="shared" si="2"/>
        <v>83.507131106131069</v>
      </c>
    </row>
    <row r="72" spans="1:15" ht="16.5" customHeight="1" x14ac:dyDescent="0.25">
      <c r="A72" s="87" t="s">
        <v>160</v>
      </c>
      <c r="B72" s="96" t="s">
        <v>172</v>
      </c>
      <c r="C72" s="79"/>
      <c r="D72" s="79"/>
      <c r="E72" s="80"/>
      <c r="F72" s="81">
        <v>26065.3</v>
      </c>
      <c r="G72" s="81">
        <v>13722</v>
      </c>
      <c r="H72" s="82">
        <f>G72/F72*100</f>
        <v>52.64470387833633</v>
      </c>
      <c r="I72" s="83">
        <f t="shared" si="4"/>
        <v>26065.3</v>
      </c>
      <c r="J72" s="84"/>
      <c r="K72" s="85">
        <f t="shared" si="7"/>
        <v>26065.3</v>
      </c>
      <c r="L72" s="83">
        <f t="shared" si="5"/>
        <v>13722</v>
      </c>
      <c r="M72" s="84"/>
      <c r="N72" s="85">
        <f t="shared" si="6"/>
        <v>13722</v>
      </c>
      <c r="O72" s="86">
        <f t="shared" si="2"/>
        <v>52.64470387833633</v>
      </c>
    </row>
    <row r="73" spans="1:15" ht="48.75" customHeight="1" x14ac:dyDescent="0.25">
      <c r="A73" s="87" t="s">
        <v>160</v>
      </c>
      <c r="B73" s="96" t="s">
        <v>173</v>
      </c>
      <c r="C73" s="79">
        <v>9480</v>
      </c>
      <c r="D73" s="79"/>
      <c r="E73" s="80">
        <f t="shared" si="17"/>
        <v>0</v>
      </c>
      <c r="F73" s="81"/>
      <c r="G73" s="81"/>
      <c r="H73" s="82"/>
      <c r="I73" s="83">
        <f t="shared" si="4"/>
        <v>9480</v>
      </c>
      <c r="J73" s="84"/>
      <c r="K73" s="85">
        <f t="shared" si="7"/>
        <v>9480</v>
      </c>
      <c r="L73" s="83">
        <f t="shared" si="5"/>
        <v>0</v>
      </c>
      <c r="M73" s="84"/>
      <c r="N73" s="85">
        <f t="shared" si="6"/>
        <v>0</v>
      </c>
      <c r="O73" s="86">
        <f t="shared" si="2"/>
        <v>0</v>
      </c>
    </row>
    <row r="74" spans="1:15" ht="110.25" customHeight="1" x14ac:dyDescent="0.25">
      <c r="A74" s="87" t="s">
        <v>160</v>
      </c>
      <c r="B74" s="96" t="s">
        <v>174</v>
      </c>
      <c r="C74" s="79"/>
      <c r="D74" s="79"/>
      <c r="E74" s="80"/>
      <c r="F74" s="81">
        <v>16598</v>
      </c>
      <c r="G74" s="81">
        <v>8299</v>
      </c>
      <c r="H74" s="82">
        <f>G74/F74*100</f>
        <v>50</v>
      </c>
      <c r="I74" s="83">
        <f t="shared" si="4"/>
        <v>16598</v>
      </c>
      <c r="J74" s="84">
        <v>16598</v>
      </c>
      <c r="K74" s="85">
        <f>I74-J74</f>
        <v>0</v>
      </c>
      <c r="L74" s="83">
        <f t="shared" si="5"/>
        <v>8299</v>
      </c>
      <c r="M74" s="84">
        <v>8299</v>
      </c>
      <c r="N74" s="85">
        <f t="shared" si="6"/>
        <v>0</v>
      </c>
      <c r="O74" s="86"/>
    </row>
    <row r="75" spans="1:15" ht="92.25" hidden="1" customHeight="1" x14ac:dyDescent="0.25">
      <c r="A75" s="87" t="s">
        <v>175</v>
      </c>
      <c r="B75" s="78" t="s">
        <v>176</v>
      </c>
      <c r="C75" s="79"/>
      <c r="D75" s="79"/>
      <c r="E75" s="80"/>
      <c r="F75" s="79"/>
      <c r="G75" s="81"/>
      <c r="H75" s="82"/>
      <c r="I75" s="83">
        <f t="shared" si="4"/>
        <v>0</v>
      </c>
      <c r="J75" s="84"/>
      <c r="K75" s="85">
        <f t="shared" si="7"/>
        <v>0</v>
      </c>
      <c r="L75" s="83">
        <f t="shared" si="5"/>
        <v>0</v>
      </c>
      <c r="M75" s="84"/>
      <c r="N75" s="85">
        <f t="shared" si="6"/>
        <v>0</v>
      </c>
      <c r="O75" s="86"/>
    </row>
    <row r="76" spans="1:15" ht="106.5" customHeight="1" x14ac:dyDescent="0.25">
      <c r="A76" s="87" t="s">
        <v>175</v>
      </c>
      <c r="B76" s="78" t="s">
        <v>177</v>
      </c>
      <c r="C76" s="79">
        <v>1250.7</v>
      </c>
      <c r="D76" s="79">
        <v>25</v>
      </c>
      <c r="E76" s="80">
        <f t="shared" si="11"/>
        <v>1.9988806268489645</v>
      </c>
      <c r="F76" s="79">
        <v>1250.7</v>
      </c>
      <c r="G76" s="81">
        <v>25</v>
      </c>
      <c r="H76" s="82">
        <f>G76/F76*100</f>
        <v>1.9988806268489645</v>
      </c>
      <c r="I76" s="83">
        <f t="shared" ref="I76:I132" si="18">C76+F76</f>
        <v>2501.4</v>
      </c>
      <c r="J76" s="84">
        <v>1250.7</v>
      </c>
      <c r="K76" s="85">
        <f t="shared" si="7"/>
        <v>1250.7</v>
      </c>
      <c r="L76" s="83">
        <f t="shared" ref="L76:L132" si="19">D76+G76</f>
        <v>50</v>
      </c>
      <c r="M76" s="84">
        <v>25</v>
      </c>
      <c r="N76" s="85">
        <f t="shared" ref="N76:N132" si="20">L76-M76</f>
        <v>25</v>
      </c>
      <c r="O76" s="86">
        <f t="shared" si="2"/>
        <v>1.9988806268489645</v>
      </c>
    </row>
    <row r="77" spans="1:15" ht="65.25" hidden="1" customHeight="1" x14ac:dyDescent="0.25">
      <c r="A77" s="87" t="s">
        <v>175</v>
      </c>
      <c r="B77" s="78" t="s">
        <v>178</v>
      </c>
      <c r="C77" s="79"/>
      <c r="D77" s="79"/>
      <c r="E77" s="80"/>
      <c r="F77" s="79"/>
      <c r="G77" s="81"/>
      <c r="H77" s="82"/>
      <c r="I77" s="83">
        <f t="shared" si="18"/>
        <v>0</v>
      </c>
      <c r="J77" s="84"/>
      <c r="K77" s="85">
        <f t="shared" si="7"/>
        <v>0</v>
      </c>
      <c r="L77" s="83">
        <f t="shared" si="19"/>
        <v>0</v>
      </c>
      <c r="M77" s="84"/>
      <c r="N77" s="85">
        <f t="shared" si="20"/>
        <v>0</v>
      </c>
      <c r="O77" s="86"/>
    </row>
    <row r="78" spans="1:15" ht="75.75" hidden="1" customHeight="1" x14ac:dyDescent="0.25">
      <c r="A78" s="87" t="s">
        <v>175</v>
      </c>
      <c r="B78" s="78" t="s">
        <v>179</v>
      </c>
      <c r="C78" s="79"/>
      <c r="D78" s="79"/>
      <c r="E78" s="80"/>
      <c r="F78" s="79"/>
      <c r="G78" s="81"/>
      <c r="H78" s="82"/>
      <c r="I78" s="83">
        <f t="shared" si="18"/>
        <v>0</v>
      </c>
      <c r="J78" s="84"/>
      <c r="K78" s="85">
        <f t="shared" ref="K78:K132" si="21">I78-J78</f>
        <v>0</v>
      </c>
      <c r="L78" s="83">
        <f t="shared" si="19"/>
        <v>0</v>
      </c>
      <c r="M78" s="84"/>
      <c r="N78" s="85">
        <f t="shared" si="20"/>
        <v>0</v>
      </c>
      <c r="O78" s="86"/>
    </row>
    <row r="79" spans="1:15" ht="85.5" customHeight="1" x14ac:dyDescent="0.25">
      <c r="A79" s="87" t="s">
        <v>175</v>
      </c>
      <c r="B79" s="78" t="s">
        <v>180</v>
      </c>
      <c r="C79" s="79">
        <v>77861.100000000006</v>
      </c>
      <c r="D79" s="79">
        <v>31190.3</v>
      </c>
      <c r="E79" s="80">
        <f t="shared" si="11"/>
        <v>40.058899758672808</v>
      </c>
      <c r="F79" s="79">
        <v>77861.2</v>
      </c>
      <c r="G79" s="81">
        <v>31190.400000000001</v>
      </c>
      <c r="H79" s="82">
        <f>G79/F79*100</f>
        <v>40.058976743230261</v>
      </c>
      <c r="I79" s="83">
        <f t="shared" si="18"/>
        <v>155722.29999999999</v>
      </c>
      <c r="J79" s="84">
        <v>77861.100000000006</v>
      </c>
      <c r="K79" s="85">
        <f t="shared" si="21"/>
        <v>77861.199999999983</v>
      </c>
      <c r="L79" s="83">
        <f t="shared" si="19"/>
        <v>62380.7</v>
      </c>
      <c r="M79" s="84">
        <v>31190.400000000001</v>
      </c>
      <c r="N79" s="85">
        <f>L79-M79</f>
        <v>31190.299999999996</v>
      </c>
      <c r="O79" s="86">
        <f t="shared" si="2"/>
        <v>40.058848309555984</v>
      </c>
    </row>
    <row r="80" spans="1:15" ht="48" customHeight="1" x14ac:dyDescent="0.25">
      <c r="A80" s="100" t="s">
        <v>175</v>
      </c>
      <c r="B80" s="101" t="s">
        <v>181</v>
      </c>
      <c r="C80" s="79"/>
      <c r="D80" s="79"/>
      <c r="E80" s="80"/>
      <c r="F80" s="79">
        <v>2000</v>
      </c>
      <c r="G80" s="81"/>
      <c r="H80" s="82">
        <f>G80/F80*100</f>
        <v>0</v>
      </c>
      <c r="I80" s="83">
        <f t="shared" si="18"/>
        <v>2000</v>
      </c>
      <c r="J80" s="84"/>
      <c r="K80" s="85">
        <f t="shared" si="21"/>
        <v>2000</v>
      </c>
      <c r="L80" s="83">
        <f t="shared" si="19"/>
        <v>0</v>
      </c>
      <c r="M80" s="84"/>
      <c r="N80" s="85">
        <f t="shared" si="20"/>
        <v>0</v>
      </c>
      <c r="O80" s="86">
        <f t="shared" si="2"/>
        <v>0</v>
      </c>
    </row>
    <row r="81" spans="1:15" ht="73.5" hidden="1" customHeight="1" x14ac:dyDescent="0.25">
      <c r="A81" s="87" t="s">
        <v>175</v>
      </c>
      <c r="B81" s="78" t="s">
        <v>182</v>
      </c>
      <c r="C81" s="79"/>
      <c r="D81" s="79"/>
      <c r="E81" s="80"/>
      <c r="F81" s="79"/>
      <c r="G81" s="81"/>
      <c r="H81" s="82"/>
      <c r="I81" s="83">
        <f t="shared" si="18"/>
        <v>0</v>
      </c>
      <c r="J81" s="84"/>
      <c r="K81" s="85">
        <f t="shared" si="21"/>
        <v>0</v>
      </c>
      <c r="L81" s="83">
        <f t="shared" si="19"/>
        <v>0</v>
      </c>
      <c r="M81" s="84"/>
      <c r="N81" s="85">
        <f t="shared" si="20"/>
        <v>0</v>
      </c>
      <c r="O81" s="86"/>
    </row>
    <row r="82" spans="1:15" ht="66.75" customHeight="1" x14ac:dyDescent="0.25">
      <c r="A82" s="87" t="s">
        <v>175</v>
      </c>
      <c r="B82" s="78" t="s">
        <v>183</v>
      </c>
      <c r="C82" s="79">
        <v>500</v>
      </c>
      <c r="D82" s="79">
        <v>469</v>
      </c>
      <c r="E82" s="80">
        <f t="shared" si="11"/>
        <v>93.8</v>
      </c>
      <c r="F82" s="79">
        <v>500</v>
      </c>
      <c r="G82" s="81">
        <v>469</v>
      </c>
      <c r="H82" s="82"/>
      <c r="I82" s="83">
        <f t="shared" si="18"/>
        <v>1000</v>
      </c>
      <c r="J82" s="84">
        <v>500</v>
      </c>
      <c r="K82" s="85">
        <f t="shared" si="21"/>
        <v>500</v>
      </c>
      <c r="L82" s="83">
        <f t="shared" si="19"/>
        <v>938</v>
      </c>
      <c r="M82" s="84">
        <v>469.1</v>
      </c>
      <c r="N82" s="85">
        <f t="shared" si="20"/>
        <v>468.9</v>
      </c>
      <c r="O82" s="86">
        <f t="shared" si="2"/>
        <v>93.78</v>
      </c>
    </row>
    <row r="83" spans="1:15" ht="100.5" customHeight="1" x14ac:dyDescent="0.25">
      <c r="A83" s="87" t="s">
        <v>175</v>
      </c>
      <c r="B83" s="102" t="s">
        <v>184</v>
      </c>
      <c r="C83" s="79"/>
      <c r="D83" s="79"/>
      <c r="E83" s="80"/>
      <c r="F83" s="79">
        <v>909.2</v>
      </c>
      <c r="G83" s="81">
        <v>585.29999999999995</v>
      </c>
      <c r="H83" s="82">
        <f>G83/F83*100</f>
        <v>64.375274967003946</v>
      </c>
      <c r="I83" s="83">
        <f t="shared" si="18"/>
        <v>909.2</v>
      </c>
      <c r="J83" s="84"/>
      <c r="K83" s="85">
        <f t="shared" si="21"/>
        <v>909.2</v>
      </c>
      <c r="L83" s="83">
        <f t="shared" si="19"/>
        <v>585.29999999999995</v>
      </c>
      <c r="M83" s="84"/>
      <c r="N83" s="85">
        <f t="shared" si="20"/>
        <v>585.29999999999995</v>
      </c>
      <c r="O83" s="86">
        <f t="shared" si="2"/>
        <v>64.375274967003946</v>
      </c>
    </row>
    <row r="84" spans="1:15" ht="45" customHeight="1" x14ac:dyDescent="0.25">
      <c r="A84" s="87" t="s">
        <v>175</v>
      </c>
      <c r="B84" s="78" t="s">
        <v>185</v>
      </c>
      <c r="C84" s="79">
        <v>13353</v>
      </c>
      <c r="D84" s="79"/>
      <c r="E84" s="80">
        <f t="shared" si="11"/>
        <v>0</v>
      </c>
      <c r="F84" s="79">
        <v>13353</v>
      </c>
      <c r="G84" s="81"/>
      <c r="H84" s="82">
        <f>G84/F84*100</f>
        <v>0</v>
      </c>
      <c r="I84" s="83">
        <f t="shared" si="18"/>
        <v>26706</v>
      </c>
      <c r="J84" s="84">
        <v>13353</v>
      </c>
      <c r="K84" s="85">
        <f t="shared" si="21"/>
        <v>13353</v>
      </c>
      <c r="L84" s="83">
        <f t="shared" si="19"/>
        <v>0</v>
      </c>
      <c r="M84" s="84"/>
      <c r="N84" s="85">
        <f t="shared" si="20"/>
        <v>0</v>
      </c>
      <c r="O84" s="86">
        <f t="shared" si="2"/>
        <v>0</v>
      </c>
    </row>
    <row r="85" spans="1:15" ht="51.75" hidden="1" customHeight="1" x14ac:dyDescent="0.25">
      <c r="A85" s="87" t="s">
        <v>175</v>
      </c>
      <c r="B85" s="78" t="s">
        <v>186</v>
      </c>
      <c r="C85" s="79"/>
      <c r="D85" s="79"/>
      <c r="E85" s="80"/>
      <c r="F85" s="79"/>
      <c r="G85" s="81"/>
      <c r="H85" s="82"/>
      <c r="I85" s="83">
        <f t="shared" si="18"/>
        <v>0</v>
      </c>
      <c r="J85" s="84"/>
      <c r="K85" s="85">
        <f t="shared" si="21"/>
        <v>0</v>
      </c>
      <c r="L85" s="83">
        <f t="shared" si="19"/>
        <v>0</v>
      </c>
      <c r="M85" s="84"/>
      <c r="N85" s="85">
        <f t="shared" si="20"/>
        <v>0</v>
      </c>
      <c r="O85" s="86"/>
    </row>
    <row r="86" spans="1:15" ht="54" hidden="1" customHeight="1" x14ac:dyDescent="0.25">
      <c r="A86" s="87" t="s">
        <v>175</v>
      </c>
      <c r="B86" s="78" t="s">
        <v>187</v>
      </c>
      <c r="C86" s="79"/>
      <c r="D86" s="79"/>
      <c r="E86" s="80"/>
      <c r="F86" s="79"/>
      <c r="G86" s="81"/>
      <c r="H86" s="82"/>
      <c r="I86" s="83">
        <f t="shared" si="18"/>
        <v>0</v>
      </c>
      <c r="J86" s="84"/>
      <c r="K86" s="85">
        <f t="shared" si="21"/>
        <v>0</v>
      </c>
      <c r="L86" s="83">
        <f t="shared" si="19"/>
        <v>0</v>
      </c>
      <c r="M86" s="84"/>
      <c r="N86" s="85">
        <f t="shared" si="20"/>
        <v>0</v>
      </c>
      <c r="O86" s="86"/>
    </row>
    <row r="87" spans="1:15" ht="55.5" hidden="1" customHeight="1" x14ac:dyDescent="0.25">
      <c r="A87" s="87" t="s">
        <v>175</v>
      </c>
      <c r="B87" s="103" t="s">
        <v>188</v>
      </c>
      <c r="C87" s="79"/>
      <c r="D87" s="79"/>
      <c r="E87" s="80"/>
      <c r="F87" s="79"/>
      <c r="G87" s="81"/>
      <c r="H87" s="82"/>
      <c r="I87" s="83">
        <f t="shared" si="18"/>
        <v>0</v>
      </c>
      <c r="J87" s="84"/>
      <c r="K87" s="85">
        <f t="shared" si="21"/>
        <v>0</v>
      </c>
      <c r="L87" s="83">
        <f t="shared" si="19"/>
        <v>0</v>
      </c>
      <c r="M87" s="84"/>
      <c r="N87" s="85">
        <f t="shared" si="20"/>
        <v>0</v>
      </c>
      <c r="O87" s="86"/>
    </row>
    <row r="88" spans="1:15" ht="39.75" customHeight="1" x14ac:dyDescent="0.25">
      <c r="A88" s="77" t="s">
        <v>175</v>
      </c>
      <c r="B88" s="78" t="s">
        <v>189</v>
      </c>
      <c r="C88" s="79"/>
      <c r="D88" s="79"/>
      <c r="E88" s="80"/>
      <c r="F88" s="79">
        <v>47715.7</v>
      </c>
      <c r="G88" s="81">
        <v>32587</v>
      </c>
      <c r="H88" s="82">
        <f>G88/F88*100</f>
        <v>68.294083498722642</v>
      </c>
      <c r="I88" s="83">
        <f t="shared" si="18"/>
        <v>47715.7</v>
      </c>
      <c r="J88" s="84"/>
      <c r="K88" s="85">
        <f t="shared" si="21"/>
        <v>47715.7</v>
      </c>
      <c r="L88" s="83">
        <f t="shared" si="19"/>
        <v>32587</v>
      </c>
      <c r="M88" s="84"/>
      <c r="N88" s="85">
        <f t="shared" si="20"/>
        <v>32587</v>
      </c>
      <c r="O88" s="86">
        <f t="shared" si="2"/>
        <v>68.294083498722642</v>
      </c>
    </row>
    <row r="89" spans="1:15" ht="32.25" customHeight="1" x14ac:dyDescent="0.25">
      <c r="A89" s="87" t="s">
        <v>190</v>
      </c>
      <c r="B89" s="78" t="s">
        <v>191</v>
      </c>
      <c r="C89" s="79">
        <v>46.6</v>
      </c>
      <c r="D89" s="79">
        <v>22</v>
      </c>
      <c r="E89" s="80">
        <f>D89/C89*100</f>
        <v>47.210300429184549</v>
      </c>
      <c r="F89" s="79">
        <v>0</v>
      </c>
      <c r="G89" s="81"/>
      <c r="H89" s="82">
        <v>0</v>
      </c>
      <c r="I89" s="83">
        <f t="shared" si="18"/>
        <v>46.6</v>
      </c>
      <c r="J89" s="84"/>
      <c r="K89" s="85">
        <f t="shared" si="21"/>
        <v>46.6</v>
      </c>
      <c r="L89" s="83">
        <f t="shared" si="19"/>
        <v>22</v>
      </c>
      <c r="M89" s="84"/>
      <c r="N89" s="85">
        <f t="shared" si="20"/>
        <v>22</v>
      </c>
      <c r="O89" s="104">
        <f t="shared" si="2"/>
        <v>47.210300429184549</v>
      </c>
    </row>
    <row r="90" spans="1:15" ht="27" customHeight="1" x14ac:dyDescent="0.25">
      <c r="A90" s="105" t="s">
        <v>192</v>
      </c>
      <c r="B90" s="106" t="s">
        <v>193</v>
      </c>
      <c r="C90" s="97">
        <f t="shared" ref="C90:N90" si="22">C91</f>
        <v>227882.6</v>
      </c>
      <c r="D90" s="97">
        <f t="shared" si="22"/>
        <v>219217.5</v>
      </c>
      <c r="E90" s="89">
        <f t="shared" si="11"/>
        <v>96.197559620611656</v>
      </c>
      <c r="F90" s="97">
        <f t="shared" si="22"/>
        <v>24.1</v>
      </c>
      <c r="G90" s="97">
        <f t="shared" si="22"/>
        <v>0</v>
      </c>
      <c r="H90" s="75">
        <f t="shared" si="22"/>
        <v>0</v>
      </c>
      <c r="I90" s="97">
        <f t="shared" si="22"/>
        <v>227906.7</v>
      </c>
      <c r="J90" s="97">
        <f t="shared" si="22"/>
        <v>24.1</v>
      </c>
      <c r="K90" s="97">
        <f t="shared" si="22"/>
        <v>227882.6</v>
      </c>
      <c r="L90" s="97">
        <f t="shared" si="22"/>
        <v>219217.5</v>
      </c>
      <c r="M90" s="97">
        <f t="shared" si="22"/>
        <v>0</v>
      </c>
      <c r="N90" s="97">
        <f t="shared" si="22"/>
        <v>219217.5</v>
      </c>
      <c r="O90" s="107">
        <f t="shared" si="2"/>
        <v>96.197559620611656</v>
      </c>
    </row>
    <row r="91" spans="1:15" ht="35.25" customHeight="1" x14ac:dyDescent="0.25">
      <c r="A91" s="87" t="s">
        <v>194</v>
      </c>
      <c r="B91" s="108" t="s">
        <v>195</v>
      </c>
      <c r="C91" s="81">
        <v>227882.6</v>
      </c>
      <c r="D91" s="81">
        <v>219217.5</v>
      </c>
      <c r="E91" s="80">
        <f t="shared" si="11"/>
        <v>96.197559620611656</v>
      </c>
      <c r="F91" s="81">
        <v>24.1</v>
      </c>
      <c r="G91" s="81"/>
      <c r="H91" s="82">
        <f>G91/F91*100</f>
        <v>0</v>
      </c>
      <c r="I91" s="83">
        <f t="shared" si="18"/>
        <v>227906.7</v>
      </c>
      <c r="J91" s="84">
        <v>24.1</v>
      </c>
      <c r="K91" s="85">
        <f t="shared" si="21"/>
        <v>227882.6</v>
      </c>
      <c r="L91" s="83">
        <f t="shared" si="19"/>
        <v>219217.5</v>
      </c>
      <c r="M91" s="84"/>
      <c r="N91" s="85">
        <f t="shared" si="20"/>
        <v>219217.5</v>
      </c>
      <c r="O91" s="86">
        <f t="shared" si="2"/>
        <v>96.197559620611656</v>
      </c>
    </row>
    <row r="92" spans="1:15" ht="21" customHeight="1" x14ac:dyDescent="0.25">
      <c r="A92" s="72" t="s">
        <v>196</v>
      </c>
      <c r="B92" s="73" t="s">
        <v>197</v>
      </c>
      <c r="C92" s="74">
        <f>SUM(C93:C102)</f>
        <v>2201656.7999999998</v>
      </c>
      <c r="D92" s="74">
        <f>SUM(D93:D102)</f>
        <v>1392892.5999999999</v>
      </c>
      <c r="E92" s="74">
        <f>D92/C92*100</f>
        <v>63.265655210203519</v>
      </c>
      <c r="F92" s="97">
        <f>F93+F95+F96+F101+F102</f>
        <v>0</v>
      </c>
      <c r="G92" s="97">
        <f>SUM(G93:G102)</f>
        <v>0</v>
      </c>
      <c r="H92" s="75">
        <v>0</v>
      </c>
      <c r="I92" s="74">
        <f t="shared" ref="I92:N92" si="23">SUM(I93:I102)</f>
        <v>2201656.7999999998</v>
      </c>
      <c r="J92" s="74">
        <f t="shared" si="23"/>
        <v>0</v>
      </c>
      <c r="K92" s="74">
        <f t="shared" si="23"/>
        <v>2201656.7999999998</v>
      </c>
      <c r="L92" s="74">
        <f t="shared" si="23"/>
        <v>1392892.5999999999</v>
      </c>
      <c r="M92" s="74">
        <f t="shared" si="23"/>
        <v>0</v>
      </c>
      <c r="N92" s="74">
        <f t="shared" si="23"/>
        <v>1392892.5999999999</v>
      </c>
      <c r="O92" s="76">
        <f t="shared" si="2"/>
        <v>63.265655210203519</v>
      </c>
    </row>
    <row r="93" spans="1:15" ht="19.5" customHeight="1" x14ac:dyDescent="0.25">
      <c r="A93" s="77" t="s">
        <v>198</v>
      </c>
      <c r="B93" s="78" t="s">
        <v>199</v>
      </c>
      <c r="C93" s="79">
        <f>640942-C94</f>
        <v>451225.8</v>
      </c>
      <c r="D93" s="79">
        <v>284011</v>
      </c>
      <c r="E93" s="80">
        <f t="shared" si="11"/>
        <v>62.942101271691463</v>
      </c>
      <c r="F93" s="81">
        <v>0</v>
      </c>
      <c r="G93" s="81">
        <v>0</v>
      </c>
      <c r="H93" s="82">
        <v>0</v>
      </c>
      <c r="I93" s="83">
        <f t="shared" si="18"/>
        <v>451225.8</v>
      </c>
      <c r="J93" s="84"/>
      <c r="K93" s="85">
        <f t="shared" si="21"/>
        <v>451225.8</v>
      </c>
      <c r="L93" s="83">
        <f t="shared" si="19"/>
        <v>284011</v>
      </c>
      <c r="M93" s="84"/>
      <c r="N93" s="85">
        <f t="shared" si="20"/>
        <v>284011</v>
      </c>
      <c r="O93" s="86">
        <f t="shared" si="2"/>
        <v>62.942101271691463</v>
      </c>
    </row>
    <row r="94" spans="1:15" ht="151.5" customHeight="1" x14ac:dyDescent="0.25">
      <c r="A94" s="77" t="s">
        <v>198</v>
      </c>
      <c r="B94" s="78" t="s">
        <v>200</v>
      </c>
      <c r="C94" s="79">
        <v>189716.2</v>
      </c>
      <c r="D94" s="79">
        <v>141296</v>
      </c>
      <c r="E94" s="80">
        <f t="shared" si="11"/>
        <v>74.47756174749442</v>
      </c>
      <c r="F94" s="81"/>
      <c r="G94" s="81"/>
      <c r="H94" s="82"/>
      <c r="I94" s="83">
        <f t="shared" si="18"/>
        <v>189716.2</v>
      </c>
      <c r="J94" s="84"/>
      <c r="K94" s="85">
        <f t="shared" si="21"/>
        <v>189716.2</v>
      </c>
      <c r="L94" s="83">
        <f t="shared" si="19"/>
        <v>141296</v>
      </c>
      <c r="M94" s="84"/>
      <c r="N94" s="85">
        <f t="shared" si="20"/>
        <v>141296</v>
      </c>
      <c r="O94" s="86">
        <f t="shared" si="2"/>
        <v>74.47756174749442</v>
      </c>
    </row>
    <row r="95" spans="1:15" ht="24" customHeight="1" x14ac:dyDescent="0.25">
      <c r="A95" s="77" t="s">
        <v>201</v>
      </c>
      <c r="B95" s="102" t="s">
        <v>202</v>
      </c>
      <c r="C95" s="79">
        <v>1282452.3999999999</v>
      </c>
      <c r="D95" s="79">
        <v>796744</v>
      </c>
      <c r="E95" s="79">
        <f t="shared" si="11"/>
        <v>62.126594328179365</v>
      </c>
      <c r="F95" s="81">
        <v>0</v>
      </c>
      <c r="G95" s="81">
        <v>0</v>
      </c>
      <c r="H95" s="81">
        <v>0</v>
      </c>
      <c r="I95" s="83">
        <f t="shared" si="18"/>
        <v>1282452.3999999999</v>
      </c>
      <c r="J95" s="84"/>
      <c r="K95" s="85">
        <f t="shared" si="21"/>
        <v>1282452.3999999999</v>
      </c>
      <c r="L95" s="83">
        <f t="shared" si="19"/>
        <v>796744</v>
      </c>
      <c r="M95" s="84"/>
      <c r="N95" s="85">
        <f t="shared" si="20"/>
        <v>796744</v>
      </c>
      <c r="O95" s="109">
        <f t="shared" si="2"/>
        <v>62.126594328179365</v>
      </c>
    </row>
    <row r="96" spans="1:15" ht="25.5" customHeight="1" x14ac:dyDescent="0.25">
      <c r="A96" s="77" t="s">
        <v>201</v>
      </c>
      <c r="B96" s="78" t="s">
        <v>203</v>
      </c>
      <c r="C96" s="79">
        <v>36273.9</v>
      </c>
      <c r="D96" s="79">
        <v>14803.7</v>
      </c>
      <c r="E96" s="80">
        <f t="shared" si="11"/>
        <v>40.810886064084642</v>
      </c>
      <c r="F96" s="81">
        <v>0</v>
      </c>
      <c r="G96" s="81">
        <v>0</v>
      </c>
      <c r="H96" s="82">
        <v>0</v>
      </c>
      <c r="I96" s="83">
        <f t="shared" si="18"/>
        <v>36273.9</v>
      </c>
      <c r="J96" s="84"/>
      <c r="K96" s="85">
        <f t="shared" si="21"/>
        <v>36273.9</v>
      </c>
      <c r="L96" s="83">
        <f t="shared" si="19"/>
        <v>14803.7</v>
      </c>
      <c r="M96" s="84"/>
      <c r="N96" s="85">
        <f t="shared" si="20"/>
        <v>14803.7</v>
      </c>
      <c r="O96" s="86">
        <f t="shared" si="2"/>
        <v>40.810886064084642</v>
      </c>
    </row>
    <row r="97" spans="1:15" ht="134.25" hidden="1" customHeight="1" x14ac:dyDescent="0.25">
      <c r="A97" s="77" t="s">
        <v>201</v>
      </c>
      <c r="B97" s="78" t="s">
        <v>204</v>
      </c>
      <c r="C97" s="79"/>
      <c r="D97" s="79"/>
      <c r="E97" s="80"/>
      <c r="F97" s="81"/>
      <c r="G97" s="81"/>
      <c r="H97" s="82"/>
      <c r="I97" s="83">
        <f t="shared" si="18"/>
        <v>0</v>
      </c>
      <c r="J97" s="84"/>
      <c r="K97" s="85">
        <f t="shared" si="21"/>
        <v>0</v>
      </c>
      <c r="L97" s="83">
        <f t="shared" si="19"/>
        <v>0</v>
      </c>
      <c r="M97" s="84"/>
      <c r="N97" s="85">
        <f t="shared" si="20"/>
        <v>0</v>
      </c>
      <c r="O97" s="86"/>
    </row>
    <row r="98" spans="1:15" ht="130.5" customHeight="1" x14ac:dyDescent="0.25">
      <c r="A98" s="77" t="s">
        <v>201</v>
      </c>
      <c r="B98" s="78" t="s">
        <v>205</v>
      </c>
      <c r="C98" s="79">
        <v>3222.5</v>
      </c>
      <c r="D98" s="79">
        <v>2593.1999999999998</v>
      </c>
      <c r="E98" s="80">
        <f t="shared" si="11"/>
        <v>80.471683475562443</v>
      </c>
      <c r="F98" s="81"/>
      <c r="G98" s="81"/>
      <c r="H98" s="82"/>
      <c r="I98" s="83">
        <f t="shared" si="18"/>
        <v>3222.5</v>
      </c>
      <c r="J98" s="84"/>
      <c r="K98" s="85">
        <f t="shared" si="21"/>
        <v>3222.5</v>
      </c>
      <c r="L98" s="83">
        <f t="shared" si="19"/>
        <v>2593.1999999999998</v>
      </c>
      <c r="M98" s="84"/>
      <c r="N98" s="85">
        <f t="shared" si="20"/>
        <v>2593.1999999999998</v>
      </c>
      <c r="O98" s="86">
        <f t="shared" si="2"/>
        <v>80.471683475562443</v>
      </c>
    </row>
    <row r="99" spans="1:15" ht="147.75" hidden="1" customHeight="1" x14ac:dyDescent="0.25">
      <c r="A99" s="77" t="s">
        <v>201</v>
      </c>
      <c r="B99" s="78" t="s">
        <v>206</v>
      </c>
      <c r="C99" s="79"/>
      <c r="D99" s="79"/>
      <c r="E99" s="80"/>
      <c r="F99" s="81">
        <v>0</v>
      </c>
      <c r="G99" s="81">
        <v>0</v>
      </c>
      <c r="H99" s="82">
        <v>0</v>
      </c>
      <c r="I99" s="83">
        <f t="shared" si="18"/>
        <v>0</v>
      </c>
      <c r="J99" s="84"/>
      <c r="K99" s="85">
        <f t="shared" si="21"/>
        <v>0</v>
      </c>
      <c r="L99" s="83">
        <f t="shared" si="19"/>
        <v>0</v>
      </c>
      <c r="M99" s="84"/>
      <c r="N99" s="85">
        <f t="shared" si="20"/>
        <v>0</v>
      </c>
      <c r="O99" s="86"/>
    </row>
    <row r="100" spans="1:15" ht="21.75" customHeight="1" x14ac:dyDescent="0.25">
      <c r="A100" s="77" t="s">
        <v>207</v>
      </c>
      <c r="B100" s="78" t="s">
        <v>208</v>
      </c>
      <c r="C100" s="79">
        <v>147327.79999999999</v>
      </c>
      <c r="D100" s="79">
        <v>106415.2</v>
      </c>
      <c r="E100" s="80">
        <f t="shared" si="11"/>
        <v>72.230224031038276</v>
      </c>
      <c r="F100" s="81"/>
      <c r="G100" s="81"/>
      <c r="H100" s="82"/>
      <c r="I100" s="83">
        <f t="shared" si="18"/>
        <v>147327.79999999999</v>
      </c>
      <c r="J100" s="84"/>
      <c r="K100" s="85">
        <f t="shared" si="21"/>
        <v>147327.79999999999</v>
      </c>
      <c r="L100" s="83">
        <f t="shared" si="19"/>
        <v>106415.2</v>
      </c>
      <c r="M100" s="84"/>
      <c r="N100" s="85">
        <f t="shared" si="20"/>
        <v>106415.2</v>
      </c>
      <c r="O100" s="86">
        <f t="shared" si="2"/>
        <v>72.230224031038276</v>
      </c>
    </row>
    <row r="101" spans="1:15" ht="37.5" customHeight="1" x14ac:dyDescent="0.25">
      <c r="A101" s="77" t="s">
        <v>209</v>
      </c>
      <c r="B101" s="78" t="s">
        <v>210</v>
      </c>
      <c r="C101" s="79">
        <v>32459.200000000001</v>
      </c>
      <c r="D101" s="79">
        <v>9649.6</v>
      </c>
      <c r="E101" s="80">
        <f t="shared" si="11"/>
        <v>29.728397495933358</v>
      </c>
      <c r="F101" s="81"/>
      <c r="G101" s="81"/>
      <c r="H101" s="82"/>
      <c r="I101" s="83">
        <f t="shared" si="18"/>
        <v>32459.200000000001</v>
      </c>
      <c r="J101" s="84"/>
      <c r="K101" s="85">
        <f t="shared" si="21"/>
        <v>32459.200000000001</v>
      </c>
      <c r="L101" s="83">
        <f t="shared" si="19"/>
        <v>9649.6</v>
      </c>
      <c r="M101" s="84"/>
      <c r="N101" s="85">
        <f t="shared" si="20"/>
        <v>9649.6</v>
      </c>
      <c r="O101" s="86">
        <f t="shared" si="2"/>
        <v>29.728397495933358</v>
      </c>
    </row>
    <row r="102" spans="1:15" ht="24" customHeight="1" x14ac:dyDescent="0.25">
      <c r="A102" s="77" t="s">
        <v>211</v>
      </c>
      <c r="B102" s="78" t="s">
        <v>212</v>
      </c>
      <c r="C102" s="79">
        <v>58979</v>
      </c>
      <c r="D102" s="79">
        <v>37379.9</v>
      </c>
      <c r="E102" s="80">
        <f t="shared" si="11"/>
        <v>63.378321097339729</v>
      </c>
      <c r="F102" s="81">
        <v>0</v>
      </c>
      <c r="G102" s="81"/>
      <c r="H102" s="82">
        <v>0</v>
      </c>
      <c r="I102" s="83">
        <f t="shared" si="18"/>
        <v>58979</v>
      </c>
      <c r="J102" s="84"/>
      <c r="K102" s="85">
        <f t="shared" si="21"/>
        <v>58979</v>
      </c>
      <c r="L102" s="83">
        <f t="shared" si="19"/>
        <v>37379.9</v>
      </c>
      <c r="M102" s="84"/>
      <c r="N102" s="85">
        <f t="shared" si="20"/>
        <v>37379.9</v>
      </c>
      <c r="O102" s="86">
        <f t="shared" si="2"/>
        <v>63.378321097339729</v>
      </c>
    </row>
    <row r="103" spans="1:15" ht="26.25" customHeight="1" x14ac:dyDescent="0.25">
      <c r="A103" s="72" t="s">
        <v>213</v>
      </c>
      <c r="B103" s="73" t="s">
        <v>214</v>
      </c>
      <c r="C103" s="74">
        <f>SUM(C104:C107)</f>
        <v>84196.3</v>
      </c>
      <c r="D103" s="74">
        <f>SUM(D104:D107)</f>
        <v>45943.8</v>
      </c>
      <c r="E103" s="74">
        <f>D103/C103*100</f>
        <v>54.567480993820396</v>
      </c>
      <c r="F103" s="97">
        <f>SUM(F104:F107)</f>
        <v>127036.5</v>
      </c>
      <c r="G103" s="97">
        <f>SUM(G104:G107)</f>
        <v>75775.8</v>
      </c>
      <c r="H103" s="75">
        <f>G103/F103*100</f>
        <v>59.648841081106617</v>
      </c>
      <c r="I103" s="97">
        <f t="shared" ref="I103:N103" si="24">SUM(I104:I107)</f>
        <v>211232.80000000002</v>
      </c>
      <c r="J103" s="97">
        <f t="shared" si="24"/>
        <v>13227.5</v>
      </c>
      <c r="K103" s="97">
        <f t="shared" si="24"/>
        <v>198005.30000000002</v>
      </c>
      <c r="L103" s="97">
        <f t="shared" si="24"/>
        <v>121719.59999999999</v>
      </c>
      <c r="M103" s="97">
        <f t="shared" si="24"/>
        <v>2694.5</v>
      </c>
      <c r="N103" s="97">
        <f t="shared" si="24"/>
        <v>119025.09999999999</v>
      </c>
      <c r="O103" s="76">
        <f t="shared" si="2"/>
        <v>60.112077808018263</v>
      </c>
    </row>
    <row r="104" spans="1:15" ht="15" customHeight="1" x14ac:dyDescent="0.25">
      <c r="A104" s="77" t="s">
        <v>215</v>
      </c>
      <c r="B104" s="78" t="s">
        <v>216</v>
      </c>
      <c r="C104" s="79">
        <v>76316.600000000006</v>
      </c>
      <c r="D104" s="79">
        <v>39160.1</v>
      </c>
      <c r="E104" s="80">
        <f t="shared" si="11"/>
        <v>51.312689506607988</v>
      </c>
      <c r="F104" s="110">
        <v>125916.8</v>
      </c>
      <c r="G104" s="81">
        <v>75234.3</v>
      </c>
      <c r="H104" s="82">
        <f>G104/F104*100</f>
        <v>59.749215354901018</v>
      </c>
      <c r="I104" s="83">
        <f t="shared" si="18"/>
        <v>202233.40000000002</v>
      </c>
      <c r="J104" s="84">
        <v>12510.1</v>
      </c>
      <c r="K104" s="85">
        <f>I104-J104</f>
        <v>189723.30000000002</v>
      </c>
      <c r="L104" s="83">
        <f t="shared" si="19"/>
        <v>114394.4</v>
      </c>
      <c r="M104" s="84">
        <v>2173</v>
      </c>
      <c r="N104" s="85">
        <f t="shared" si="20"/>
        <v>112221.4</v>
      </c>
      <c r="O104" s="86">
        <f t="shared" si="2"/>
        <v>59.150035868024631</v>
      </c>
    </row>
    <row r="105" spans="1:15" ht="43.5" customHeight="1" x14ac:dyDescent="0.25">
      <c r="A105" s="100" t="s">
        <v>215</v>
      </c>
      <c r="B105" s="101" t="s">
        <v>217</v>
      </c>
      <c r="C105" s="79">
        <f>1095.8+193.4</f>
        <v>1289.2</v>
      </c>
      <c r="D105" s="79">
        <v>1252.4000000000001</v>
      </c>
      <c r="E105" s="80">
        <f t="shared" si="11"/>
        <v>97.145516599441521</v>
      </c>
      <c r="F105" s="81">
        <v>126.8</v>
      </c>
      <c r="G105" s="81">
        <v>97.8</v>
      </c>
      <c r="H105" s="82">
        <f>G105/F105*100</f>
        <v>77.129337539432171</v>
      </c>
      <c r="I105" s="83">
        <f t="shared" si="18"/>
        <v>1416</v>
      </c>
      <c r="J105" s="84">
        <v>124.5</v>
      </c>
      <c r="K105" s="85">
        <f t="shared" si="21"/>
        <v>1291.5</v>
      </c>
      <c r="L105" s="83">
        <f t="shared" si="19"/>
        <v>1350.2</v>
      </c>
      <c r="M105" s="84">
        <v>124.5</v>
      </c>
      <c r="N105" s="85">
        <f t="shared" si="20"/>
        <v>1225.7</v>
      </c>
      <c r="O105" s="86">
        <f>N105/K105*100</f>
        <v>94.905149051490525</v>
      </c>
    </row>
    <row r="106" spans="1:15" ht="18" customHeight="1" x14ac:dyDescent="0.25">
      <c r="A106" s="77" t="s">
        <v>218</v>
      </c>
      <c r="B106" s="78" t="s">
        <v>219</v>
      </c>
      <c r="C106" s="79">
        <v>150</v>
      </c>
      <c r="D106" s="79">
        <v>76.5</v>
      </c>
      <c r="E106" s="80">
        <f t="shared" si="11"/>
        <v>51</v>
      </c>
      <c r="F106" s="81">
        <v>400</v>
      </c>
      <c r="G106" s="81">
        <v>66.7</v>
      </c>
      <c r="H106" s="82">
        <f>G106/F106*100</f>
        <v>16.675000000000001</v>
      </c>
      <c r="I106" s="83">
        <f t="shared" si="18"/>
        <v>550</v>
      </c>
      <c r="J106" s="84"/>
      <c r="K106" s="85">
        <f t="shared" si="21"/>
        <v>550</v>
      </c>
      <c r="L106" s="83">
        <f t="shared" si="19"/>
        <v>143.19999999999999</v>
      </c>
      <c r="M106" s="84"/>
      <c r="N106" s="85">
        <f t="shared" si="20"/>
        <v>143.19999999999999</v>
      </c>
      <c r="O106" s="86">
        <f t="shared" ref="O106:O133" si="25">N106/K106*100</f>
        <v>26.036363636363635</v>
      </c>
    </row>
    <row r="107" spans="1:15" ht="33.75" customHeight="1" x14ac:dyDescent="0.25">
      <c r="A107" s="77" t="s">
        <v>220</v>
      </c>
      <c r="B107" s="78" t="s">
        <v>221</v>
      </c>
      <c r="C107" s="79">
        <v>6440.5</v>
      </c>
      <c r="D107" s="79">
        <v>5454.8</v>
      </c>
      <c r="E107" s="80">
        <f t="shared" si="11"/>
        <v>84.695287632947753</v>
      </c>
      <c r="F107" s="81">
        <v>592.9</v>
      </c>
      <c r="G107" s="81">
        <v>377</v>
      </c>
      <c r="H107" s="82">
        <f>G107/F107*100</f>
        <v>63.585764884466187</v>
      </c>
      <c r="I107" s="83">
        <f t="shared" si="18"/>
        <v>7033.4</v>
      </c>
      <c r="J107" s="84">
        <v>592.9</v>
      </c>
      <c r="K107" s="85">
        <f t="shared" si="21"/>
        <v>6440.5</v>
      </c>
      <c r="L107" s="83">
        <f t="shared" si="19"/>
        <v>5831.8</v>
      </c>
      <c r="M107" s="84">
        <v>397</v>
      </c>
      <c r="N107" s="85">
        <f t="shared" si="20"/>
        <v>5434.8</v>
      </c>
      <c r="O107" s="86">
        <f t="shared" si="25"/>
        <v>84.38475273658878</v>
      </c>
    </row>
    <row r="108" spans="1:15" ht="25.5" customHeight="1" x14ac:dyDescent="0.25">
      <c r="A108" s="72" t="s">
        <v>222</v>
      </c>
      <c r="B108" s="73" t="s">
        <v>223</v>
      </c>
      <c r="C108" s="74">
        <f>SUM(C109:C111)</f>
        <v>26941.200000000001</v>
      </c>
      <c r="D108" s="74">
        <f>SUM(D109:D111)</f>
        <v>25079.4</v>
      </c>
      <c r="E108" s="74">
        <f>SUM(E111:E111)</f>
        <v>19.322268925770246</v>
      </c>
      <c r="F108" s="97">
        <f>F109+F110+F111</f>
        <v>584.5</v>
      </c>
      <c r="G108" s="97">
        <f>G109+G110+G111</f>
        <v>584.5</v>
      </c>
      <c r="H108" s="75"/>
      <c r="I108" s="97">
        <f t="shared" ref="I108:N108" si="26">I109+I110+I111</f>
        <v>27525.7</v>
      </c>
      <c r="J108" s="97">
        <f t="shared" si="26"/>
        <v>584.5</v>
      </c>
      <c r="K108" s="97">
        <f t="shared" si="26"/>
        <v>26941.200000000001</v>
      </c>
      <c r="L108" s="97">
        <f t="shared" si="26"/>
        <v>25663.9</v>
      </c>
      <c r="M108" s="97">
        <f t="shared" si="26"/>
        <v>584.5</v>
      </c>
      <c r="N108" s="97">
        <f t="shared" si="26"/>
        <v>25079.4</v>
      </c>
      <c r="O108" s="76">
        <f t="shared" si="25"/>
        <v>93.089394681751372</v>
      </c>
    </row>
    <row r="109" spans="1:15" ht="82.5" customHeight="1" x14ac:dyDescent="0.25">
      <c r="A109" s="94" t="s">
        <v>224</v>
      </c>
      <c r="B109" s="102" t="s">
        <v>225</v>
      </c>
      <c r="C109" s="79">
        <v>800.7</v>
      </c>
      <c r="D109" s="79">
        <v>800.7</v>
      </c>
      <c r="E109" s="80">
        <f t="shared" si="11"/>
        <v>100</v>
      </c>
      <c r="F109" s="81">
        <v>584.5</v>
      </c>
      <c r="G109" s="81">
        <v>584.5</v>
      </c>
      <c r="H109" s="81"/>
      <c r="I109" s="83">
        <f t="shared" si="18"/>
        <v>1385.2</v>
      </c>
      <c r="J109" s="84">
        <v>584.5</v>
      </c>
      <c r="K109" s="85">
        <f t="shared" si="21"/>
        <v>800.7</v>
      </c>
      <c r="L109" s="83">
        <f t="shared" si="19"/>
        <v>1385.2</v>
      </c>
      <c r="M109" s="84">
        <v>584.5</v>
      </c>
      <c r="N109" s="85">
        <f t="shared" si="20"/>
        <v>800.7</v>
      </c>
      <c r="O109" s="86">
        <f t="shared" si="25"/>
        <v>100</v>
      </c>
    </row>
    <row r="110" spans="1:15" ht="73.5" customHeight="1" x14ac:dyDescent="0.25">
      <c r="A110" s="87" t="s">
        <v>226</v>
      </c>
      <c r="B110" s="101" t="s">
        <v>227</v>
      </c>
      <c r="C110" s="79">
        <v>23832.799999999999</v>
      </c>
      <c r="D110" s="79">
        <v>23832.799999999999</v>
      </c>
      <c r="E110" s="80">
        <f t="shared" si="11"/>
        <v>100</v>
      </c>
      <c r="F110" s="85"/>
      <c r="G110" s="85"/>
      <c r="H110" s="81"/>
      <c r="I110" s="83">
        <f t="shared" si="18"/>
        <v>23832.799999999999</v>
      </c>
      <c r="J110" s="84"/>
      <c r="K110" s="85">
        <f t="shared" si="21"/>
        <v>23832.799999999999</v>
      </c>
      <c r="L110" s="83">
        <f t="shared" si="19"/>
        <v>23832.799999999999</v>
      </c>
      <c r="M110" s="84"/>
      <c r="N110" s="85">
        <f t="shared" si="20"/>
        <v>23832.799999999999</v>
      </c>
      <c r="O110" s="86">
        <f t="shared" si="25"/>
        <v>100</v>
      </c>
    </row>
    <row r="111" spans="1:15" ht="51" customHeight="1" x14ac:dyDescent="0.25">
      <c r="A111" s="87" t="s">
        <v>226</v>
      </c>
      <c r="B111" s="101" t="s">
        <v>228</v>
      </c>
      <c r="C111" s="79">
        <v>2307.6999999999998</v>
      </c>
      <c r="D111" s="81">
        <v>445.9</v>
      </c>
      <c r="E111" s="80">
        <f t="shared" si="11"/>
        <v>19.322268925770246</v>
      </c>
      <c r="F111" s="81"/>
      <c r="G111" s="81"/>
      <c r="H111" s="82"/>
      <c r="I111" s="83">
        <f t="shared" si="18"/>
        <v>2307.6999999999998</v>
      </c>
      <c r="J111" s="84"/>
      <c r="K111" s="85">
        <f t="shared" si="21"/>
        <v>2307.6999999999998</v>
      </c>
      <c r="L111" s="83">
        <f t="shared" si="19"/>
        <v>445.9</v>
      </c>
      <c r="M111" s="84"/>
      <c r="N111" s="85">
        <f t="shared" si="20"/>
        <v>445.9</v>
      </c>
      <c r="O111" s="86">
        <f t="shared" si="25"/>
        <v>19.322268925770246</v>
      </c>
    </row>
    <row r="112" spans="1:15" ht="22.5" customHeight="1" x14ac:dyDescent="0.25">
      <c r="A112" s="72">
        <v>10</v>
      </c>
      <c r="B112" s="73" t="s">
        <v>229</v>
      </c>
      <c r="C112" s="74">
        <f>SUM(C113:C120)</f>
        <v>150696.70000000001</v>
      </c>
      <c r="D112" s="74">
        <f>SUM(D113:D120)</f>
        <v>83374.400000000009</v>
      </c>
      <c r="E112" s="74">
        <f>D112/C112*100</f>
        <v>55.32596267867843</v>
      </c>
      <c r="F112" s="74">
        <f>SUM(F113:F120)</f>
        <v>885.4</v>
      </c>
      <c r="G112" s="74">
        <f>SUM(G113:G120)</f>
        <v>480.7</v>
      </c>
      <c r="H112" s="75">
        <f>G112/F112*100</f>
        <v>54.291845493562228</v>
      </c>
      <c r="I112" s="74">
        <f t="shared" ref="I112:N112" si="27">SUM(I113:I120)</f>
        <v>151582.09999999998</v>
      </c>
      <c r="J112" s="74">
        <f t="shared" si="27"/>
        <v>0</v>
      </c>
      <c r="K112" s="74">
        <f t="shared" si="27"/>
        <v>151582.09999999998</v>
      </c>
      <c r="L112" s="74">
        <f t="shared" si="27"/>
        <v>83855.100000000006</v>
      </c>
      <c r="M112" s="74">
        <f t="shared" si="27"/>
        <v>0</v>
      </c>
      <c r="N112" s="74">
        <f t="shared" si="27"/>
        <v>83855.100000000006</v>
      </c>
      <c r="O112" s="76">
        <f t="shared" si="25"/>
        <v>55.319922339115244</v>
      </c>
    </row>
    <row r="113" spans="1:15" ht="24" customHeight="1" x14ac:dyDescent="0.25">
      <c r="A113" s="87">
        <v>1001</v>
      </c>
      <c r="B113" s="78" t="s">
        <v>230</v>
      </c>
      <c r="C113" s="79">
        <v>4627.3</v>
      </c>
      <c r="D113" s="79">
        <v>3056.6</v>
      </c>
      <c r="E113" s="80">
        <f t="shared" si="11"/>
        <v>66.055799278196787</v>
      </c>
      <c r="F113" s="81">
        <v>885.4</v>
      </c>
      <c r="G113" s="81">
        <v>480.7</v>
      </c>
      <c r="H113" s="82">
        <f>G113/F113*100</f>
        <v>54.291845493562228</v>
      </c>
      <c r="I113" s="83">
        <f t="shared" si="18"/>
        <v>5512.7</v>
      </c>
      <c r="J113" s="84"/>
      <c r="K113" s="85">
        <f t="shared" si="21"/>
        <v>5512.7</v>
      </c>
      <c r="L113" s="83">
        <f t="shared" si="19"/>
        <v>3537.2999999999997</v>
      </c>
      <c r="M113" s="84"/>
      <c r="N113" s="85">
        <f t="shared" si="20"/>
        <v>3537.2999999999997</v>
      </c>
      <c r="O113" s="86">
        <f t="shared" si="25"/>
        <v>64.166379451085675</v>
      </c>
    </row>
    <row r="114" spans="1:15" ht="113.25" customHeight="1" x14ac:dyDescent="0.25">
      <c r="A114" s="87">
        <v>1003</v>
      </c>
      <c r="B114" s="101" t="s">
        <v>231</v>
      </c>
      <c r="C114" s="79">
        <v>3497.9</v>
      </c>
      <c r="D114" s="79">
        <v>2552.9</v>
      </c>
      <c r="E114" s="80">
        <f t="shared" si="11"/>
        <v>72.983790274164491</v>
      </c>
      <c r="F114" s="81">
        <v>0</v>
      </c>
      <c r="G114" s="81">
        <v>0</v>
      </c>
      <c r="H114" s="82">
        <v>0</v>
      </c>
      <c r="I114" s="83">
        <f t="shared" si="18"/>
        <v>3497.9</v>
      </c>
      <c r="J114" s="84"/>
      <c r="K114" s="85">
        <f t="shared" si="21"/>
        <v>3497.9</v>
      </c>
      <c r="L114" s="83">
        <f t="shared" si="19"/>
        <v>2552.9</v>
      </c>
      <c r="M114" s="84"/>
      <c r="N114" s="85">
        <f t="shared" si="20"/>
        <v>2552.9</v>
      </c>
      <c r="O114" s="86">
        <f t="shared" si="25"/>
        <v>72.983790274164491</v>
      </c>
    </row>
    <row r="115" spans="1:15" ht="78.75" hidden="1" customHeight="1" x14ac:dyDescent="0.25">
      <c r="A115" s="87" t="s">
        <v>232</v>
      </c>
      <c r="B115" s="78" t="s">
        <v>233</v>
      </c>
      <c r="C115" s="79"/>
      <c r="D115" s="79"/>
      <c r="E115" s="80"/>
      <c r="F115" s="81"/>
      <c r="G115" s="81"/>
      <c r="H115" s="82"/>
      <c r="I115" s="83">
        <f t="shared" si="18"/>
        <v>0</v>
      </c>
      <c r="J115" s="84"/>
      <c r="K115" s="85">
        <f t="shared" si="21"/>
        <v>0</v>
      </c>
      <c r="L115" s="83">
        <f t="shared" si="19"/>
        <v>0</v>
      </c>
      <c r="M115" s="84"/>
      <c r="N115" s="85">
        <f t="shared" si="20"/>
        <v>0</v>
      </c>
      <c r="O115" s="86"/>
    </row>
    <row r="116" spans="1:15" ht="117.75" customHeight="1" x14ac:dyDescent="0.25">
      <c r="A116" s="87">
        <v>1004</v>
      </c>
      <c r="B116" s="78" t="s">
        <v>234</v>
      </c>
      <c r="C116" s="79">
        <v>15869</v>
      </c>
      <c r="D116" s="79">
        <v>7206.8</v>
      </c>
      <c r="E116" s="80">
        <f t="shared" si="11"/>
        <v>45.41432982544584</v>
      </c>
      <c r="F116" s="81">
        <v>0</v>
      </c>
      <c r="G116" s="81">
        <v>0</v>
      </c>
      <c r="H116" s="82">
        <v>0</v>
      </c>
      <c r="I116" s="83">
        <f t="shared" si="18"/>
        <v>15869</v>
      </c>
      <c r="J116" s="84"/>
      <c r="K116" s="85">
        <f t="shared" si="21"/>
        <v>15869</v>
      </c>
      <c r="L116" s="83">
        <f t="shared" si="19"/>
        <v>7206.8</v>
      </c>
      <c r="M116" s="84"/>
      <c r="N116" s="85">
        <f t="shared" si="20"/>
        <v>7206.8</v>
      </c>
      <c r="O116" s="86">
        <f t="shared" si="25"/>
        <v>45.41432982544584</v>
      </c>
    </row>
    <row r="117" spans="1:15" ht="200.25" customHeight="1" x14ac:dyDescent="0.25">
      <c r="A117" s="87">
        <v>1004</v>
      </c>
      <c r="B117" s="78" t="s">
        <v>235</v>
      </c>
      <c r="C117" s="79">
        <v>77685.8</v>
      </c>
      <c r="D117" s="79">
        <v>39777.800000000003</v>
      </c>
      <c r="E117" s="80">
        <f t="shared" ref="E117:E132" si="28">D117/C117*100</f>
        <v>51.203437436442698</v>
      </c>
      <c r="F117" s="81">
        <v>0</v>
      </c>
      <c r="G117" s="81">
        <v>0</v>
      </c>
      <c r="H117" s="82">
        <v>0</v>
      </c>
      <c r="I117" s="83">
        <f t="shared" si="18"/>
        <v>77685.8</v>
      </c>
      <c r="J117" s="84"/>
      <c r="K117" s="85">
        <f t="shared" si="21"/>
        <v>77685.8</v>
      </c>
      <c r="L117" s="83">
        <f t="shared" si="19"/>
        <v>39777.800000000003</v>
      </c>
      <c r="M117" s="84"/>
      <c r="N117" s="85">
        <f t="shared" si="20"/>
        <v>39777.800000000003</v>
      </c>
      <c r="O117" s="86">
        <f t="shared" si="25"/>
        <v>51.203437436442698</v>
      </c>
    </row>
    <row r="118" spans="1:15" ht="204.75" customHeight="1" x14ac:dyDescent="0.25">
      <c r="A118" s="87" t="s">
        <v>236</v>
      </c>
      <c r="B118" s="78" t="s">
        <v>237</v>
      </c>
      <c r="C118" s="79">
        <v>27064.2</v>
      </c>
      <c r="D118" s="79">
        <v>21382.2</v>
      </c>
      <c r="E118" s="80">
        <f>D118/C118*100</f>
        <v>79.005475868490478</v>
      </c>
      <c r="F118" s="81">
        <v>0</v>
      </c>
      <c r="G118" s="81">
        <v>0</v>
      </c>
      <c r="H118" s="82">
        <v>0</v>
      </c>
      <c r="I118" s="83">
        <f t="shared" si="18"/>
        <v>27064.2</v>
      </c>
      <c r="J118" s="84"/>
      <c r="K118" s="85">
        <f t="shared" si="21"/>
        <v>27064.2</v>
      </c>
      <c r="L118" s="83">
        <f t="shared" si="19"/>
        <v>21382.2</v>
      </c>
      <c r="M118" s="84"/>
      <c r="N118" s="85">
        <f t="shared" si="20"/>
        <v>21382.2</v>
      </c>
      <c r="O118" s="86">
        <f>N118/K118*100</f>
        <v>79.005475868490478</v>
      </c>
    </row>
    <row r="119" spans="1:15" ht="39" customHeight="1" x14ac:dyDescent="0.25">
      <c r="A119" s="87" t="s">
        <v>236</v>
      </c>
      <c r="B119" s="78" t="s">
        <v>238</v>
      </c>
      <c r="C119" s="79">
        <v>1700.5</v>
      </c>
      <c r="D119" s="79"/>
      <c r="E119" s="80">
        <f>D119/C119*100</f>
        <v>0</v>
      </c>
      <c r="F119" s="81"/>
      <c r="G119" s="81"/>
      <c r="H119" s="82"/>
      <c r="I119" s="83">
        <f t="shared" si="18"/>
        <v>1700.5</v>
      </c>
      <c r="J119" s="84"/>
      <c r="K119" s="85">
        <f t="shared" si="21"/>
        <v>1700.5</v>
      </c>
      <c r="L119" s="83">
        <f t="shared" si="19"/>
        <v>0</v>
      </c>
      <c r="M119" s="84"/>
      <c r="N119" s="85">
        <f t="shared" si="20"/>
        <v>0</v>
      </c>
      <c r="O119" s="86">
        <f>N119/K119*100</f>
        <v>0</v>
      </c>
    </row>
    <row r="120" spans="1:15" ht="32.25" customHeight="1" x14ac:dyDescent="0.25">
      <c r="A120" s="87">
        <v>1006</v>
      </c>
      <c r="B120" s="78" t="s">
        <v>239</v>
      </c>
      <c r="C120" s="79">
        <v>20252</v>
      </c>
      <c r="D120" s="79">
        <v>9398.1</v>
      </c>
      <c r="E120" s="80">
        <f t="shared" si="28"/>
        <v>46.405787082757257</v>
      </c>
      <c r="F120" s="81">
        <v>0</v>
      </c>
      <c r="G120" s="81">
        <v>0</v>
      </c>
      <c r="H120" s="82">
        <v>0</v>
      </c>
      <c r="I120" s="83">
        <f t="shared" si="18"/>
        <v>20252</v>
      </c>
      <c r="J120" s="84"/>
      <c r="K120" s="85">
        <f t="shared" si="21"/>
        <v>20252</v>
      </c>
      <c r="L120" s="83">
        <f t="shared" si="19"/>
        <v>9398.1</v>
      </c>
      <c r="M120" s="84"/>
      <c r="N120" s="85">
        <f t="shared" si="20"/>
        <v>9398.1</v>
      </c>
      <c r="O120" s="86">
        <f t="shared" si="25"/>
        <v>46.405787082757257</v>
      </c>
    </row>
    <row r="121" spans="1:15" ht="23.25" customHeight="1" x14ac:dyDescent="0.25">
      <c r="A121" s="105">
        <v>1100</v>
      </c>
      <c r="B121" s="73" t="s">
        <v>240</v>
      </c>
      <c r="C121" s="74">
        <f>SUM(C122:C124)</f>
        <v>101912.4</v>
      </c>
      <c r="D121" s="74">
        <f>SUM(D122:D124)</f>
        <v>71818.8</v>
      </c>
      <c r="E121" s="74">
        <f>D121/C121*100</f>
        <v>70.471110483120796</v>
      </c>
      <c r="F121" s="97">
        <f>F122+F123</f>
        <v>34422.800000000003</v>
      </c>
      <c r="G121" s="97">
        <f>G122+G123</f>
        <v>20710.3</v>
      </c>
      <c r="H121" s="75">
        <f>G121/F121*100</f>
        <v>60.164484004787525</v>
      </c>
      <c r="I121" s="97">
        <f t="shared" ref="I121:N121" si="29">I122+I123+I124</f>
        <v>136335.20000000001</v>
      </c>
      <c r="J121" s="97">
        <f t="shared" si="29"/>
        <v>177</v>
      </c>
      <c r="K121" s="97">
        <f t="shared" si="29"/>
        <v>136158.20000000001</v>
      </c>
      <c r="L121" s="97">
        <f t="shared" si="29"/>
        <v>92529.1</v>
      </c>
      <c r="M121" s="97">
        <f t="shared" si="29"/>
        <v>31</v>
      </c>
      <c r="N121" s="97">
        <f t="shared" si="29"/>
        <v>92498.1</v>
      </c>
      <c r="O121" s="76">
        <f t="shared" si="25"/>
        <v>67.93428526522824</v>
      </c>
    </row>
    <row r="122" spans="1:15" ht="16.5" customHeight="1" x14ac:dyDescent="0.25">
      <c r="A122" s="87">
        <v>1101</v>
      </c>
      <c r="B122" s="78" t="s">
        <v>241</v>
      </c>
      <c r="C122" s="79">
        <v>101240.9</v>
      </c>
      <c r="D122" s="79">
        <v>71312.3</v>
      </c>
      <c r="E122" s="80">
        <f t="shared" si="28"/>
        <v>70.438231979368027</v>
      </c>
      <c r="F122" s="81">
        <v>34422.800000000003</v>
      </c>
      <c r="G122" s="81">
        <v>20710.3</v>
      </c>
      <c r="H122" s="82">
        <f>G122/F122*100</f>
        <v>60.164484004787525</v>
      </c>
      <c r="I122" s="83">
        <f t="shared" si="18"/>
        <v>135663.70000000001</v>
      </c>
      <c r="J122" s="84">
        <v>177</v>
      </c>
      <c r="K122" s="85">
        <f t="shared" si="21"/>
        <v>135486.70000000001</v>
      </c>
      <c r="L122" s="83">
        <f t="shared" si="19"/>
        <v>92022.6</v>
      </c>
      <c r="M122" s="84">
        <v>31</v>
      </c>
      <c r="N122" s="85">
        <f t="shared" si="20"/>
        <v>91991.6</v>
      </c>
      <c r="O122" s="86">
        <f t="shared" si="25"/>
        <v>67.897144147728156</v>
      </c>
    </row>
    <row r="123" spans="1:15" ht="21.75" customHeight="1" x14ac:dyDescent="0.25">
      <c r="A123" s="87">
        <v>1102</v>
      </c>
      <c r="B123" s="78" t="s">
        <v>242</v>
      </c>
      <c r="C123" s="79">
        <v>165</v>
      </c>
      <c r="D123" s="79"/>
      <c r="E123" s="80">
        <f t="shared" si="28"/>
        <v>0</v>
      </c>
      <c r="F123" s="81"/>
      <c r="G123" s="81">
        <v>0</v>
      </c>
      <c r="H123" s="82"/>
      <c r="I123" s="83">
        <f t="shared" si="18"/>
        <v>165</v>
      </c>
      <c r="J123" s="84"/>
      <c r="K123" s="85">
        <f t="shared" si="21"/>
        <v>165</v>
      </c>
      <c r="L123" s="83">
        <f t="shared" si="19"/>
        <v>0</v>
      </c>
      <c r="M123" s="84"/>
      <c r="N123" s="85">
        <f t="shared" si="20"/>
        <v>0</v>
      </c>
      <c r="O123" s="86">
        <f t="shared" si="25"/>
        <v>0</v>
      </c>
    </row>
    <row r="124" spans="1:15" ht="18" customHeight="1" x14ac:dyDescent="0.25">
      <c r="A124" s="87" t="s">
        <v>243</v>
      </c>
      <c r="B124" s="78" t="s">
        <v>244</v>
      </c>
      <c r="C124" s="79">
        <v>506.5</v>
      </c>
      <c r="D124" s="79">
        <v>506.5</v>
      </c>
      <c r="E124" s="80">
        <f t="shared" si="28"/>
        <v>100</v>
      </c>
      <c r="F124" s="81"/>
      <c r="G124" s="81"/>
      <c r="H124" s="82"/>
      <c r="I124" s="83">
        <f t="shared" si="18"/>
        <v>506.5</v>
      </c>
      <c r="J124" s="84"/>
      <c r="K124" s="85">
        <f t="shared" si="21"/>
        <v>506.5</v>
      </c>
      <c r="L124" s="83">
        <f t="shared" si="19"/>
        <v>506.5</v>
      </c>
      <c r="M124" s="84"/>
      <c r="N124" s="85">
        <f t="shared" si="20"/>
        <v>506.5</v>
      </c>
      <c r="O124" s="86">
        <f t="shared" si="25"/>
        <v>100</v>
      </c>
    </row>
    <row r="125" spans="1:15" ht="24" customHeight="1" x14ac:dyDescent="0.25">
      <c r="A125" s="105">
        <v>1200</v>
      </c>
      <c r="B125" s="73" t="s">
        <v>245</v>
      </c>
      <c r="C125" s="74">
        <f>SUM(C126:C126)</f>
        <v>6855</v>
      </c>
      <c r="D125" s="74">
        <f>SUM(D126:D126)</f>
        <v>4500.3</v>
      </c>
      <c r="E125" s="89">
        <f>D125/C125*100</f>
        <v>65.649890590809633</v>
      </c>
      <c r="F125" s="74"/>
      <c r="G125" s="74"/>
      <c r="H125" s="75"/>
      <c r="I125" s="74">
        <f t="shared" ref="I125:N125" si="30">I126</f>
        <v>6855</v>
      </c>
      <c r="J125" s="74">
        <f t="shared" si="30"/>
        <v>0</v>
      </c>
      <c r="K125" s="74">
        <f t="shared" si="30"/>
        <v>6855</v>
      </c>
      <c r="L125" s="74">
        <f t="shared" si="30"/>
        <v>4500.3</v>
      </c>
      <c r="M125" s="74">
        <f t="shared" si="30"/>
        <v>0</v>
      </c>
      <c r="N125" s="74">
        <f t="shared" si="30"/>
        <v>4500.3</v>
      </c>
      <c r="O125" s="90">
        <f t="shared" si="25"/>
        <v>65.649890590809633</v>
      </c>
    </row>
    <row r="126" spans="1:15" ht="20.25" customHeight="1" x14ac:dyDescent="0.25">
      <c r="A126" s="87" t="s">
        <v>246</v>
      </c>
      <c r="B126" s="78" t="s">
        <v>247</v>
      </c>
      <c r="C126" s="79">
        <v>6855</v>
      </c>
      <c r="D126" s="79">
        <v>4500.3</v>
      </c>
      <c r="E126" s="80">
        <f>D126/C126*100</f>
        <v>65.649890590809633</v>
      </c>
      <c r="F126" s="81"/>
      <c r="G126" s="81"/>
      <c r="H126" s="82"/>
      <c r="I126" s="83">
        <f t="shared" si="18"/>
        <v>6855</v>
      </c>
      <c r="J126" s="84">
        <v>0</v>
      </c>
      <c r="K126" s="85">
        <f t="shared" si="21"/>
        <v>6855</v>
      </c>
      <c r="L126" s="83">
        <f t="shared" si="19"/>
        <v>4500.3</v>
      </c>
      <c r="M126" s="84"/>
      <c r="N126" s="85">
        <f t="shared" si="20"/>
        <v>4500.3</v>
      </c>
      <c r="O126" s="86">
        <f>N126/K126*100</f>
        <v>65.649890590809633</v>
      </c>
    </row>
    <row r="127" spans="1:15" ht="36.75" customHeight="1" x14ac:dyDescent="0.25">
      <c r="A127" s="105">
        <v>1300</v>
      </c>
      <c r="B127" s="73" t="s">
        <v>248</v>
      </c>
      <c r="C127" s="74">
        <f t="shared" ref="C127:N127" si="31">C128</f>
        <v>30</v>
      </c>
      <c r="D127" s="74">
        <f t="shared" si="31"/>
        <v>5.3</v>
      </c>
      <c r="E127" s="74">
        <f t="shared" si="31"/>
        <v>17.666666666666668</v>
      </c>
      <c r="F127" s="74">
        <f t="shared" si="31"/>
        <v>0</v>
      </c>
      <c r="G127" s="74">
        <f t="shared" si="31"/>
        <v>0</v>
      </c>
      <c r="H127" s="89">
        <f t="shared" si="31"/>
        <v>0</v>
      </c>
      <c r="I127" s="74">
        <f t="shared" si="31"/>
        <v>30</v>
      </c>
      <c r="J127" s="74">
        <f t="shared" si="31"/>
        <v>0</v>
      </c>
      <c r="K127" s="74">
        <f t="shared" si="31"/>
        <v>30</v>
      </c>
      <c r="L127" s="74">
        <f t="shared" si="31"/>
        <v>5.3</v>
      </c>
      <c r="M127" s="74">
        <f t="shared" si="31"/>
        <v>0</v>
      </c>
      <c r="N127" s="74">
        <f t="shared" si="31"/>
        <v>5.3</v>
      </c>
      <c r="O127" s="90">
        <f t="shared" si="25"/>
        <v>17.666666666666668</v>
      </c>
    </row>
    <row r="128" spans="1:15" ht="43.5" customHeight="1" x14ac:dyDescent="0.25">
      <c r="A128" s="87">
        <v>1301</v>
      </c>
      <c r="B128" s="78" t="s">
        <v>249</v>
      </c>
      <c r="C128" s="79">
        <v>30</v>
      </c>
      <c r="D128" s="79">
        <v>5.3</v>
      </c>
      <c r="E128" s="80">
        <f t="shared" si="28"/>
        <v>17.666666666666668</v>
      </c>
      <c r="F128" s="81"/>
      <c r="G128" s="81">
        <v>0</v>
      </c>
      <c r="H128" s="82">
        <v>0</v>
      </c>
      <c r="I128" s="83">
        <f t="shared" si="18"/>
        <v>30</v>
      </c>
      <c r="J128" s="84"/>
      <c r="K128" s="85">
        <f t="shared" si="21"/>
        <v>30</v>
      </c>
      <c r="L128" s="83">
        <f t="shared" si="19"/>
        <v>5.3</v>
      </c>
      <c r="M128" s="111"/>
      <c r="N128" s="85">
        <f t="shared" si="20"/>
        <v>5.3</v>
      </c>
      <c r="O128" s="86">
        <f t="shared" si="25"/>
        <v>17.666666666666668</v>
      </c>
    </row>
    <row r="129" spans="1:15" ht="24.75" customHeight="1" x14ac:dyDescent="0.25">
      <c r="A129" s="105">
        <v>1400</v>
      </c>
      <c r="B129" s="73" t="s">
        <v>250</v>
      </c>
      <c r="C129" s="74">
        <f>SUM(C130:C132)</f>
        <v>304658.09999999998</v>
      </c>
      <c r="D129" s="74">
        <f>SUM(D130:D132)</f>
        <v>220597.1</v>
      </c>
      <c r="E129" s="74">
        <f>D129/C129*100</f>
        <v>72.408086310523174</v>
      </c>
      <c r="F129" s="97">
        <f>F130+F131+F132</f>
        <v>0</v>
      </c>
      <c r="G129" s="97">
        <f>SUM(G130:G132)</f>
        <v>0</v>
      </c>
      <c r="H129" s="97"/>
      <c r="I129" s="97">
        <f t="shared" ref="I129:N129" si="32">I130+I131+I132</f>
        <v>304658.09999999998</v>
      </c>
      <c r="J129" s="97">
        <f t="shared" si="32"/>
        <v>304658.09999999998</v>
      </c>
      <c r="K129" s="97">
        <f t="shared" si="32"/>
        <v>0</v>
      </c>
      <c r="L129" s="97">
        <f t="shared" si="32"/>
        <v>220597.1</v>
      </c>
      <c r="M129" s="97">
        <f t="shared" si="32"/>
        <v>220597.1</v>
      </c>
      <c r="N129" s="97">
        <f t="shared" si="32"/>
        <v>0</v>
      </c>
      <c r="O129" s="76">
        <v>0</v>
      </c>
    </row>
    <row r="130" spans="1:15" ht="61.5" customHeight="1" x14ac:dyDescent="0.25">
      <c r="A130" s="87">
        <v>1401</v>
      </c>
      <c r="B130" s="78" t="s">
        <v>251</v>
      </c>
      <c r="C130" s="79">
        <v>133766.39999999999</v>
      </c>
      <c r="D130" s="79">
        <v>93636.6</v>
      </c>
      <c r="E130" s="80">
        <f t="shared" si="28"/>
        <v>70.00008970862639</v>
      </c>
      <c r="F130" s="81">
        <v>0</v>
      </c>
      <c r="G130" s="81">
        <v>0</v>
      </c>
      <c r="H130" s="82">
        <v>0</v>
      </c>
      <c r="I130" s="83">
        <f t="shared" si="18"/>
        <v>133766.39999999999</v>
      </c>
      <c r="J130" s="84">
        <v>133766.39999999999</v>
      </c>
      <c r="K130" s="85">
        <f t="shared" si="21"/>
        <v>0</v>
      </c>
      <c r="L130" s="83">
        <f t="shared" si="19"/>
        <v>93636.6</v>
      </c>
      <c r="M130" s="111">
        <v>93636.6</v>
      </c>
      <c r="N130" s="85">
        <f t="shared" si="20"/>
        <v>0</v>
      </c>
      <c r="O130" s="86">
        <v>0</v>
      </c>
    </row>
    <row r="131" spans="1:15" ht="19.5" customHeight="1" x14ac:dyDescent="0.25">
      <c r="A131" s="87">
        <v>1402</v>
      </c>
      <c r="B131" s="78" t="s">
        <v>252</v>
      </c>
      <c r="C131" s="79">
        <v>168333.6</v>
      </c>
      <c r="D131" s="79">
        <v>124717.1</v>
      </c>
      <c r="E131" s="80">
        <f t="shared" si="28"/>
        <v>74.089248967526387</v>
      </c>
      <c r="F131" s="81">
        <v>0</v>
      </c>
      <c r="G131" s="81">
        <v>0</v>
      </c>
      <c r="H131" s="82">
        <v>0</v>
      </c>
      <c r="I131" s="83">
        <f t="shared" si="18"/>
        <v>168333.6</v>
      </c>
      <c r="J131" s="84">
        <v>168333.6</v>
      </c>
      <c r="K131" s="85">
        <f t="shared" si="21"/>
        <v>0</v>
      </c>
      <c r="L131" s="83">
        <f t="shared" si="19"/>
        <v>124717.1</v>
      </c>
      <c r="M131" s="111">
        <v>124717.1</v>
      </c>
      <c r="N131" s="85">
        <f t="shared" si="20"/>
        <v>0</v>
      </c>
      <c r="O131" s="86">
        <v>0</v>
      </c>
    </row>
    <row r="132" spans="1:15" ht="21.75" customHeight="1" x14ac:dyDescent="0.25">
      <c r="A132" s="87">
        <v>1403</v>
      </c>
      <c r="B132" s="78" t="s">
        <v>253</v>
      </c>
      <c r="C132" s="79">
        <v>2558.1</v>
      </c>
      <c r="D132" s="79">
        <v>2243.4</v>
      </c>
      <c r="E132" s="80">
        <f t="shared" si="28"/>
        <v>87.697900785739421</v>
      </c>
      <c r="F132" s="81">
        <v>0</v>
      </c>
      <c r="G132" s="81">
        <v>0</v>
      </c>
      <c r="H132" s="82">
        <v>0</v>
      </c>
      <c r="I132" s="83">
        <f t="shared" si="18"/>
        <v>2558.1</v>
      </c>
      <c r="J132" s="84">
        <v>2558.1</v>
      </c>
      <c r="K132" s="85">
        <f t="shared" si="21"/>
        <v>0</v>
      </c>
      <c r="L132" s="83">
        <f t="shared" si="19"/>
        <v>2243.4</v>
      </c>
      <c r="M132" s="84">
        <v>2243.4</v>
      </c>
      <c r="N132" s="85">
        <f t="shared" si="20"/>
        <v>0</v>
      </c>
      <c r="O132" s="86">
        <v>0</v>
      </c>
    </row>
    <row r="133" spans="1:15" ht="15.75" thickBot="1" x14ac:dyDescent="0.3">
      <c r="A133" s="190" t="s">
        <v>254</v>
      </c>
      <c r="B133" s="191"/>
      <c r="C133" s="112">
        <f>C10+C19+C21+C25+C50+C90+C92+C103+C108+C112+C121+C125+C127+C129</f>
        <v>4670425.2</v>
      </c>
      <c r="D133" s="112">
        <f>D129+D127+D125+D121+D112+D108+D103+D92+D90+D50+D25+D21+D19+D10</f>
        <v>2646612.6</v>
      </c>
      <c r="E133" s="112">
        <f>D133/C133*100</f>
        <v>56.667487148707572</v>
      </c>
      <c r="F133" s="112">
        <f>F10+F19+F21+F25+F50+F90+F92+F103+F108+F112+F121+F125+F127+F129</f>
        <v>793625.2</v>
      </c>
      <c r="G133" s="112">
        <f>G10+G19+G21+G25+G50+G90+G92+G103+G108+G112+G121+G125+G127+G129</f>
        <v>429171.19999999995</v>
      </c>
      <c r="H133" s="113">
        <f>G133/F133*100</f>
        <v>54.07731508525687</v>
      </c>
      <c r="I133" s="112"/>
      <c r="J133" s="112">
        <f>J10+J19+J21+J25+J50+J90+J92+J103+J108+J112+J121+J125+J127+J129</f>
        <v>577979</v>
      </c>
      <c r="K133" s="112">
        <f>K129+K127+K125+K121+K112+K108+K103+K92+K90+K50+K25+K21+K19+K10</f>
        <v>4886071.3999999994</v>
      </c>
      <c r="L133" s="114"/>
      <c r="M133" s="112">
        <f>M10+M19+M21+M25+M50+M90+M92+M103+M108+M112+M121+M125+M127+M129</f>
        <v>320256</v>
      </c>
      <c r="N133" s="112">
        <f>N129+N127+N125+N121+N112+N108+N103+N92+N90+N50+N25+N21+N19+N10</f>
        <v>2755527.8</v>
      </c>
      <c r="O133" s="115">
        <f t="shared" si="25"/>
        <v>56.395569659501909</v>
      </c>
    </row>
    <row r="134" spans="1:15" x14ac:dyDescent="0.25">
      <c r="A134" s="116"/>
      <c r="B134" s="117"/>
      <c r="C134" s="118"/>
      <c r="D134" s="60"/>
      <c r="E134" s="119"/>
      <c r="F134" s="62"/>
      <c r="G134" s="62"/>
      <c r="H134" s="63"/>
      <c r="I134" s="63"/>
      <c r="J134" s="63"/>
      <c r="K134" s="66"/>
      <c r="L134" s="62"/>
      <c r="M134" s="66"/>
      <c r="N134" s="66"/>
      <c r="O134" s="67"/>
    </row>
    <row r="135" spans="1:15" x14ac:dyDescent="0.25">
      <c r="A135" s="120"/>
      <c r="B135" s="121"/>
      <c r="C135" s="149"/>
      <c r="D135" s="149"/>
      <c r="E135" s="149"/>
      <c r="F135" s="149"/>
      <c r="G135" s="149"/>
      <c r="H135" s="149"/>
      <c r="I135" s="149"/>
      <c r="J135" s="149">
        <v>577979</v>
      </c>
      <c r="K135" s="149"/>
      <c r="L135" s="149"/>
      <c r="M135" s="149">
        <v>320255.90000000002</v>
      </c>
      <c r="N135" s="149"/>
      <c r="O135" s="149"/>
    </row>
    <row r="136" spans="1:15" x14ac:dyDescent="0.25">
      <c r="A136" s="120"/>
      <c r="B136" s="121"/>
      <c r="C136" s="150"/>
      <c r="D136" s="150"/>
      <c r="E136" s="151"/>
      <c r="F136" s="62"/>
      <c r="G136" s="62"/>
      <c r="H136" s="62"/>
      <c r="I136" s="62"/>
      <c r="J136" s="66">
        <f>J133-J135</f>
        <v>0</v>
      </c>
      <c r="K136" s="66"/>
      <c r="L136" s="62"/>
      <c r="M136" s="66">
        <f>M133-M135</f>
        <v>9.9999999976716936E-2</v>
      </c>
      <c r="N136" s="66"/>
      <c r="O136" s="66"/>
    </row>
    <row r="137" spans="1:15" x14ac:dyDescent="0.25">
      <c r="A137" s="182" t="s">
        <v>255</v>
      </c>
      <c r="B137" s="182"/>
      <c r="C137" s="182"/>
      <c r="D137" s="122"/>
      <c r="E137" s="123"/>
      <c r="F137" s="122"/>
      <c r="G137" s="62"/>
      <c r="H137" s="63"/>
      <c r="I137" s="63"/>
      <c r="J137" s="63"/>
      <c r="K137" s="67"/>
      <c r="L137" s="63"/>
      <c r="M137" s="67"/>
      <c r="N137" s="66"/>
      <c r="O137" s="67"/>
    </row>
    <row r="138" spans="1:15" x14ac:dyDescent="0.25">
      <c r="A138" s="182" t="s">
        <v>256</v>
      </c>
      <c r="B138" s="182"/>
      <c r="C138" s="182"/>
      <c r="D138" s="124"/>
      <c r="E138" s="194" t="s">
        <v>257</v>
      </c>
      <c r="F138" s="194"/>
      <c r="G138" s="62"/>
      <c r="H138" s="63"/>
      <c r="I138" s="63"/>
      <c r="J138" s="63"/>
      <c r="K138" s="64"/>
      <c r="L138" s="65"/>
      <c r="M138" s="64"/>
      <c r="N138" s="66"/>
      <c r="O138" s="67"/>
    </row>
    <row r="139" spans="1:15" x14ac:dyDescent="0.25">
      <c r="A139" s="125"/>
      <c r="B139" s="126"/>
      <c r="C139" s="127"/>
      <c r="D139" s="128"/>
      <c r="E139" s="129"/>
      <c r="F139" s="130"/>
      <c r="G139" s="62"/>
      <c r="H139" s="63"/>
      <c r="I139" s="63"/>
      <c r="J139" s="63"/>
      <c r="K139" s="64"/>
      <c r="L139" s="65"/>
      <c r="M139" s="64"/>
      <c r="N139" s="66"/>
      <c r="O139" s="67"/>
    </row>
    <row r="140" spans="1:15" x14ac:dyDescent="0.25">
      <c r="A140" s="182" t="s">
        <v>258</v>
      </c>
      <c r="B140" s="182"/>
      <c r="C140" s="182"/>
      <c r="D140" s="131"/>
      <c r="E140" s="194" t="s">
        <v>259</v>
      </c>
      <c r="F140" s="194"/>
      <c r="G140" s="62"/>
      <c r="H140" s="63"/>
      <c r="I140" s="63"/>
      <c r="J140" s="63"/>
      <c r="K140" s="64"/>
      <c r="L140" s="65"/>
      <c r="M140" s="64"/>
      <c r="N140" s="66"/>
      <c r="O140" s="67"/>
    </row>
    <row r="141" spans="1:15" x14ac:dyDescent="0.25">
      <c r="A141" s="125"/>
      <c r="B141" s="132"/>
      <c r="C141" s="133"/>
      <c r="D141" s="134"/>
      <c r="E141" s="129"/>
      <c r="F141" s="130"/>
      <c r="G141" s="62"/>
      <c r="H141" s="63"/>
      <c r="I141" s="63"/>
      <c r="J141" s="63"/>
      <c r="K141" s="64"/>
      <c r="L141" s="65"/>
      <c r="M141" s="64"/>
      <c r="N141" s="66"/>
      <c r="O141" s="67"/>
    </row>
    <row r="142" spans="1:15" x14ac:dyDescent="0.25">
      <c r="A142" s="182" t="s">
        <v>260</v>
      </c>
      <c r="B142" s="182"/>
      <c r="C142" s="182"/>
      <c r="D142" s="131"/>
      <c r="E142" s="194" t="s">
        <v>261</v>
      </c>
      <c r="F142" s="194"/>
      <c r="G142" s="62"/>
      <c r="H142" s="63"/>
      <c r="I142" s="63"/>
      <c r="J142" s="63"/>
      <c r="K142" s="64"/>
      <c r="L142" s="65"/>
      <c r="M142" s="64"/>
      <c r="N142" s="66"/>
      <c r="O142" s="67"/>
    </row>
    <row r="143" spans="1:15" x14ac:dyDescent="0.25">
      <c r="A143" s="135"/>
      <c r="B143" s="136"/>
      <c r="C143" s="137"/>
      <c r="D143" s="122"/>
      <c r="E143" s="138"/>
      <c r="F143" s="122"/>
      <c r="G143" s="62"/>
      <c r="H143" s="63"/>
      <c r="I143" s="63"/>
      <c r="J143" s="63"/>
      <c r="K143" s="67"/>
      <c r="L143" s="63"/>
      <c r="M143" s="67"/>
      <c r="N143" s="66"/>
      <c r="O143" s="67"/>
    </row>
    <row r="144" spans="1:15" x14ac:dyDescent="0.25">
      <c r="A144" s="139"/>
      <c r="B144" s="139"/>
      <c r="C144" s="140" t="s">
        <v>262</v>
      </c>
      <c r="D144" s="141"/>
      <c r="E144" s="142" t="s">
        <v>263</v>
      </c>
      <c r="F144" s="143"/>
      <c r="G144" s="144"/>
      <c r="K144" t="s">
        <v>264</v>
      </c>
      <c r="L144" s="145"/>
      <c r="N144" s="144"/>
    </row>
    <row r="145" spans="3:13" x14ac:dyDescent="0.25">
      <c r="C145" s="144"/>
      <c r="F145" s="144"/>
      <c r="L145" s="145"/>
    </row>
    <row r="146" spans="3:13" x14ac:dyDescent="0.25">
      <c r="K146" s="146"/>
      <c r="L146" s="146"/>
      <c r="M146" s="146"/>
    </row>
    <row r="147" spans="3:13" x14ac:dyDescent="0.25">
      <c r="K147" s="147"/>
      <c r="L147" s="148"/>
      <c r="M147" s="147"/>
    </row>
  </sheetData>
  <mergeCells count="28">
    <mergeCell ref="A138:C138"/>
    <mergeCell ref="E138:F138"/>
    <mergeCell ref="A140:C140"/>
    <mergeCell ref="E140:F140"/>
    <mergeCell ref="A142:C142"/>
    <mergeCell ref="E142:F142"/>
    <mergeCell ref="A137:C137"/>
    <mergeCell ref="G4:G5"/>
    <mergeCell ref="H4:H5"/>
    <mergeCell ref="I4:I5"/>
    <mergeCell ref="J4:J5"/>
    <mergeCell ref="B6:O8"/>
    <mergeCell ref="A133:B133"/>
    <mergeCell ref="K4:K5"/>
    <mergeCell ref="L4:L5"/>
    <mergeCell ref="A1:O1"/>
    <mergeCell ref="A3:A8"/>
    <mergeCell ref="B3:B5"/>
    <mergeCell ref="C3:E3"/>
    <mergeCell ref="F3:H3"/>
    <mergeCell ref="I3:O3"/>
    <mergeCell ref="C4:C5"/>
    <mergeCell ref="D4:D5"/>
    <mergeCell ref="E4:E5"/>
    <mergeCell ref="F4:F5"/>
    <mergeCell ref="M4:M5"/>
    <mergeCell ref="N4:N5"/>
    <mergeCell ref="O4:O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</vt:lpstr>
      <vt:lpstr>Расходы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2020-12-16T11:17:04Z</dcterms:modified>
</cp:coreProperties>
</file>