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comments3.xml><?xml version="1.0" encoding="utf-8"?>
<comments xmlns="http://schemas.openxmlformats.org/spreadsheetml/2006/main">
  <authors>
    <author>Мальгин Сергей Витальевич</author>
  </authors>
  <commentList>
    <comment ref="F87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03.1.5644</t>
        </r>
      </text>
    </comment>
    <comment ref="F88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40.7.2113 окружные</t>
        </r>
      </text>
    </comment>
  </commentList>
</comments>
</file>

<file path=xl/sharedStrings.xml><?xml version="1.0" encoding="utf-8"?>
<sst xmlns="http://schemas.openxmlformats.org/spreadsheetml/2006/main" count="853" uniqueCount="330">
  <si>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</si>
  <si>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</si>
  <si>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</si>
  <si>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</si>
  <si>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</si>
  <si>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</si>
  <si>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</si>
  <si>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</si>
  <si>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</si>
  <si>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</si>
  <si>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</si>
  <si>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</si>
  <si>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</si>
  <si>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</si>
  <si>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</si>
  <si>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</si>
  <si>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</si>
  <si>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</si>
  <si>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</si>
  <si>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</si>
  <si>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</si>
  <si>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</si>
  <si>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</si>
  <si>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</si>
  <si>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</si>
  <si>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</si>
  <si>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</si>
  <si>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</si>
  <si>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</si>
  <si>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</si>
  <si>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</si>
  <si>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</si>
  <si>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</si>
  <si>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</si>
  <si>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</si>
  <si>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</si>
  <si>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</si>
  <si>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</si>
  <si>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</si>
  <si>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</si>
  <si>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</si>
  <si>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</si>
  <si>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</si>
  <si>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</si>
  <si>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</si>
  <si>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</si>
  <si>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</si>
  <si>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</si>
  <si>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</si>
  <si>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</si>
  <si>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</si>
  <si>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</si>
  <si>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</si>
  <si>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</si>
  <si>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</si>
  <si>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</si>
  <si>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</si>
  <si>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</si>
  <si>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</si>
  <si>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</si>
  <si>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</si>
  <si>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</si>
  <si>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</si>
  <si>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</si>
  <si>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</si>
  <si>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</si>
  <si>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</si>
  <si>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</si>
  <si>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</si>
  <si>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</si>
  <si>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</si>
  <si>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</si>
  <si>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</si>
  <si>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</si>
  <si>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</si>
  <si>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</si>
  <si>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</si>
  <si>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</si>
  <si>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</si>
  <si>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</si>
  <si>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</si>
  <si>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</si>
  <si>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</si>
  <si>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</si>
  <si>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</si>
  <si>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</si>
  <si>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</si>
  <si>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</si>
  <si>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</si>
  <si>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</si>
  <si>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</si>
  <si>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</si>
  <si>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</si>
  <si>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</si>
  <si>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</si>
  <si>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</si>
  <si>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</si>
  <si>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</si>
  <si>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</si>
  <si>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</si>
  <si>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</si>
  <si>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</si>
  <si>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</si>
  <si>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</si>
  <si>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</si>
  <si>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</si>
  <si>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</si>
  <si>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</si>
  <si>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</si>
  <si>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</si>
  <si>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</si>
  <si>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</si>
  <si>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</si>
  <si>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</si>
  <si>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</si>
  <si>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</si>
  <si>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</si>
  <si>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</si>
  <si>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</si>
  <si>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</si>
  <si>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</si>
  <si>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</si>
  <si>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</si>
  <si>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</si>
  <si>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</si>
  <si>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</si>
  <si>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</si>
  <si>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</si>
  <si>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</si>
  <si>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</si>
  <si>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</si>
  <si>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</si>
  <si>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</si>
  <si>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</si>
  <si>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</si>
  <si>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</si>
  <si>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</si>
  <si>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</si>
  <si>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</si>
  <si>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</si>
  <si>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</si>
  <si>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</si>
  <si>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</si>
  <si>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</si>
  <si>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</si>
  <si>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</si>
  <si>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</si>
  <si>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</si>
  <si>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</si>
  <si>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</si>
  <si>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</si>
  <si>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</si>
  <si>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</si>
  <si>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</si>
  <si>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</si>
  <si>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</si>
  <si>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</si>
  <si>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</si>
  <si>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</si>
  <si>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</si>
  <si>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</si>
  <si>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</si>
  <si>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</si>
  <si>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</si>
  <si>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</si>
  <si>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</si>
  <si>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</si>
  <si>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</si>
  <si>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</si>
  <si>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</si>
  <si>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</si>
  <si>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</si>
  <si>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</si>
  <si>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</si>
  <si>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</si>
  <si>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</si>
  <si>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</si>
  <si>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</si>
  <si>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</si>
  <si>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</si>
  <si>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</si>
  <si>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</si>
  <si>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</si>
  <si>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</si>
  <si>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</si>
  <si>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</si>
  <si>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</si>
  <si>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</si>
  <si>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</si>
  <si>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</si>
  <si>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</si>
  <si>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</si>
  <si>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</si>
  <si>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</si>
  <si>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</si>
  <si>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</si>
  <si>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</si>
  <si>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</si>
  <si>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</si>
  <si>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</si>
  <si>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</si>
  <si>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</si>
  <si>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</si>
  <si>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</si>
  <si>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</si>
  <si>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</si>
  <si>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</si>
  <si>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</si>
  <si>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</si>
  <si>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</si>
  <si>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</si>
  <si>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</si>
  <si>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</si>
  <si>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</si>
  <si>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</si>
  <si>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</si>
  <si>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</si>
  <si>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</si>
  <si>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</si>
  <si>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</si>
  <si>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</si>
  <si>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</si>
  <si>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</si>
  <si>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</si>
  <si>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</si>
  <si>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</si>
  <si>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</si>
  <si>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</si>
  <si>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</si>
  <si>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</si>
  <si>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</si>
  <si>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</si>
  <si>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</si>
  <si>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</si>
  <si>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</si>
  <si>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</si>
  <si>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</si>
  <si>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</si>
  <si>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</si>
  <si>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</si>
  <si>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</si>
  <si>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</si>
  <si>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</si>
  <si>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</si>
  <si>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</si>
  <si>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</si>
  <si>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</si>
  <si>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</si>
  <si>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</si>
  <si>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</si>
  <si>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Подпрограмма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(09.5.5410)</t>
  </si>
  <si>
    <t>Капитальный ремонт жилого фонда (40.6.2120)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</si>
  <si>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</si>
  <si>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(14.0.2123, 14.0.2124)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</si>
  <si>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</si>
  <si>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</si>
  <si>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</si>
  <si>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</si>
  <si>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</si>
  <si>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</si>
  <si>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Центральный аппарат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</si>
  <si>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</si>
  <si>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</si>
  <si>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</si>
  <si>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</si>
  <si>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ХМАО-Югры на 2014-2020 годы" (03.4.5512)</t>
  </si>
  <si>
    <t>(тыс.руб.)</t>
  </si>
  <si>
    <t>План на 2014 год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</si>
  <si>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</si>
  <si>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</si>
  <si>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</si>
  <si>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</si>
  <si>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</si>
  <si>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</si>
  <si>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</si>
  <si>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</si>
  <si>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</si>
  <si>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2014 год </t>
  </si>
  <si>
    <t>00010300000000000000</t>
  </si>
  <si>
    <t>Акцизы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</si>
  <si>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</si>
  <si>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</si>
  <si>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</si>
  <si>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</si>
  <si>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01.02.00 централизов. электроснабжение  доля местного бюджета</t>
  </si>
  <si>
    <t xml:space="preserve"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(10.3.5521) 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</si>
  <si>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годы"(газоснабжение) (10.3.5521)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</si>
  <si>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</si>
  <si>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</si>
  <si>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(40.7.2113)</t>
  </si>
  <si>
    <t>Подпрограмма "Ликвидация приспособленных для проживания строений, расположенных в местах их сосредоточения в муниципальном образовании Октябрьский район" (09.3.5410) окружной бюджет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</si>
  <si>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</si>
  <si>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</si>
  <si>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</si>
  <si>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</si>
  <si>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</si>
  <si>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</si>
  <si>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 xml:space="preserve"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(прочие потребности) (10.3.5411) 01.40.28 централизов. электроснабжение округ 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</si>
  <si>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(03.1.5408) строительство объектов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</si>
  <si>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 (молодая семья за счет средств местного бюджета)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</si>
  <si>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</si>
  <si>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План                 на 1 полугодие 2014 года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</si>
  <si>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</si>
  <si>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Создание условий для обеспечения качественными коммунальными услугами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годы"(ремонт внутрипос. сетей электроснаб. п.Карымкары) (10.1.5411)</t>
  </si>
  <si>
    <t>Субсидии на предоставление государственных услуг в многофункциональных центрах предоставления государственных и муниципальных услуг (17.1.5427) тс.01.40.07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</si>
  <si>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01.00.00 местный бюджет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</si>
  <si>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01.40.36, 01.60.00 (инженерные сети). </t>
  </si>
  <si>
    <t xml:space="preserve"> Заведующий отделом учета исполнения бюджета</t>
  </si>
  <si>
    <t>Агеева Н.В.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</si>
  <si>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(05.0.5523)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</si>
  <si>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</si>
  <si>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(10.1.5411; 10.6.5411) модернизация ЖКХ 01.40.01, 01.40.50 окружной бюджет тс. 01.60.00</t>
  </si>
  <si>
    <t>Подпрограмма "Создание условий для обеспечения качественными коммунальными услугами" программы "Развитие жилищно-коммунального комплекса и повышение энергетической эффективности в Октябрьском районе на 2014-2016 годы" (разработка программы "Комплексная система развития ЖКХ", газификация жилого в пгт.Приобье) (10.1.2120)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</si>
  <si>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(подготовка к зиме) (10.1.5643), ОЗП, 01.40.50, 01.02.00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</si>
  <si>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</si>
  <si>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</si>
  <si>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(16.4.5645)</t>
  </si>
  <si>
    <t>Подпрограмма "Библиотечное дело" 03.1.5644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</si>
  <si>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(09.3.5410)(ликвидация  приспособленных для проживания строений за счет средств местного бюджета) 01.02.01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</si>
  <si>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</si>
  <si>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План 9 месяцев 2014</t>
  </si>
  <si>
    <t xml:space="preserve">% исп-ия к плану на 9 месяцев 2014 года </t>
  </si>
  <si>
    <t>Отчет  об  исполнении  консолидированного  бюджета  района  по  расходам на 1 октября 2014 года</t>
  </si>
  <si>
    <t>исполнение на 01.10.2014</t>
  </si>
  <si>
    <t>исполнения на 01.10.2014</t>
  </si>
  <si>
    <t>Субсидии на реализацию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2014-2016  годы" (10.6.5411)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</si>
  <si>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</si>
  <si>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"Содействие в улучшении жилищных условий молодых семей на территории Октябрьского района в рамках федеральной целевой программы"Жилище" муниципальной программы "Обеспечение доступным и комфортным жильем жителей Октябрьского района на  2014-2016 годы" за счет средств федерального бюджета (09.1.5020)</t>
  </si>
  <si>
    <t>Отчет об исполнении консолидированного бюджета Октябрьского района по состоянию на 01.10.2014</t>
  </si>
  <si>
    <t>Исполнение на 01.10.2014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</si>
</sst>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14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3" fillId="0" borderId="17" xfId="0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49" fontId="17" fillId="0" borderId="14" xfId="0" applyNumberFormat="1" applyFont="1" applyFill="1" applyBorder="1" applyAlignment="1">
      <alignment horizontal="left" vertical="top" wrapText="1"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2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  <xf numFmtId="164" fontId="23" fillId="33" borderId="10" xfId="53" applyNumberFormat="1" applyFont="1" applyFill="1" applyBorder="1" applyAlignment="1">
      <alignment horizontal="center" vertical="center" wrapText="1"/>
      <protection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3" fillId="33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 quotePrefix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164" fontId="22" fillId="33" borderId="10" xfId="53" applyNumberFormat="1" applyFont="1" applyFill="1" applyBorder="1" applyAlignment="1">
      <alignment horizontal="center" vertical="center" wrapText="1"/>
      <protection/>
    </xf>
    <xf numFmtId="164" fontId="23" fillId="33" borderId="15" xfId="53" applyNumberFormat="1" applyFont="1" applyFill="1" applyBorder="1" applyAlignment="1">
      <alignment horizontal="center" vertical="center" wrapText="1"/>
      <protection/>
    </xf>
    <xf numFmtId="0" fontId="21" fillId="34" borderId="10" xfId="53" applyNumberFormat="1" applyFont="1" applyFill="1" applyBorder="1" applyAlignment="1">
      <alignment horizontal="left" vertical="center" wrapText="1"/>
      <protection/>
    </xf>
    <xf numFmtId="164" fontId="22" fillId="35" borderId="10" xfId="53" applyNumberFormat="1" applyFont="1" applyFill="1" applyBorder="1" applyAlignment="1">
      <alignment horizontal="center" vertical="center" wrapText="1"/>
      <protection/>
    </xf>
    <xf numFmtId="164" fontId="22" fillId="35" borderId="10" xfId="0" applyNumberFormat="1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23" fillId="33" borderId="10" xfId="0" applyNumberFormat="1" applyFont="1" applyFill="1" applyBorder="1" applyAlignment="1">
      <alignment horizontal="center" vertical="center" wrapText="1"/>
    </xf>
    <xf numFmtId="49" fontId="21" fillId="35" borderId="11" xfId="53" applyNumberFormat="1" applyFont="1" applyFill="1" applyBorder="1" applyAlignment="1">
      <alignment horizontal="center" vertical="center" wrapText="1"/>
      <protection/>
    </xf>
    <xf numFmtId="0" fontId="21" fillId="35" borderId="10" xfId="53" applyNumberFormat="1" applyFont="1" applyFill="1" applyBorder="1" applyAlignment="1">
      <alignment horizontal="left" vertical="center" wrapText="1"/>
      <protection/>
    </xf>
    <xf numFmtId="49" fontId="25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left" vertical="center" wrapText="1"/>
      <protection/>
    </xf>
    <xf numFmtId="164" fontId="23" fillId="36" borderId="12" xfId="53" applyNumberFormat="1" applyFont="1" applyFill="1" applyBorder="1" applyAlignment="1">
      <alignment horizontal="center" vertical="center" wrapText="1"/>
      <protection/>
    </xf>
    <xf numFmtId="164" fontId="23" fillId="36" borderId="12" xfId="0" applyNumberFormat="1" applyFont="1" applyFill="1" applyBorder="1" applyAlignment="1">
      <alignment horizontal="center" vertical="center" wrapText="1"/>
    </xf>
    <xf numFmtId="164" fontId="23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23" fillId="37" borderId="10" xfId="53" applyNumberFormat="1" applyFont="1" applyFill="1" applyBorder="1" applyAlignment="1">
      <alignment horizontal="center" vertical="center" wrapText="1"/>
      <protection/>
    </xf>
    <xf numFmtId="165" fontId="14" fillId="35" borderId="20" xfId="0" applyNumberFormat="1" applyFont="1" applyFill="1" applyBorder="1" applyAlignment="1">
      <alignment horizontal="right" vertical="top"/>
    </xf>
    <xf numFmtId="0" fontId="13" fillId="35" borderId="0" xfId="0" applyFont="1" applyFill="1" applyAlignment="1">
      <alignment vertical="top"/>
    </xf>
    <xf numFmtId="165" fontId="14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/>
    </xf>
    <xf numFmtId="165" fontId="13" fillId="35" borderId="10" xfId="0" applyNumberFormat="1" applyFont="1" applyFill="1" applyBorder="1" applyAlignment="1">
      <alignment horizontal="right" vertical="top"/>
    </xf>
    <xf numFmtId="165" fontId="13" fillId="35" borderId="10" xfId="0" applyNumberFormat="1" applyFont="1" applyFill="1" applyBorder="1" applyAlignment="1">
      <alignment vertical="top"/>
    </xf>
    <xf numFmtId="165" fontId="13" fillId="35" borderId="20" xfId="0" applyNumberFormat="1" applyFont="1" applyFill="1" applyBorder="1" applyAlignment="1">
      <alignment horizontal="right" vertical="top"/>
    </xf>
    <xf numFmtId="165" fontId="16" fillId="35" borderId="10" xfId="0" applyNumberFormat="1" applyFont="1" applyFill="1" applyBorder="1" applyAlignment="1">
      <alignment horizontal="right" vertical="top" wrapText="1"/>
    </xf>
    <xf numFmtId="165" fontId="14" fillId="35" borderId="10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 shrinkToFit="1"/>
    </xf>
    <xf numFmtId="165" fontId="13" fillId="35" borderId="0" xfId="0" applyNumberFormat="1" applyFont="1" applyFill="1" applyAlignment="1">
      <alignment vertical="top"/>
    </xf>
    <xf numFmtId="165" fontId="17" fillId="35" borderId="20" xfId="0" applyNumberFormat="1" applyFont="1" applyFill="1" applyBorder="1" applyAlignment="1">
      <alignment vertical="top" wrapText="1"/>
    </xf>
    <xf numFmtId="165" fontId="13" fillId="35" borderId="20" xfId="0" applyNumberFormat="1" applyFont="1" applyFill="1" applyBorder="1" applyAlignment="1">
      <alignment vertical="top"/>
    </xf>
    <xf numFmtId="0" fontId="17" fillId="35" borderId="14" xfId="0" applyFont="1" applyFill="1" applyBorder="1" applyAlignment="1">
      <alignment vertical="top" wrapText="1"/>
    </xf>
    <xf numFmtId="165" fontId="17" fillId="35" borderId="14" xfId="0" applyNumberFormat="1" applyFont="1" applyFill="1" applyBorder="1" applyAlignment="1">
      <alignment vertical="top" wrapText="1"/>
    </xf>
    <xf numFmtId="165" fontId="17" fillId="35" borderId="10" xfId="0" applyNumberFormat="1" applyFont="1" applyFill="1" applyBorder="1" applyAlignment="1">
      <alignment horizontal="right" vertical="top" wrapText="1"/>
    </xf>
    <xf numFmtId="165" fontId="13" fillId="35" borderId="17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horizontal="right" vertical="top" wrapText="1" shrinkToFit="1"/>
    </xf>
    <xf numFmtId="165" fontId="14" fillId="35" borderId="17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vertical="top"/>
    </xf>
    <xf numFmtId="165" fontId="17" fillId="35" borderId="20" xfId="0" applyNumberFormat="1" applyFont="1" applyFill="1" applyBorder="1" applyAlignment="1">
      <alignment horizontal="right" vertical="top" wrapText="1"/>
    </xf>
    <xf numFmtId="165" fontId="16" fillId="35" borderId="21" xfId="0" applyNumberFormat="1" applyFont="1" applyFill="1" applyBorder="1" applyAlignment="1">
      <alignment horizontal="right" vertical="top" wrapText="1"/>
    </xf>
    <xf numFmtId="165" fontId="17" fillId="35" borderId="10" xfId="0" applyNumberFormat="1" applyFont="1" applyFill="1" applyBorder="1" applyAlignment="1">
      <alignment horizontal="right" vertical="top"/>
    </xf>
    <xf numFmtId="165" fontId="17" fillId="35" borderId="14" xfId="0" applyNumberFormat="1" applyFont="1" applyFill="1" applyBorder="1" applyAlignment="1">
      <alignment horizontal="right" vertical="top" wrapText="1"/>
    </xf>
    <xf numFmtId="165" fontId="16" fillId="35" borderId="10" xfId="0" applyNumberFormat="1" applyFont="1" applyFill="1" applyBorder="1" applyAlignment="1">
      <alignment vertical="top" wrapText="1"/>
    </xf>
    <xf numFmtId="166" fontId="13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horizontal="right" vertical="top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3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5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35" borderId="17" xfId="0" applyFont="1" applyFill="1" applyBorder="1" applyAlignment="1">
      <alignment horizontal="center" vertical="top" wrapText="1"/>
    </xf>
    <xf numFmtId="0" fontId="14" fillId="35" borderId="19" xfId="0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/>
    </xf>
    <xf numFmtId="0" fontId="14" fillId="35" borderId="19" xfId="0" applyFont="1" applyFill="1" applyBorder="1" applyAlignment="1">
      <alignment horizontal="center" vertical="top"/>
    </xf>
    <xf numFmtId="0" fontId="14" fillId="35" borderId="20" xfId="0" applyFont="1" applyFill="1" applyBorder="1" applyAlignment="1">
      <alignment horizontal="center" vertical="top"/>
    </xf>
    <xf numFmtId="0" fontId="14" fillId="35" borderId="17" xfId="0" applyFont="1" applyFill="1" applyBorder="1" applyAlignment="1">
      <alignment horizontal="center" vertical="justify"/>
    </xf>
    <xf numFmtId="0" fontId="14" fillId="35" borderId="19" xfId="0" applyFont="1" applyFill="1" applyBorder="1" applyAlignment="1">
      <alignment horizontal="center" vertical="justify"/>
    </xf>
    <xf numFmtId="0" fontId="14" fillId="35" borderId="20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49" fontId="17" fillId="0" borderId="27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165" fontId="14" fillId="0" borderId="27" xfId="0" applyNumberFormat="1" applyFont="1" applyFill="1" applyBorder="1" applyAlignment="1">
      <alignment horizontal="center" vertical="top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44" fontId="17" fillId="0" borderId="27" xfId="42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0" fontId="26" fillId="36" borderId="25" xfId="53" applyNumberFormat="1" applyFont="1" applyFill="1" applyBorder="1" applyAlignment="1">
      <alignment horizontal="center" vertical="center" wrapText="1"/>
      <protection/>
    </xf>
    <xf numFmtId="0" fontId="26" fillId="36" borderId="12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left" vertical="center" wrapText="1"/>
      <protection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2" fillId="0" borderId="10" xfId="0" applyNumberFormat="1" applyFont="1" applyBorder="1" applyAlignment="1">
      <alignment horizontal="center" vertical="center" wrapText="1"/>
    </xf>
    <xf numFmtId="164" fontId="23" fillId="37" borderId="10" xfId="53" applyNumberFormat="1" applyFont="1" applyFill="1" applyBorder="1" applyAlignment="1">
      <alignment horizontal="center" vertical="center" wrapText="1"/>
      <protection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Fill="1" applyBorder="1" applyAlignment="1">
      <alignment horizontal="center" vertical="center" wrapText="1"/>
    </xf>
    <xf numFmtId="164" fontId="22" fillId="0" borderId="10" xfId="53" applyNumberFormat="1" applyFont="1" applyBorder="1" applyAlignment="1">
      <alignment horizontal="center" vertical="center" wrapText="1"/>
      <protection/>
    </xf>
    <xf numFmtId="164" fontId="24" fillId="0" borderId="10" xfId="0" applyNumberFormat="1" applyFont="1" applyBorder="1" applyAlignment="1">
      <alignment horizontal="center" vertical="center"/>
    </xf>
    <xf numFmtId="164" fontId="23" fillId="0" borderId="10" xfId="53" applyNumberFormat="1" applyFont="1" applyFill="1" applyBorder="1" applyAlignment="1">
      <alignment horizontal="center" vertical="center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0" fontId="20" fillId="0" borderId="0" xfId="53" applyNumberFormat="1" applyFont="1" applyAlignment="1">
      <alignment horizontal="center" vertical="center" wrapText="1"/>
      <protection/>
    </xf>
    <xf numFmtId="49" fontId="21" fillId="0" borderId="22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0" fontId="21" fillId="0" borderId="23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164" fontId="22" fillId="0" borderId="23" xfId="53" applyNumberFormat="1" applyFont="1" applyFill="1" applyBorder="1" applyAlignment="1">
      <alignment horizontal="center" vertical="center" wrapText="1"/>
      <protection/>
    </xf>
    <xf numFmtId="164" fontId="22" fillId="0" borderId="23" xfId="0" applyNumberFormat="1" applyFont="1" applyBorder="1" applyAlignment="1">
      <alignment horizontal="center" vertical="center" wrapText="1"/>
    </xf>
    <xf numFmtId="164" fontId="23" fillId="0" borderId="15" xfId="53" applyNumberFormat="1" applyFont="1" applyBorder="1" applyAlignment="1">
      <alignment horizontal="center" vertical="center" wrapText="1"/>
      <protection/>
    </xf>
    <xf numFmtId="164" fontId="23" fillId="0" borderId="15" xfId="0" applyNumberFormat="1" applyFont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164" fontId="23" fillId="0" borderId="10" xfId="53" applyNumberFormat="1" applyFont="1" applyBorder="1" applyAlignment="1">
      <alignment horizontal="center" vertical="center" wrapText="1"/>
      <protection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8" t="s">
        <v>170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9" t="s">
        <v>98</v>
      </c>
      <c r="B3" s="201" t="s">
        <v>97</v>
      </c>
      <c r="C3" s="203" t="s">
        <v>113</v>
      </c>
      <c r="D3" s="203"/>
      <c r="E3" s="203"/>
      <c r="F3" s="204" t="s">
        <v>112</v>
      </c>
      <c r="G3" s="204"/>
      <c r="H3" s="204"/>
      <c r="I3" s="205" t="s">
        <v>111</v>
      </c>
      <c r="J3" s="205"/>
      <c r="K3" s="206"/>
    </row>
    <row r="4" spans="1:11" ht="12.75">
      <c r="A4" s="200"/>
      <c r="B4" s="202"/>
      <c r="C4" s="190" t="s">
        <v>78</v>
      </c>
      <c r="D4" s="190" t="s">
        <v>171</v>
      </c>
      <c r="E4" s="190" t="s">
        <v>77</v>
      </c>
      <c r="F4" s="190" t="s">
        <v>78</v>
      </c>
      <c r="G4" s="207" t="s">
        <v>171</v>
      </c>
      <c r="H4" s="207" t="s">
        <v>77</v>
      </c>
      <c r="I4" s="208" t="s">
        <v>78</v>
      </c>
      <c r="J4" s="210" t="s">
        <v>173</v>
      </c>
      <c r="K4" s="193" t="s">
        <v>77</v>
      </c>
    </row>
    <row r="5" spans="1:11" ht="19.5" customHeight="1">
      <c r="A5" s="200"/>
      <c r="B5" s="202"/>
      <c r="C5" s="191"/>
      <c r="D5" s="190"/>
      <c r="E5" s="197"/>
      <c r="F5" s="191"/>
      <c r="G5" s="207"/>
      <c r="H5" s="191"/>
      <c r="I5" s="209"/>
      <c r="J5" s="210"/>
      <c r="K5" s="194"/>
    </row>
    <row r="6" spans="1:11" ht="12.75">
      <c r="A6" s="200"/>
      <c r="B6" s="195" t="s">
        <v>0</v>
      </c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200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200"/>
      <c r="B8" s="195"/>
      <c r="C8" s="195"/>
      <c r="D8" s="195"/>
      <c r="E8" s="195"/>
      <c r="F8" s="195"/>
      <c r="G8" s="195"/>
      <c r="H8" s="195"/>
      <c r="I8" s="195"/>
      <c r="J8" s="195"/>
      <c r="K8" s="196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213" t="s">
        <v>20</v>
      </c>
      <c r="B20" s="214" t="s">
        <v>102</v>
      </c>
      <c r="C20" s="192">
        <f>C23+C24+C22</f>
        <v>25046.9</v>
      </c>
      <c r="D20" s="192">
        <f>D23+D24+D22</f>
        <v>0</v>
      </c>
      <c r="E20" s="192">
        <f>D20/C20*100</f>
        <v>0</v>
      </c>
      <c r="F20" s="192">
        <f>F23+F24+F22</f>
        <v>9535.5</v>
      </c>
      <c r="G20" s="192">
        <f>G23+G24+G22</f>
        <v>0</v>
      </c>
      <c r="H20" s="192">
        <f>G20/F20*100</f>
        <v>0</v>
      </c>
      <c r="I20" s="192">
        <f>I23+I24+I22</f>
        <v>32921.4</v>
      </c>
      <c r="J20" s="192">
        <f>SUM(J22:J24)</f>
        <v>0</v>
      </c>
      <c r="K20" s="192">
        <f>J20/I20*100</f>
        <v>0</v>
      </c>
    </row>
    <row r="21" spans="1:11" ht="12.75">
      <c r="A21" s="213"/>
      <c r="B21" s="214"/>
      <c r="C21" s="192"/>
      <c r="D21" s="192"/>
      <c r="E21" s="192"/>
      <c r="F21" s="192"/>
      <c r="G21" s="192"/>
      <c r="H21" s="192"/>
      <c r="I21" s="192"/>
      <c r="J21" s="192"/>
      <c r="K21" s="192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211" t="s">
        <v>65</v>
      </c>
      <c r="B118" s="212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15" t="s">
        <v>124</v>
      </c>
      <c r="B124" s="215"/>
      <c r="C124" s="215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15" t="s">
        <v>125</v>
      </c>
      <c r="B125" s="215"/>
      <c r="C125" s="215"/>
      <c r="D125" s="42"/>
      <c r="E125" s="216" t="s">
        <v>66</v>
      </c>
      <c r="F125" s="216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15" t="s">
        <v>151</v>
      </c>
      <c r="B127" s="215"/>
      <c r="C127" s="215"/>
      <c r="D127" s="34"/>
      <c r="E127" s="216" t="s">
        <v>123</v>
      </c>
      <c r="F127" s="216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15" t="s">
        <v>154</v>
      </c>
      <c r="B129" s="215"/>
      <c r="C129" s="215"/>
      <c r="D129" s="34"/>
      <c r="E129" s="217" t="s">
        <v>155</v>
      </c>
      <c r="F129" s="217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193">
      <selection activeCell="T200" sqref="T200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4.625" style="0" customWidth="1"/>
    <col min="5" max="5" width="13.125" style="0" hidden="1" customWidth="1"/>
    <col min="6" max="6" width="10.00390625" style="0" customWidth="1"/>
    <col min="7" max="7" width="8.375" style="0" hidden="1" customWidth="1"/>
    <col min="8" max="8" width="8.75390625" style="0" hidden="1" customWidth="1"/>
    <col min="9" max="9" width="10.00390625" style="0" hidden="1" customWidth="1"/>
    <col min="10" max="10" width="11.00390625" style="0" customWidth="1"/>
    <col min="11" max="11" width="11.00390625" style="0" hidden="1" customWidth="1"/>
    <col min="12" max="12" width="11.125" style="0" hidden="1" customWidth="1"/>
    <col min="13" max="13" width="0.2421875" style="0" hidden="1" customWidth="1"/>
    <col min="14" max="14" width="9.125" style="0" hidden="1" customWidth="1"/>
    <col min="15" max="15" width="10.00390625" style="0" hidden="1" customWidth="1"/>
    <col min="16" max="16" width="10.00390625" style="0" customWidth="1"/>
  </cols>
  <sheetData>
    <row r="1" spans="1:18" ht="23.25" customHeight="1">
      <c r="A1" s="218" t="s">
        <v>328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2.7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97"/>
      <c r="O2" s="97"/>
      <c r="P2" s="97"/>
      <c r="Q2" s="97"/>
      <c r="R2" s="97"/>
    </row>
    <row r="3" spans="1:18" ht="12.75">
      <c r="A3" s="60"/>
      <c r="B3" s="60"/>
      <c r="C3" s="61"/>
      <c r="D3" s="61"/>
      <c r="E3" s="61"/>
      <c r="F3" s="61"/>
      <c r="G3" s="61"/>
      <c r="H3" s="62"/>
      <c r="I3" s="62"/>
      <c r="J3" s="62"/>
      <c r="K3" s="98" t="s">
        <v>266</v>
      </c>
      <c r="L3" s="62"/>
      <c r="M3" s="62"/>
      <c r="N3" s="97"/>
      <c r="O3" s="97"/>
      <c r="P3" s="97"/>
      <c r="Q3" s="97"/>
      <c r="R3" s="97"/>
    </row>
    <row r="4" spans="1:18" ht="24" customHeight="1">
      <c r="A4" s="63" t="s">
        <v>174</v>
      </c>
      <c r="B4" s="63"/>
      <c r="C4" s="64"/>
      <c r="D4" s="220" t="s">
        <v>267</v>
      </c>
      <c r="E4" s="220" t="s">
        <v>301</v>
      </c>
      <c r="F4" s="223" t="s">
        <v>268</v>
      </c>
      <c r="G4" s="223" t="s">
        <v>269</v>
      </c>
      <c r="H4" s="223" t="s">
        <v>270</v>
      </c>
      <c r="I4" s="226" t="s">
        <v>320</v>
      </c>
      <c r="J4" s="223" t="s">
        <v>271</v>
      </c>
      <c r="K4" s="220" t="s">
        <v>329</v>
      </c>
      <c r="L4" s="220" t="s">
        <v>272</v>
      </c>
      <c r="M4" s="220" t="s">
        <v>273</v>
      </c>
      <c r="N4" s="220" t="s">
        <v>274</v>
      </c>
      <c r="O4" s="220" t="s">
        <v>275</v>
      </c>
      <c r="P4" s="220" t="s">
        <v>276</v>
      </c>
      <c r="Q4" s="220" t="s">
        <v>321</v>
      </c>
      <c r="R4" s="220" t="s">
        <v>277</v>
      </c>
    </row>
    <row r="5" spans="1:18" ht="23.25" customHeight="1">
      <c r="A5" s="65" t="s">
        <v>175</v>
      </c>
      <c r="B5" s="65"/>
      <c r="C5" s="66" t="s">
        <v>176</v>
      </c>
      <c r="D5" s="221"/>
      <c r="E5" s="221"/>
      <c r="F5" s="224"/>
      <c r="G5" s="224"/>
      <c r="H5" s="224"/>
      <c r="I5" s="227"/>
      <c r="J5" s="224"/>
      <c r="K5" s="221"/>
      <c r="L5" s="221"/>
      <c r="M5" s="221"/>
      <c r="N5" s="221"/>
      <c r="O5" s="221"/>
      <c r="P5" s="221"/>
      <c r="Q5" s="221"/>
      <c r="R5" s="221"/>
    </row>
    <row r="6" spans="1:18" ht="25.5" customHeight="1">
      <c r="A6" s="65"/>
      <c r="B6" s="65"/>
      <c r="C6" s="66"/>
      <c r="D6" s="222"/>
      <c r="E6" s="222"/>
      <c r="F6" s="225"/>
      <c r="G6" s="225"/>
      <c r="H6" s="225"/>
      <c r="I6" s="228"/>
      <c r="J6" s="225"/>
      <c r="K6" s="222"/>
      <c r="L6" s="222"/>
      <c r="M6" s="222"/>
      <c r="N6" s="222"/>
      <c r="O6" s="222"/>
      <c r="P6" s="222"/>
      <c r="Q6" s="222"/>
      <c r="R6" s="222"/>
    </row>
    <row r="7" spans="1:18" ht="12.75">
      <c r="A7" s="233" t="s">
        <v>177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97"/>
      <c r="R7" s="97"/>
    </row>
    <row r="8" spans="1:18" ht="12.75">
      <c r="A8" s="99" t="s">
        <v>178</v>
      </c>
      <c r="B8" s="99"/>
      <c r="C8" s="100" t="s">
        <v>179</v>
      </c>
      <c r="D8" s="162">
        <f aca="true" t="shared" si="0" ref="D8:K8">D9+D11+D12+D13+D15+D16+D18+D20+D14+D21+D17+D19+D10</f>
        <v>904247.9</v>
      </c>
      <c r="E8" s="162">
        <f t="shared" si="0"/>
        <v>439527.1</v>
      </c>
      <c r="F8" s="162">
        <f t="shared" si="0"/>
        <v>210585.09999999998</v>
      </c>
      <c r="G8" s="162">
        <f t="shared" si="0"/>
        <v>228942</v>
      </c>
      <c r="H8" s="162">
        <f t="shared" si="0"/>
        <v>220192.69999999998</v>
      </c>
      <c r="I8" s="162">
        <f t="shared" si="0"/>
        <v>659719.7999999999</v>
      </c>
      <c r="J8" s="162">
        <f t="shared" si="0"/>
        <v>244528.09999999998</v>
      </c>
      <c r="K8" s="162">
        <f t="shared" si="0"/>
        <v>655640.9000000001</v>
      </c>
      <c r="L8" s="162" t="e">
        <f>L9+L11+L12+L13+L15+L16+L18+L20+L14+L21+L17+L19</f>
        <v>#REF!</v>
      </c>
      <c r="M8" s="162">
        <f aca="true" t="shared" si="1" ref="M8:M20">K8/H8*100</f>
        <v>297.75778216080744</v>
      </c>
      <c r="N8" s="163"/>
      <c r="O8" s="163"/>
      <c r="P8" s="162">
        <f>K8*100/J8</f>
        <v>268.1249721402163</v>
      </c>
      <c r="Q8" s="162">
        <f>K8*100/I8</f>
        <v>99.38172236152381</v>
      </c>
      <c r="R8" s="164">
        <f>K8*100/D8</f>
        <v>72.5067650143285</v>
      </c>
    </row>
    <row r="9" spans="1:18" ht="12.75">
      <c r="A9" s="74" t="s">
        <v>180</v>
      </c>
      <c r="B9" s="74"/>
      <c r="C9" s="103" t="s">
        <v>181</v>
      </c>
      <c r="D9" s="165">
        <f>F9+G9+H9+J9</f>
        <v>696047.7</v>
      </c>
      <c r="E9" s="165">
        <f>F9+G9</f>
        <v>336267</v>
      </c>
      <c r="F9" s="165">
        <v>158666.3</v>
      </c>
      <c r="G9" s="165">
        <v>177600.7</v>
      </c>
      <c r="H9" s="166">
        <v>161953.5</v>
      </c>
      <c r="I9" s="166">
        <f>E9+H9</f>
        <v>498220.5</v>
      </c>
      <c r="J9" s="167">
        <f>188578.3+9248.9</f>
        <v>197827.19999999998</v>
      </c>
      <c r="K9" s="167">
        <v>494947.7</v>
      </c>
      <c r="L9" s="168" t="e">
        <f>K9/#REF!*100</f>
        <v>#REF!</v>
      </c>
      <c r="M9" s="168">
        <f t="shared" si="1"/>
        <v>305.610993278935</v>
      </c>
      <c r="N9" s="163"/>
      <c r="O9" s="163"/>
      <c r="P9" s="166">
        <f aca="true" t="shared" si="2" ref="P9:P76">K9*100/J9</f>
        <v>250.19193518383722</v>
      </c>
      <c r="Q9" s="168">
        <f>K9*100/I9</f>
        <v>99.34310210037523</v>
      </c>
      <c r="R9" s="167">
        <f aca="true" t="shared" si="3" ref="R9:R73">K9*100/D9</f>
        <v>71.10830191666463</v>
      </c>
    </row>
    <row r="10" spans="1:18" ht="12.75">
      <c r="A10" s="67" t="s">
        <v>278</v>
      </c>
      <c r="B10" s="67"/>
      <c r="C10" s="103" t="s">
        <v>279</v>
      </c>
      <c r="D10" s="165">
        <f aca="true" t="shared" si="4" ref="D10:D26">F10+G10+H10+J10</f>
        <v>35490.4</v>
      </c>
      <c r="E10" s="165">
        <f aca="true" t="shared" si="5" ref="E10:E26">F10+G10</f>
        <v>18807.4</v>
      </c>
      <c r="F10" s="165">
        <v>8828.2</v>
      </c>
      <c r="G10" s="165">
        <v>9979.2</v>
      </c>
      <c r="H10" s="166">
        <f>9979.2-2000</f>
        <v>7979.200000000001</v>
      </c>
      <c r="I10" s="166">
        <f>E10+H10</f>
        <v>26786.600000000002</v>
      </c>
      <c r="J10" s="167">
        <f>11367.6-2663.8</f>
        <v>8703.8</v>
      </c>
      <c r="K10" s="167">
        <v>24693.5</v>
      </c>
      <c r="L10" s="168"/>
      <c r="M10" s="168"/>
      <c r="N10" s="163"/>
      <c r="O10" s="163"/>
      <c r="P10" s="166"/>
      <c r="Q10" s="168">
        <f aca="true" t="shared" si="6" ref="Q10:Q20">K10*100/I10</f>
        <v>92.18601838232549</v>
      </c>
      <c r="R10" s="167">
        <f t="shared" si="3"/>
        <v>69.57797038072268</v>
      </c>
    </row>
    <row r="11" spans="1:18" ht="12.75">
      <c r="A11" s="67" t="s">
        <v>182</v>
      </c>
      <c r="B11" s="67"/>
      <c r="C11" s="103" t="s">
        <v>183</v>
      </c>
      <c r="D11" s="165">
        <f t="shared" si="4"/>
        <v>34202.1</v>
      </c>
      <c r="E11" s="165">
        <f t="shared" si="5"/>
        <v>17029.6</v>
      </c>
      <c r="F11" s="165">
        <v>8529.8</v>
      </c>
      <c r="G11" s="165">
        <v>8499.8</v>
      </c>
      <c r="H11" s="166">
        <v>8529.3</v>
      </c>
      <c r="I11" s="166">
        <f aca="true" t="shared" si="7" ref="I11:I21">E11+H11</f>
        <v>25558.899999999998</v>
      </c>
      <c r="J11" s="167">
        <f>8623.9+19.3</f>
        <v>8643.199999999999</v>
      </c>
      <c r="K11" s="167">
        <v>25430.7</v>
      </c>
      <c r="L11" s="168" t="e">
        <f>K11/#REF!*100</f>
        <v>#REF!</v>
      </c>
      <c r="M11" s="168">
        <f t="shared" si="1"/>
        <v>298.156941366818</v>
      </c>
      <c r="N11" s="163"/>
      <c r="O11" s="163"/>
      <c r="P11" s="166">
        <f t="shared" si="2"/>
        <v>294.2278322843392</v>
      </c>
      <c r="Q11" s="168">
        <f t="shared" si="6"/>
        <v>99.49841346849826</v>
      </c>
      <c r="R11" s="167">
        <f t="shared" si="3"/>
        <v>74.35420632066452</v>
      </c>
    </row>
    <row r="12" spans="1:18" ht="12.75">
      <c r="A12" s="67" t="s">
        <v>184</v>
      </c>
      <c r="B12" s="67"/>
      <c r="C12" s="103" t="s">
        <v>185</v>
      </c>
      <c r="D12" s="165">
        <f t="shared" si="4"/>
        <v>3099.9999999999995</v>
      </c>
      <c r="E12" s="165">
        <f t="shared" si="5"/>
        <v>1415.6</v>
      </c>
      <c r="F12" s="165">
        <v>707.8</v>
      </c>
      <c r="G12" s="165">
        <v>707.8</v>
      </c>
      <c r="H12" s="166">
        <v>707.8</v>
      </c>
      <c r="I12" s="166">
        <f t="shared" si="7"/>
        <v>2123.3999999999996</v>
      </c>
      <c r="J12" s="167">
        <v>976.6</v>
      </c>
      <c r="K12" s="167">
        <v>2737.6</v>
      </c>
      <c r="L12" s="168" t="e">
        <f>K12/#REF!*100</f>
        <v>#REF!</v>
      </c>
      <c r="M12" s="168">
        <f t="shared" si="1"/>
        <v>386.7759254026561</v>
      </c>
      <c r="N12" s="163"/>
      <c r="O12" s="163"/>
      <c r="P12" s="166">
        <f t="shared" si="2"/>
        <v>280.3194757321319</v>
      </c>
      <c r="Q12" s="168">
        <f t="shared" si="6"/>
        <v>128.92530846755207</v>
      </c>
      <c r="R12" s="167">
        <f t="shared" si="3"/>
        <v>88.30967741935486</v>
      </c>
    </row>
    <row r="13" spans="1:18" ht="12.75">
      <c r="A13" s="67" t="s">
        <v>186</v>
      </c>
      <c r="B13" s="67"/>
      <c r="C13" s="103" t="s">
        <v>187</v>
      </c>
      <c r="D13" s="165">
        <f t="shared" si="4"/>
        <v>3131</v>
      </c>
      <c r="E13" s="165">
        <f t="shared" si="5"/>
        <v>1677</v>
      </c>
      <c r="F13" s="165">
        <v>739.5</v>
      </c>
      <c r="G13" s="165">
        <v>937.5</v>
      </c>
      <c r="H13" s="166">
        <v>937.5</v>
      </c>
      <c r="I13" s="166">
        <f t="shared" si="7"/>
        <v>2614.5</v>
      </c>
      <c r="J13" s="167">
        <f>615.5-99</f>
        <v>516.5</v>
      </c>
      <c r="K13" s="167">
        <v>3280.8</v>
      </c>
      <c r="L13" s="168" t="e">
        <f>K13/#REF!*100</f>
        <v>#REF!</v>
      </c>
      <c r="M13" s="168">
        <f t="shared" si="1"/>
        <v>349.95200000000006</v>
      </c>
      <c r="N13" s="163"/>
      <c r="O13" s="163"/>
      <c r="P13" s="166">
        <f t="shared" si="2"/>
        <v>635.1984511132623</v>
      </c>
      <c r="Q13" s="168">
        <f t="shared" si="6"/>
        <v>125.48479632816982</v>
      </c>
      <c r="R13" s="167">
        <f t="shared" si="3"/>
        <v>104.7844139252635</v>
      </c>
    </row>
    <row r="14" spans="1:18" ht="24">
      <c r="A14" s="67" t="s">
        <v>188</v>
      </c>
      <c r="B14" s="67"/>
      <c r="C14" s="103" t="s">
        <v>189</v>
      </c>
      <c r="D14" s="165">
        <f t="shared" si="4"/>
        <v>0</v>
      </c>
      <c r="E14" s="165">
        <f t="shared" si="5"/>
        <v>0</v>
      </c>
      <c r="F14" s="165"/>
      <c r="G14" s="165"/>
      <c r="H14" s="166"/>
      <c r="I14" s="166">
        <f t="shared" si="7"/>
        <v>0</v>
      </c>
      <c r="J14" s="167"/>
      <c r="K14" s="167"/>
      <c r="L14" s="168" t="e">
        <f>K14/#REF!*100</f>
        <v>#REF!</v>
      </c>
      <c r="M14" s="168"/>
      <c r="N14" s="163"/>
      <c r="O14" s="163"/>
      <c r="P14" s="166" t="e">
        <f t="shared" si="2"/>
        <v>#DIV/0!</v>
      </c>
      <c r="Q14" s="168" t="e">
        <f t="shared" si="6"/>
        <v>#DIV/0!</v>
      </c>
      <c r="R14" s="167"/>
    </row>
    <row r="15" spans="1:18" ht="24">
      <c r="A15" s="68" t="s">
        <v>190</v>
      </c>
      <c r="B15" s="68"/>
      <c r="C15" s="103" t="s">
        <v>191</v>
      </c>
      <c r="D15" s="165">
        <f t="shared" si="4"/>
        <v>76774.70000000001</v>
      </c>
      <c r="E15" s="165">
        <f t="shared" si="5"/>
        <v>33941.3</v>
      </c>
      <c r="F15" s="165">
        <v>16362.9</v>
      </c>
      <c r="G15" s="165">
        <v>17578.4</v>
      </c>
      <c r="H15" s="166">
        <f>16978.9+7000-390</f>
        <v>23588.9</v>
      </c>
      <c r="I15" s="166">
        <f t="shared" si="7"/>
        <v>57530.200000000004</v>
      </c>
      <c r="J15" s="167">
        <f>16632.5+2222+390</f>
        <v>19244.5</v>
      </c>
      <c r="K15" s="167">
        <v>57533.8</v>
      </c>
      <c r="L15" s="168" t="e">
        <f>K15/#REF!*100</f>
        <v>#REF!</v>
      </c>
      <c r="M15" s="168">
        <f t="shared" si="1"/>
        <v>243.90200475647444</v>
      </c>
      <c r="N15" s="163"/>
      <c r="O15" s="163"/>
      <c r="P15" s="166">
        <f t="shared" si="2"/>
        <v>298.96230091714517</v>
      </c>
      <c r="Q15" s="168">
        <f t="shared" si="6"/>
        <v>100.0062575829738</v>
      </c>
      <c r="R15" s="167">
        <f t="shared" si="3"/>
        <v>74.93848885114497</v>
      </c>
    </row>
    <row r="16" spans="1:18" ht="12.75">
      <c r="A16" s="104" t="s">
        <v>192</v>
      </c>
      <c r="B16" s="104"/>
      <c r="C16" s="103" t="s">
        <v>193</v>
      </c>
      <c r="D16" s="165">
        <f t="shared" si="4"/>
        <v>16479</v>
      </c>
      <c r="E16" s="165">
        <f t="shared" si="5"/>
        <v>12316.6</v>
      </c>
      <c r="F16" s="165">
        <v>10236.2</v>
      </c>
      <c r="G16" s="165">
        <v>2080.4</v>
      </c>
      <c r="H16" s="166">
        <v>2080.4</v>
      </c>
      <c r="I16" s="166">
        <f t="shared" si="7"/>
        <v>14397</v>
      </c>
      <c r="J16" s="167">
        <f>2083.7-1.7</f>
        <v>2082</v>
      </c>
      <c r="K16" s="167">
        <v>13755.1</v>
      </c>
      <c r="L16" s="168" t="e">
        <f>K16/#REF!*100</f>
        <v>#REF!</v>
      </c>
      <c r="M16" s="168">
        <f t="shared" si="1"/>
        <v>661.1757354354932</v>
      </c>
      <c r="N16" s="163"/>
      <c r="O16" s="163"/>
      <c r="P16" s="166">
        <f t="shared" si="2"/>
        <v>660.6676272814601</v>
      </c>
      <c r="Q16" s="168">
        <f t="shared" si="6"/>
        <v>95.54143224282836</v>
      </c>
      <c r="R16" s="167">
        <f t="shared" si="3"/>
        <v>83.47047757752291</v>
      </c>
    </row>
    <row r="17" spans="1:18" ht="24">
      <c r="A17" s="105" t="s">
        <v>194</v>
      </c>
      <c r="B17" s="105"/>
      <c r="C17" s="103" t="s">
        <v>195</v>
      </c>
      <c r="D17" s="165">
        <f t="shared" si="4"/>
        <v>10176</v>
      </c>
      <c r="E17" s="165">
        <f t="shared" si="5"/>
        <v>4925.5</v>
      </c>
      <c r="F17" s="165">
        <f>802.4+1705</f>
        <v>2507.4</v>
      </c>
      <c r="G17" s="165">
        <v>2418.1</v>
      </c>
      <c r="H17" s="166">
        <f>923.1+3206</f>
        <v>4129.1</v>
      </c>
      <c r="I17" s="166">
        <f t="shared" si="7"/>
        <v>9054.6</v>
      </c>
      <c r="J17" s="167">
        <v>1121.4</v>
      </c>
      <c r="K17" s="167">
        <v>9409.5</v>
      </c>
      <c r="L17" s="168" t="e">
        <f>K17/#REF!*100</f>
        <v>#REF!</v>
      </c>
      <c r="M17" s="168">
        <f t="shared" si="1"/>
        <v>227.88258942626723</v>
      </c>
      <c r="N17" s="163"/>
      <c r="O17" s="163"/>
      <c r="P17" s="166">
        <f t="shared" si="2"/>
        <v>839.0850722311396</v>
      </c>
      <c r="Q17" s="168">
        <f t="shared" si="6"/>
        <v>103.9195547014777</v>
      </c>
      <c r="R17" s="167">
        <f t="shared" si="3"/>
        <v>92.46757075471699</v>
      </c>
    </row>
    <row r="18" spans="1:18" ht="24">
      <c r="A18" s="105" t="s">
        <v>196</v>
      </c>
      <c r="B18" s="105"/>
      <c r="C18" s="103" t="s">
        <v>197</v>
      </c>
      <c r="D18" s="165">
        <f t="shared" si="4"/>
        <v>19500</v>
      </c>
      <c r="E18" s="165">
        <f t="shared" si="5"/>
        <v>7161.7</v>
      </c>
      <c r="F18" s="165">
        <v>2581.7</v>
      </c>
      <c r="G18" s="165">
        <v>4580</v>
      </c>
      <c r="H18" s="166">
        <f>2290+5800</f>
        <v>8090</v>
      </c>
      <c r="I18" s="166">
        <f t="shared" si="7"/>
        <v>15251.7</v>
      </c>
      <c r="J18" s="167">
        <f>1848.3+2400</f>
        <v>4248.3</v>
      </c>
      <c r="K18" s="167">
        <v>15286.2</v>
      </c>
      <c r="L18" s="168" t="e">
        <f>K18/#REF!*100</f>
        <v>#REF!</v>
      </c>
      <c r="M18" s="168">
        <f t="shared" si="1"/>
        <v>188.95179233621758</v>
      </c>
      <c r="N18" s="163"/>
      <c r="O18" s="163"/>
      <c r="P18" s="166">
        <f t="shared" si="2"/>
        <v>359.81922180636957</v>
      </c>
      <c r="Q18" s="168">
        <f t="shared" si="6"/>
        <v>100.22620429198057</v>
      </c>
      <c r="R18" s="167">
        <f t="shared" si="3"/>
        <v>78.39076923076924</v>
      </c>
    </row>
    <row r="19" spans="1:18" ht="12.75">
      <c r="A19" s="105" t="s">
        <v>198</v>
      </c>
      <c r="B19" s="105"/>
      <c r="C19" s="103" t="s">
        <v>199</v>
      </c>
      <c r="D19" s="165">
        <f t="shared" si="4"/>
        <v>6</v>
      </c>
      <c r="E19" s="165">
        <f t="shared" si="5"/>
        <v>6</v>
      </c>
      <c r="F19" s="165">
        <v>2</v>
      </c>
      <c r="G19" s="165">
        <v>4</v>
      </c>
      <c r="H19" s="166"/>
      <c r="I19" s="166">
        <f t="shared" si="7"/>
        <v>6</v>
      </c>
      <c r="J19" s="167">
        <v>0</v>
      </c>
      <c r="K19" s="167">
        <v>5.3</v>
      </c>
      <c r="L19" s="168" t="e">
        <f>K19/#REF!*100</f>
        <v>#REF!</v>
      </c>
      <c r="M19" s="168" t="e">
        <f t="shared" si="1"/>
        <v>#DIV/0!</v>
      </c>
      <c r="N19" s="163"/>
      <c r="O19" s="163"/>
      <c r="P19" s="166" t="e">
        <f t="shared" si="2"/>
        <v>#DIV/0!</v>
      </c>
      <c r="Q19" s="168">
        <f t="shared" si="6"/>
        <v>88.33333333333333</v>
      </c>
      <c r="R19" s="167">
        <f t="shared" si="3"/>
        <v>88.33333333333333</v>
      </c>
    </row>
    <row r="20" spans="1:18" ht="12.75">
      <c r="A20" s="74" t="s">
        <v>200</v>
      </c>
      <c r="B20" s="74"/>
      <c r="C20" s="103" t="s">
        <v>201</v>
      </c>
      <c r="D20" s="165">
        <f t="shared" si="4"/>
        <v>9341</v>
      </c>
      <c r="E20" s="165">
        <f t="shared" si="5"/>
        <v>5979.400000000001</v>
      </c>
      <c r="F20" s="165">
        <v>1423.3</v>
      </c>
      <c r="G20" s="165">
        <v>4556.1</v>
      </c>
      <c r="H20" s="166">
        <f>594.7+1602.3</f>
        <v>2197</v>
      </c>
      <c r="I20" s="166">
        <f t="shared" si="7"/>
        <v>8176.400000000001</v>
      </c>
      <c r="J20" s="167">
        <v>1164.6</v>
      </c>
      <c r="K20" s="167">
        <v>8529.9</v>
      </c>
      <c r="L20" s="168" t="e">
        <f>K20/#REF!*100</f>
        <v>#REF!</v>
      </c>
      <c r="M20" s="168">
        <f t="shared" si="1"/>
        <v>388.25216203914425</v>
      </c>
      <c r="N20" s="163"/>
      <c r="O20" s="163"/>
      <c r="P20" s="166">
        <f t="shared" si="2"/>
        <v>732.4317362184441</v>
      </c>
      <c r="Q20" s="168">
        <f t="shared" si="6"/>
        <v>104.32341861944131</v>
      </c>
      <c r="R20" s="167">
        <f t="shared" si="3"/>
        <v>91.3167755058345</v>
      </c>
    </row>
    <row r="21" spans="1:18" ht="12.75">
      <c r="A21" s="106" t="s">
        <v>202</v>
      </c>
      <c r="B21" s="107"/>
      <c r="C21" s="71" t="s">
        <v>203</v>
      </c>
      <c r="D21" s="165">
        <f t="shared" si="4"/>
        <v>0</v>
      </c>
      <c r="E21" s="165">
        <f t="shared" si="5"/>
        <v>0</v>
      </c>
      <c r="F21" s="165"/>
      <c r="G21" s="165"/>
      <c r="H21" s="166"/>
      <c r="I21" s="166">
        <f t="shared" si="7"/>
        <v>0</v>
      </c>
      <c r="J21" s="167"/>
      <c r="K21" s="167">
        <v>30.8</v>
      </c>
      <c r="L21" s="168"/>
      <c r="M21" s="168"/>
      <c r="N21" s="163"/>
      <c r="O21" s="163"/>
      <c r="P21" s="166"/>
      <c r="Q21" s="168"/>
      <c r="R21" s="167"/>
    </row>
    <row r="22" spans="1:18" ht="12.75">
      <c r="A22" s="99" t="s">
        <v>206</v>
      </c>
      <c r="B22" s="99"/>
      <c r="C22" s="108" t="s">
        <v>207</v>
      </c>
      <c r="D22" s="169">
        <f aca="true" t="shared" si="8" ref="D22:K22">D23+D24+D26+D25</f>
        <v>3054146.3999999994</v>
      </c>
      <c r="E22" s="169">
        <f t="shared" si="8"/>
        <v>992449.8999999999</v>
      </c>
      <c r="F22" s="169">
        <f t="shared" si="8"/>
        <v>239250.40000000002</v>
      </c>
      <c r="G22" s="169">
        <f t="shared" si="8"/>
        <v>753199.5</v>
      </c>
      <c r="H22" s="169">
        <f t="shared" si="8"/>
        <v>865824.2</v>
      </c>
      <c r="I22" s="169">
        <f t="shared" si="8"/>
        <v>1858274.0999999996</v>
      </c>
      <c r="J22" s="169">
        <f t="shared" si="8"/>
        <v>1195872.3</v>
      </c>
      <c r="K22" s="169">
        <f t="shared" si="8"/>
        <v>2095983.4000000001</v>
      </c>
      <c r="L22" s="162" t="e">
        <f>K22/#REF!*100</f>
        <v>#REF!</v>
      </c>
      <c r="M22" s="162">
        <f aca="true" t="shared" si="9" ref="M22:M27">K22/H22*100</f>
        <v>242.07955841382122</v>
      </c>
      <c r="N22" s="163"/>
      <c r="O22" s="163"/>
      <c r="P22" s="170">
        <f t="shared" si="2"/>
        <v>175.26816199355065</v>
      </c>
      <c r="Q22" s="162">
        <f aca="true" t="shared" si="10" ref="Q22:Q27">K22*100/I22</f>
        <v>112.79193957446861</v>
      </c>
      <c r="R22" s="164">
        <f t="shared" si="3"/>
        <v>68.62746985540707</v>
      </c>
    </row>
    <row r="23" spans="1:18" ht="24">
      <c r="A23" s="69" t="s">
        <v>208</v>
      </c>
      <c r="B23" s="67"/>
      <c r="C23" s="109" t="s">
        <v>209</v>
      </c>
      <c r="D23" s="165">
        <f>F23+G23+H23+J23</f>
        <v>3134625.6999999997</v>
      </c>
      <c r="E23" s="165">
        <f t="shared" si="5"/>
        <v>1077481.9</v>
      </c>
      <c r="F23" s="165">
        <v>330882.4</v>
      </c>
      <c r="G23" s="165">
        <v>746599.5</v>
      </c>
      <c r="H23" s="167">
        <f>710028.1-3009.8+167259</f>
        <v>874277.2999999999</v>
      </c>
      <c r="I23" s="166">
        <f>E23+H23</f>
        <v>1951759.1999999997</v>
      </c>
      <c r="J23" s="167">
        <f>1192419.1-9552.6</f>
        <v>1182866.5</v>
      </c>
      <c r="K23" s="167">
        <v>2238102.1</v>
      </c>
      <c r="L23" s="168" t="e">
        <f>K23/#REF!*100</f>
        <v>#REF!</v>
      </c>
      <c r="M23" s="168">
        <f t="shared" si="9"/>
        <v>255.9945339996818</v>
      </c>
      <c r="N23" s="163"/>
      <c r="O23" s="163"/>
      <c r="P23" s="166">
        <f t="shared" si="2"/>
        <v>189.2100334230448</v>
      </c>
      <c r="Q23" s="168">
        <f t="shared" si="10"/>
        <v>114.67101576874853</v>
      </c>
      <c r="R23" s="167">
        <f t="shared" si="3"/>
        <v>71.3993412355421</v>
      </c>
    </row>
    <row r="24" spans="1:18" ht="12.75">
      <c r="A24" s="69" t="s">
        <v>210</v>
      </c>
      <c r="B24" s="69"/>
      <c r="C24" s="110" t="s">
        <v>211</v>
      </c>
      <c r="D24" s="165">
        <f t="shared" si="4"/>
        <v>33005.8</v>
      </c>
      <c r="E24" s="165">
        <f t="shared" si="5"/>
        <v>7400</v>
      </c>
      <c r="F24" s="171">
        <v>800</v>
      </c>
      <c r="G24" s="171">
        <v>6600</v>
      </c>
      <c r="H24" s="167">
        <f>6600+6000</f>
        <v>12600</v>
      </c>
      <c r="I24" s="166">
        <f>E24+H24</f>
        <v>20000</v>
      </c>
      <c r="J24" s="167">
        <f>6000+7005.8</f>
        <v>13005.8</v>
      </c>
      <c r="K24" s="167">
        <v>20832.6</v>
      </c>
      <c r="L24" s="168" t="e">
        <f>K24/#REF!*100</f>
        <v>#REF!</v>
      </c>
      <c r="M24" s="168">
        <f t="shared" si="9"/>
        <v>165.3380952380952</v>
      </c>
      <c r="N24" s="163"/>
      <c r="O24" s="163"/>
      <c r="P24" s="166">
        <f t="shared" si="2"/>
        <v>160.1793046179397</v>
      </c>
      <c r="Q24" s="168">
        <f t="shared" si="10"/>
        <v>104.16299999999998</v>
      </c>
      <c r="R24" s="167">
        <f t="shared" si="3"/>
        <v>63.117997442873666</v>
      </c>
    </row>
    <row r="25" spans="1:18" ht="63" customHeight="1">
      <c r="A25" s="69" t="s">
        <v>212</v>
      </c>
      <c r="B25" s="70" t="s">
        <v>213</v>
      </c>
      <c r="C25" s="71" t="s">
        <v>213</v>
      </c>
      <c r="D25" s="165">
        <f t="shared" si="4"/>
        <v>0</v>
      </c>
      <c r="E25" s="165">
        <f t="shared" si="5"/>
        <v>0</v>
      </c>
      <c r="F25" s="165"/>
      <c r="G25" s="165"/>
      <c r="H25" s="167"/>
      <c r="I25" s="166">
        <f>E25+H25</f>
        <v>0</v>
      </c>
      <c r="J25" s="167"/>
      <c r="K25" s="167"/>
      <c r="L25" s="168" t="e">
        <f>K25/#REF!*100</f>
        <v>#REF!</v>
      </c>
      <c r="M25" s="168"/>
      <c r="N25" s="163"/>
      <c r="O25" s="163"/>
      <c r="P25" s="166" t="e">
        <f t="shared" si="2"/>
        <v>#DIV/0!</v>
      </c>
      <c r="Q25" s="168" t="e">
        <f t="shared" si="10"/>
        <v>#DIV/0!</v>
      </c>
      <c r="R25" s="167"/>
    </row>
    <row r="26" spans="1:18" ht="40.5" customHeight="1">
      <c r="A26" s="69" t="s">
        <v>214</v>
      </c>
      <c r="B26" s="72"/>
      <c r="C26" s="73" t="s">
        <v>215</v>
      </c>
      <c r="D26" s="165">
        <f t="shared" si="4"/>
        <v>-113485.1</v>
      </c>
      <c r="E26" s="165">
        <f t="shared" si="5"/>
        <v>-92432</v>
      </c>
      <c r="F26" s="172">
        <v>-92432</v>
      </c>
      <c r="G26" s="172"/>
      <c r="H26" s="167">
        <v>-21053.1</v>
      </c>
      <c r="I26" s="166">
        <f>E26+H26</f>
        <v>-113485.1</v>
      </c>
      <c r="J26" s="167"/>
      <c r="K26" s="167">
        <v>-162951.3</v>
      </c>
      <c r="L26" s="168" t="e">
        <f>K26/#REF!*100</f>
        <v>#REF!</v>
      </c>
      <c r="M26" s="168"/>
      <c r="N26" s="163"/>
      <c r="O26" s="163"/>
      <c r="P26" s="166" t="e">
        <f t="shared" si="2"/>
        <v>#DIV/0!</v>
      </c>
      <c r="Q26" s="168">
        <f t="shared" si="10"/>
        <v>143.58827722758315</v>
      </c>
      <c r="R26" s="167">
        <f t="shared" si="3"/>
        <v>143.58827722758315</v>
      </c>
    </row>
    <row r="27" spans="1:18" ht="12.75">
      <c r="A27" s="74"/>
      <c r="B27" s="75"/>
      <c r="C27" s="76" t="s">
        <v>216</v>
      </c>
      <c r="D27" s="164">
        <f aca="true" t="shared" si="11" ref="D27:K27">D22+D8</f>
        <v>3958394.2999999993</v>
      </c>
      <c r="E27" s="164">
        <f t="shared" si="11"/>
        <v>1431977</v>
      </c>
      <c r="F27" s="164">
        <f t="shared" si="11"/>
        <v>449835.5</v>
      </c>
      <c r="G27" s="164">
        <f t="shared" si="11"/>
        <v>982141.5</v>
      </c>
      <c r="H27" s="164">
        <f t="shared" si="11"/>
        <v>1086016.9</v>
      </c>
      <c r="I27" s="164">
        <f t="shared" si="11"/>
        <v>2517993.8999999994</v>
      </c>
      <c r="J27" s="164">
        <f t="shared" si="11"/>
        <v>1440400.4</v>
      </c>
      <c r="K27" s="164">
        <f t="shared" si="11"/>
        <v>2751624.3000000003</v>
      </c>
      <c r="L27" s="162" t="e">
        <f>K27/#REF!*100</f>
        <v>#REF!</v>
      </c>
      <c r="M27" s="162">
        <f t="shared" si="9"/>
        <v>253.36846047239234</v>
      </c>
      <c r="N27" s="163"/>
      <c r="O27" s="173" t="e">
        <f>J27+#REF!+#REF!</f>
        <v>#REF!</v>
      </c>
      <c r="P27" s="170">
        <f t="shared" si="2"/>
        <v>191.03190335131816</v>
      </c>
      <c r="Q27" s="162">
        <f t="shared" si="10"/>
        <v>109.27843391518941</v>
      </c>
      <c r="R27" s="164">
        <f t="shared" si="3"/>
        <v>69.5136485013633</v>
      </c>
    </row>
    <row r="28" spans="1:18" ht="12.75">
      <c r="A28" s="230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2"/>
      <c r="N28" s="102"/>
      <c r="O28" s="102"/>
      <c r="P28" s="111"/>
      <c r="Q28" s="101"/>
      <c r="R28" s="77"/>
    </row>
    <row r="29" spans="1:18" ht="12.75">
      <c r="A29" s="229" t="s">
        <v>217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101"/>
      <c r="R29" s="77"/>
    </row>
    <row r="30" spans="1:18" ht="12.75">
      <c r="A30" s="99" t="s">
        <v>178</v>
      </c>
      <c r="B30" s="99"/>
      <c r="C30" s="100" t="s">
        <v>179</v>
      </c>
      <c r="D30" s="162">
        <f aca="true" t="shared" si="12" ref="D30:J30">D31+D32+D34+D36+D33+D35+D37</f>
        <v>15651</v>
      </c>
      <c r="E30" s="162">
        <f t="shared" si="12"/>
        <v>7827.2</v>
      </c>
      <c r="F30" s="162">
        <f t="shared" si="12"/>
        <v>3915.1999999999994</v>
      </c>
      <c r="G30" s="162">
        <f t="shared" si="12"/>
        <v>3912.0000000000005</v>
      </c>
      <c r="H30" s="162">
        <f t="shared" si="12"/>
        <v>3911.6999999999994</v>
      </c>
      <c r="I30" s="162">
        <f t="shared" si="12"/>
        <v>11738.900000000001</v>
      </c>
      <c r="J30" s="162">
        <f t="shared" si="12"/>
        <v>3912.1000000000004</v>
      </c>
      <c r="K30" s="162">
        <f>K31+K32+K34+K36+K33+K35+K37</f>
        <v>10584.6</v>
      </c>
      <c r="L30" s="162" t="e">
        <f>K30/#REF!*100</f>
        <v>#REF!</v>
      </c>
      <c r="M30" s="162">
        <f aca="true" t="shared" si="13" ref="M30:M36">K30/H30*100</f>
        <v>270.5882352941177</v>
      </c>
      <c r="N30" s="163"/>
      <c r="O30" s="163"/>
      <c r="P30" s="162">
        <f t="shared" si="2"/>
        <v>270.5605684926254</v>
      </c>
      <c r="Q30" s="162">
        <f aca="true" t="shared" si="14" ref="Q30:Q38">K30*100/I30</f>
        <v>90.16688105359104</v>
      </c>
      <c r="R30" s="164">
        <f t="shared" si="3"/>
        <v>67.62890550124592</v>
      </c>
    </row>
    <row r="31" spans="1:18" ht="12.75">
      <c r="A31" s="67" t="s">
        <v>180</v>
      </c>
      <c r="B31" s="67"/>
      <c r="C31" s="112" t="s">
        <v>181</v>
      </c>
      <c r="D31" s="165">
        <f aca="true" t="shared" si="15" ref="D31:D36">F31+G31+H31+J31</f>
        <v>14175</v>
      </c>
      <c r="E31" s="165">
        <f aca="true" t="shared" si="16" ref="E31:E36">F31+G31</f>
        <v>7087.5</v>
      </c>
      <c r="F31" s="174">
        <v>3543.7</v>
      </c>
      <c r="G31" s="174">
        <v>3543.8</v>
      </c>
      <c r="H31" s="166">
        <v>3543.7</v>
      </c>
      <c r="I31" s="166">
        <f>E31+H31</f>
        <v>10631.2</v>
      </c>
      <c r="J31" s="167">
        <v>3543.8</v>
      </c>
      <c r="K31" s="175">
        <v>8936.7</v>
      </c>
      <c r="L31" s="168" t="e">
        <f>K31/#REF!*100</f>
        <v>#REF!</v>
      </c>
      <c r="M31" s="168">
        <f t="shared" si="13"/>
        <v>252.18556875582024</v>
      </c>
      <c r="N31" s="163"/>
      <c r="O31" s="163"/>
      <c r="P31" s="166">
        <f t="shared" si="2"/>
        <v>252.1784525086066</v>
      </c>
      <c r="Q31" s="168">
        <f t="shared" si="14"/>
        <v>84.06106554293025</v>
      </c>
      <c r="R31" s="167">
        <f t="shared" si="3"/>
        <v>63.04550264550265</v>
      </c>
    </row>
    <row r="32" spans="1:18" ht="12.75">
      <c r="A32" s="67" t="s">
        <v>184</v>
      </c>
      <c r="B32" s="67"/>
      <c r="C32" s="103" t="s">
        <v>185</v>
      </c>
      <c r="D32" s="165">
        <f t="shared" si="15"/>
        <v>432</v>
      </c>
      <c r="E32" s="165">
        <f t="shared" si="16"/>
        <v>216</v>
      </c>
      <c r="F32" s="165">
        <v>108</v>
      </c>
      <c r="G32" s="165">
        <v>108</v>
      </c>
      <c r="H32" s="166">
        <v>108</v>
      </c>
      <c r="I32" s="166">
        <f aca="true" t="shared" si="17" ref="I32:I40">E32+H32</f>
        <v>324</v>
      </c>
      <c r="J32" s="167">
        <v>108</v>
      </c>
      <c r="K32" s="167">
        <v>156</v>
      </c>
      <c r="L32" s="168" t="e">
        <f>K32/#REF!*100</f>
        <v>#REF!</v>
      </c>
      <c r="M32" s="168">
        <f t="shared" si="13"/>
        <v>144.44444444444443</v>
      </c>
      <c r="N32" s="163"/>
      <c r="O32" s="163"/>
      <c r="P32" s="166">
        <f t="shared" si="2"/>
        <v>144.44444444444446</v>
      </c>
      <c r="Q32" s="168">
        <f t="shared" si="14"/>
        <v>48.148148148148145</v>
      </c>
      <c r="R32" s="167">
        <f t="shared" si="3"/>
        <v>36.111111111111114</v>
      </c>
    </row>
    <row r="33" spans="1:18" ht="12.75">
      <c r="A33" s="67" t="s">
        <v>186</v>
      </c>
      <c r="B33" s="67"/>
      <c r="C33" s="103" t="s">
        <v>187</v>
      </c>
      <c r="D33" s="165">
        <f t="shared" si="15"/>
        <v>23</v>
      </c>
      <c r="E33" s="165">
        <f t="shared" si="16"/>
        <v>11.5</v>
      </c>
      <c r="F33" s="165">
        <v>5.7</v>
      </c>
      <c r="G33" s="165">
        <v>5.8</v>
      </c>
      <c r="H33" s="166">
        <v>5.7</v>
      </c>
      <c r="I33" s="166">
        <f t="shared" si="17"/>
        <v>17.2</v>
      </c>
      <c r="J33" s="167">
        <v>5.8</v>
      </c>
      <c r="K33" s="167">
        <v>15.9</v>
      </c>
      <c r="L33" s="168" t="e">
        <f>K33/#REF!*100</f>
        <v>#REF!</v>
      </c>
      <c r="M33" s="168">
        <f t="shared" si="13"/>
        <v>278.9473684210526</v>
      </c>
      <c r="N33" s="163"/>
      <c r="O33" s="163"/>
      <c r="P33" s="166">
        <f t="shared" si="2"/>
        <v>274.1379310344828</v>
      </c>
      <c r="Q33" s="168">
        <f t="shared" si="14"/>
        <v>92.44186046511628</v>
      </c>
      <c r="R33" s="167">
        <f t="shared" si="3"/>
        <v>69.1304347826087</v>
      </c>
    </row>
    <row r="34" spans="1:18" ht="24">
      <c r="A34" s="68" t="s">
        <v>190</v>
      </c>
      <c r="B34" s="68"/>
      <c r="C34" s="103" t="s">
        <v>191</v>
      </c>
      <c r="D34" s="165">
        <f t="shared" si="15"/>
        <v>925</v>
      </c>
      <c r="E34" s="165">
        <f t="shared" si="16"/>
        <v>462.5</v>
      </c>
      <c r="F34" s="165">
        <v>231.2</v>
      </c>
      <c r="G34" s="165">
        <v>231.3</v>
      </c>
      <c r="H34" s="166">
        <v>231.2</v>
      </c>
      <c r="I34" s="166">
        <f t="shared" si="17"/>
        <v>693.7</v>
      </c>
      <c r="J34" s="167">
        <v>231.3</v>
      </c>
      <c r="K34" s="167">
        <v>1385.1</v>
      </c>
      <c r="L34" s="168" t="e">
        <f>K34/#REF!*100</f>
        <v>#REF!</v>
      </c>
      <c r="M34" s="168">
        <f t="shared" si="13"/>
        <v>599.0916955017301</v>
      </c>
      <c r="N34" s="163"/>
      <c r="O34" s="163"/>
      <c r="P34" s="166">
        <f t="shared" si="2"/>
        <v>598.8326848249027</v>
      </c>
      <c r="Q34" s="168">
        <f t="shared" si="14"/>
        <v>199.6684445725818</v>
      </c>
      <c r="R34" s="167">
        <f t="shared" si="3"/>
        <v>149.74054054054054</v>
      </c>
    </row>
    <row r="35" spans="1:18" ht="24">
      <c r="A35" s="105" t="s">
        <v>194</v>
      </c>
      <c r="B35" s="105"/>
      <c r="C35" s="103" t="s">
        <v>195</v>
      </c>
      <c r="D35" s="165">
        <f t="shared" si="15"/>
        <v>3.5</v>
      </c>
      <c r="E35" s="165">
        <f t="shared" si="16"/>
        <v>3.5</v>
      </c>
      <c r="F35" s="165">
        <f>3.5</f>
        <v>3.5</v>
      </c>
      <c r="G35" s="165"/>
      <c r="H35" s="166"/>
      <c r="I35" s="166">
        <f t="shared" si="17"/>
        <v>3.5</v>
      </c>
      <c r="J35" s="167"/>
      <c r="K35" s="167">
        <v>3.5</v>
      </c>
      <c r="L35" s="168"/>
      <c r="M35" s="168"/>
      <c r="N35" s="163"/>
      <c r="O35" s="163"/>
      <c r="P35" s="166"/>
      <c r="Q35" s="168">
        <f t="shared" si="14"/>
        <v>100</v>
      </c>
      <c r="R35" s="167">
        <f t="shared" si="3"/>
        <v>100</v>
      </c>
    </row>
    <row r="36" spans="1:18" ht="24">
      <c r="A36" s="104" t="s">
        <v>196</v>
      </c>
      <c r="B36" s="104"/>
      <c r="C36" s="103" t="s">
        <v>197</v>
      </c>
      <c r="D36" s="165">
        <f t="shared" si="15"/>
        <v>92.50000000000001</v>
      </c>
      <c r="E36" s="165">
        <f t="shared" si="16"/>
        <v>46.2</v>
      </c>
      <c r="F36" s="165">
        <v>23.1</v>
      </c>
      <c r="G36" s="165">
        <v>23.1</v>
      </c>
      <c r="H36" s="166">
        <v>23.1</v>
      </c>
      <c r="I36" s="166">
        <f t="shared" si="17"/>
        <v>69.30000000000001</v>
      </c>
      <c r="J36" s="167">
        <v>23.2</v>
      </c>
      <c r="K36" s="167">
        <v>67.1</v>
      </c>
      <c r="L36" s="168" t="e">
        <f>K36/#REF!*100</f>
        <v>#REF!</v>
      </c>
      <c r="M36" s="168">
        <f t="shared" si="13"/>
        <v>290.4761904761904</v>
      </c>
      <c r="N36" s="163"/>
      <c r="O36" s="163"/>
      <c r="P36" s="166">
        <f t="shared" si="2"/>
        <v>289.2241379310345</v>
      </c>
      <c r="Q36" s="168">
        <f t="shared" si="14"/>
        <v>96.8253968253968</v>
      </c>
      <c r="R36" s="167">
        <f t="shared" si="3"/>
        <v>72.54054054054052</v>
      </c>
    </row>
    <row r="37" spans="1:18" ht="12.75">
      <c r="A37" s="106" t="s">
        <v>202</v>
      </c>
      <c r="B37" s="107"/>
      <c r="C37" s="71" t="s">
        <v>203</v>
      </c>
      <c r="D37" s="176"/>
      <c r="E37" s="177"/>
      <c r="F37" s="177"/>
      <c r="G37" s="177"/>
      <c r="H37" s="166"/>
      <c r="I37" s="166">
        <f t="shared" si="17"/>
        <v>0</v>
      </c>
      <c r="J37" s="167"/>
      <c r="K37" s="167">
        <v>20.3</v>
      </c>
      <c r="L37" s="168"/>
      <c r="M37" s="168"/>
      <c r="N37" s="163"/>
      <c r="O37" s="163"/>
      <c r="P37" s="166" t="e">
        <f t="shared" si="2"/>
        <v>#DIV/0!</v>
      </c>
      <c r="Q37" s="168"/>
      <c r="R37" s="164"/>
    </row>
    <row r="38" spans="1:18" ht="12.75">
      <c r="A38" s="99" t="s">
        <v>206</v>
      </c>
      <c r="B38" s="99"/>
      <c r="C38" s="108" t="s">
        <v>207</v>
      </c>
      <c r="D38" s="169">
        <f>D39+D40</f>
        <v>8757.4</v>
      </c>
      <c r="E38" s="169">
        <f aca="true" t="shared" si="18" ref="E38:K38">E39+E40</f>
        <v>3532.2</v>
      </c>
      <c r="F38" s="169">
        <f t="shared" si="18"/>
        <v>1738.6999999999998</v>
      </c>
      <c r="G38" s="169">
        <f t="shared" si="18"/>
        <v>1793.5</v>
      </c>
      <c r="H38" s="169">
        <f t="shared" si="18"/>
        <v>2889.6999999999994</v>
      </c>
      <c r="I38" s="169">
        <f t="shared" si="18"/>
        <v>6421.899999999999</v>
      </c>
      <c r="J38" s="169">
        <f t="shared" si="18"/>
        <v>2335.5</v>
      </c>
      <c r="K38" s="169">
        <f t="shared" si="18"/>
        <v>6488.8</v>
      </c>
      <c r="L38" s="169" t="e">
        <f>L39</f>
        <v>#REF!</v>
      </c>
      <c r="M38" s="162">
        <f>K38/H38*100</f>
        <v>224.54926116897954</v>
      </c>
      <c r="N38" s="163"/>
      <c r="O38" s="163"/>
      <c r="P38" s="170">
        <f t="shared" si="2"/>
        <v>277.83344037679296</v>
      </c>
      <c r="Q38" s="162">
        <f t="shared" si="14"/>
        <v>101.04174776935177</v>
      </c>
      <c r="R38" s="164">
        <f t="shared" si="3"/>
        <v>74.09505104254687</v>
      </c>
    </row>
    <row r="39" spans="1:18" ht="24">
      <c r="A39" s="69" t="s">
        <v>208</v>
      </c>
      <c r="B39" s="67"/>
      <c r="C39" s="109" t="s">
        <v>209</v>
      </c>
      <c r="D39" s="165">
        <f>F39+G39+H39+J39</f>
        <v>8674.199999999999</v>
      </c>
      <c r="E39" s="165">
        <f>F39+G39</f>
        <v>3507.2</v>
      </c>
      <c r="F39" s="178">
        <f>1735.6+3.1</f>
        <v>1738.6999999999998</v>
      </c>
      <c r="G39" s="178">
        <f>1735.5+7.6+25.4</f>
        <v>1768.5</v>
      </c>
      <c r="H39" s="166">
        <f>1735.6+845.8+215.9+34.2</f>
        <v>2831.4999999999995</v>
      </c>
      <c r="I39" s="166">
        <f t="shared" si="17"/>
        <v>6338.699999999999</v>
      </c>
      <c r="J39" s="178">
        <f>1735.5+600</f>
        <v>2335.5</v>
      </c>
      <c r="K39" s="167">
        <v>6405.6</v>
      </c>
      <c r="L39" s="168" t="e">
        <f>K39/#REF!*100</f>
        <v>#REF!</v>
      </c>
      <c r="M39" s="168">
        <f>K39/H39*100</f>
        <v>226.22638177644365</v>
      </c>
      <c r="N39" s="163"/>
      <c r="O39" s="163"/>
      <c r="P39" s="166">
        <f t="shared" si="2"/>
        <v>274.27103403982017</v>
      </c>
      <c r="Q39" s="168">
        <f>K39*100/I39</f>
        <v>101.05542145865873</v>
      </c>
      <c r="R39" s="167">
        <f t="shared" si="3"/>
        <v>73.84657951165526</v>
      </c>
    </row>
    <row r="40" spans="1:18" ht="12.75">
      <c r="A40" s="69" t="s">
        <v>210</v>
      </c>
      <c r="B40" s="69"/>
      <c r="C40" s="110" t="s">
        <v>211</v>
      </c>
      <c r="D40" s="165">
        <f>F40+G40+H40+J40</f>
        <v>83.19999999999999</v>
      </c>
      <c r="E40" s="165">
        <f>F40+G40</f>
        <v>25</v>
      </c>
      <c r="F40" s="178"/>
      <c r="G40" s="178">
        <v>25</v>
      </c>
      <c r="H40" s="166">
        <f>48.3+9.9</f>
        <v>58.199999999999996</v>
      </c>
      <c r="I40" s="166">
        <f t="shared" si="17"/>
        <v>83.19999999999999</v>
      </c>
      <c r="J40" s="178"/>
      <c r="K40" s="167">
        <v>83.2</v>
      </c>
      <c r="L40" s="168"/>
      <c r="M40" s="168"/>
      <c r="N40" s="163"/>
      <c r="O40" s="163"/>
      <c r="P40" s="166"/>
      <c r="Q40" s="168">
        <f>K40*100/I40</f>
        <v>100.00000000000001</v>
      </c>
      <c r="R40" s="167">
        <f t="shared" si="3"/>
        <v>100.00000000000001</v>
      </c>
    </row>
    <row r="41" spans="1:18" ht="12.75">
      <c r="A41" s="74"/>
      <c r="B41" s="75"/>
      <c r="C41" s="76" t="s">
        <v>216</v>
      </c>
      <c r="D41" s="164">
        <f aca="true" t="shared" si="19" ref="D41:J41">D38+D30</f>
        <v>24408.4</v>
      </c>
      <c r="E41" s="164">
        <f t="shared" si="19"/>
        <v>11359.4</v>
      </c>
      <c r="F41" s="164">
        <f t="shared" si="19"/>
        <v>5653.9</v>
      </c>
      <c r="G41" s="164">
        <f t="shared" si="19"/>
        <v>5705.5</v>
      </c>
      <c r="H41" s="164">
        <f t="shared" si="19"/>
        <v>6801.399999999999</v>
      </c>
      <c r="I41" s="164">
        <f t="shared" si="19"/>
        <v>18160.8</v>
      </c>
      <c r="J41" s="164">
        <f t="shared" si="19"/>
        <v>6247.6</v>
      </c>
      <c r="K41" s="164">
        <f>K38+K30</f>
        <v>17073.4</v>
      </c>
      <c r="L41" s="162" t="e">
        <f>K41/#REF!*100</f>
        <v>#REF!</v>
      </c>
      <c r="M41" s="162">
        <f>K41/H41*100</f>
        <v>251.02772958508547</v>
      </c>
      <c r="N41" s="163"/>
      <c r="O41" s="173" t="e">
        <f>J41+#REF!+#REF!</f>
        <v>#REF!</v>
      </c>
      <c r="P41" s="170">
        <f t="shared" si="2"/>
        <v>273.27933926627827</v>
      </c>
      <c r="Q41" s="162">
        <f>K41*100/I41</f>
        <v>94.0123783093256</v>
      </c>
      <c r="R41" s="164">
        <f t="shared" si="3"/>
        <v>69.9488700611265</v>
      </c>
    </row>
    <row r="42" spans="1:18" ht="12.75">
      <c r="A42" s="113"/>
      <c r="B42" s="11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5"/>
      <c r="N42" s="102"/>
      <c r="O42" s="102"/>
      <c r="P42" s="111"/>
      <c r="Q42" s="101"/>
      <c r="R42" s="77"/>
    </row>
    <row r="43" spans="1:18" ht="12.75">
      <c r="A43" s="229" t="s">
        <v>218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101"/>
      <c r="R43" s="77"/>
    </row>
    <row r="44" spans="1:18" ht="12.75">
      <c r="A44" s="99" t="s">
        <v>178</v>
      </c>
      <c r="B44" s="99"/>
      <c r="C44" s="100" t="s">
        <v>179</v>
      </c>
      <c r="D44" s="162">
        <f aca="true" t="shared" si="20" ref="D44:K44">D45+D47+D49+D50+D51+D52+D48+D46</f>
        <v>14517.9</v>
      </c>
      <c r="E44" s="162">
        <f t="shared" si="20"/>
        <v>6757.400000000001</v>
      </c>
      <c r="F44" s="162">
        <f t="shared" si="20"/>
        <v>2836.3</v>
      </c>
      <c r="G44" s="162">
        <f t="shared" si="20"/>
        <v>3921.1000000000004</v>
      </c>
      <c r="H44" s="162">
        <f t="shared" si="20"/>
        <v>3484.2000000000003</v>
      </c>
      <c r="I44" s="162">
        <f t="shared" si="20"/>
        <v>10241.6</v>
      </c>
      <c r="J44" s="162">
        <f t="shared" si="20"/>
        <v>4276.299999999999</v>
      </c>
      <c r="K44" s="162">
        <f t="shared" si="20"/>
        <v>12268.1</v>
      </c>
      <c r="L44" s="162" t="e">
        <f>K44/#REF!*100</f>
        <v>#REF!</v>
      </c>
      <c r="M44" s="162">
        <f>K44/H44*100</f>
        <v>352.10665289019</v>
      </c>
      <c r="N44" s="163"/>
      <c r="O44" s="163"/>
      <c r="P44" s="162">
        <f t="shared" si="2"/>
        <v>286.88585927086507</v>
      </c>
      <c r="Q44" s="162">
        <f>K44*100/I44</f>
        <v>119.78694735197625</v>
      </c>
      <c r="R44" s="164">
        <f t="shared" si="3"/>
        <v>84.50326837903553</v>
      </c>
    </row>
    <row r="45" spans="1:18" ht="12.75">
      <c r="A45" s="74" t="s">
        <v>180</v>
      </c>
      <c r="B45" s="67"/>
      <c r="C45" s="112" t="s">
        <v>181</v>
      </c>
      <c r="D45" s="165">
        <f aca="true" t="shared" si="21" ref="D45:D56">F45+G45+H45+J45</f>
        <v>11550</v>
      </c>
      <c r="E45" s="165">
        <f aca="true" t="shared" si="22" ref="E45:E56">F45+G45</f>
        <v>5102.200000000001</v>
      </c>
      <c r="F45" s="165">
        <v>2342.8</v>
      </c>
      <c r="G45" s="165">
        <v>2759.4</v>
      </c>
      <c r="H45" s="166">
        <v>2759.4</v>
      </c>
      <c r="I45" s="166">
        <f>E45+H45</f>
        <v>7861.6</v>
      </c>
      <c r="J45" s="167">
        <v>3688.4</v>
      </c>
      <c r="K45" s="175">
        <v>9936</v>
      </c>
      <c r="L45" s="168" t="e">
        <f>K45/#REF!*100</f>
        <v>#REF!</v>
      </c>
      <c r="M45" s="168">
        <f>K45/H45*100</f>
        <v>360.07827788649706</v>
      </c>
      <c r="N45" s="163"/>
      <c r="O45" s="163"/>
      <c r="P45" s="166">
        <f t="shared" si="2"/>
        <v>269.38509923001845</v>
      </c>
      <c r="Q45" s="168">
        <f>K45*100/I45</f>
        <v>126.38648621145822</v>
      </c>
      <c r="R45" s="167">
        <f t="shared" si="3"/>
        <v>86.02597402597402</v>
      </c>
    </row>
    <row r="46" spans="1:18" ht="12.75">
      <c r="A46" s="67" t="s">
        <v>182</v>
      </c>
      <c r="B46" s="67"/>
      <c r="C46" s="103" t="s">
        <v>183</v>
      </c>
      <c r="D46" s="165">
        <f t="shared" si="21"/>
        <v>9.5</v>
      </c>
      <c r="E46" s="165">
        <f t="shared" si="22"/>
        <v>4.8</v>
      </c>
      <c r="F46" s="165">
        <v>1.5</v>
      </c>
      <c r="G46" s="165">
        <v>3.3</v>
      </c>
      <c r="H46" s="166">
        <v>2.3</v>
      </c>
      <c r="I46" s="166">
        <f aca="true" t="shared" si="23" ref="I46:I52">E46+H46</f>
        <v>7.1</v>
      </c>
      <c r="J46" s="167">
        <v>2.4</v>
      </c>
      <c r="K46" s="175">
        <v>22.3</v>
      </c>
      <c r="L46" s="168" t="e">
        <f>K46/#REF!*100</f>
        <v>#REF!</v>
      </c>
      <c r="M46" s="168">
        <f>K46/H46*100</f>
        <v>969.5652173913045</v>
      </c>
      <c r="N46" s="163"/>
      <c r="O46" s="163"/>
      <c r="P46" s="166">
        <f t="shared" si="2"/>
        <v>929.1666666666667</v>
      </c>
      <c r="Q46" s="168">
        <f aca="true" t="shared" si="24" ref="Q46:Q55">K46*100/I46</f>
        <v>314.08450704225356</v>
      </c>
      <c r="R46" s="167">
        <f t="shared" si="3"/>
        <v>234.73684210526315</v>
      </c>
    </row>
    <row r="47" spans="1:18" ht="12.75">
      <c r="A47" s="67" t="s">
        <v>184</v>
      </c>
      <c r="B47" s="67"/>
      <c r="C47" s="103" t="s">
        <v>185</v>
      </c>
      <c r="D47" s="165">
        <f t="shared" si="21"/>
        <v>1780</v>
      </c>
      <c r="E47" s="165">
        <f t="shared" si="22"/>
        <v>855</v>
      </c>
      <c r="F47" s="165">
        <v>411</v>
      </c>
      <c r="G47" s="165">
        <v>444</v>
      </c>
      <c r="H47" s="166">
        <v>444</v>
      </c>
      <c r="I47" s="166">
        <f t="shared" si="23"/>
        <v>1299</v>
      </c>
      <c r="J47" s="167">
        <v>481</v>
      </c>
      <c r="K47" s="167">
        <v>772.4</v>
      </c>
      <c r="L47" s="168" t="e">
        <f>K47/#REF!*100</f>
        <v>#REF!</v>
      </c>
      <c r="M47" s="168">
        <f>K47/H47*100</f>
        <v>173.96396396396398</v>
      </c>
      <c r="N47" s="163"/>
      <c r="O47" s="163"/>
      <c r="P47" s="166">
        <f t="shared" si="2"/>
        <v>160.58212058212058</v>
      </c>
      <c r="Q47" s="168">
        <f t="shared" si="24"/>
        <v>59.461123941493454</v>
      </c>
      <c r="R47" s="167">
        <f t="shared" si="3"/>
        <v>43.39325842696629</v>
      </c>
    </row>
    <row r="48" spans="1:18" ht="12.75">
      <c r="A48" s="67" t="s">
        <v>186</v>
      </c>
      <c r="B48" s="67"/>
      <c r="C48" s="103" t="s">
        <v>187</v>
      </c>
      <c r="D48" s="165">
        <f t="shared" si="21"/>
        <v>0</v>
      </c>
      <c r="E48" s="165">
        <f t="shared" si="22"/>
        <v>0</v>
      </c>
      <c r="F48" s="165"/>
      <c r="G48" s="165"/>
      <c r="H48" s="166"/>
      <c r="I48" s="166">
        <f t="shared" si="23"/>
        <v>0</v>
      </c>
      <c r="J48" s="167"/>
      <c r="K48" s="167"/>
      <c r="L48" s="168"/>
      <c r="M48" s="168"/>
      <c r="N48" s="163"/>
      <c r="O48" s="163"/>
      <c r="P48" s="166" t="e">
        <f t="shared" si="2"/>
        <v>#DIV/0!</v>
      </c>
      <c r="Q48" s="168" t="e">
        <f t="shared" si="24"/>
        <v>#DIV/0!</v>
      </c>
      <c r="R48" s="167" t="e">
        <f t="shared" si="3"/>
        <v>#DIV/0!</v>
      </c>
    </row>
    <row r="49" spans="1:18" ht="24">
      <c r="A49" s="68" t="s">
        <v>190</v>
      </c>
      <c r="B49" s="68"/>
      <c r="C49" s="103" t="s">
        <v>191</v>
      </c>
      <c r="D49" s="165">
        <f t="shared" si="21"/>
        <v>848.9</v>
      </c>
      <c r="E49" s="165">
        <f t="shared" si="22"/>
        <v>722.9</v>
      </c>
      <c r="F49" s="165">
        <v>46</v>
      </c>
      <c r="G49" s="165">
        <v>676.9</v>
      </c>
      <c r="H49" s="166">
        <v>61.5</v>
      </c>
      <c r="I49" s="166">
        <f t="shared" si="23"/>
        <v>784.4</v>
      </c>
      <c r="J49" s="167">
        <v>64.5</v>
      </c>
      <c r="K49" s="167">
        <v>1183.2</v>
      </c>
      <c r="L49" s="168" t="e">
        <f>K49/#REF!*100</f>
        <v>#REF!</v>
      </c>
      <c r="M49" s="168">
        <f>K49/H49*100</f>
        <v>1923.90243902439</v>
      </c>
      <c r="N49" s="163"/>
      <c r="O49" s="163"/>
      <c r="P49" s="166">
        <f t="shared" si="2"/>
        <v>1834.4186046511627</v>
      </c>
      <c r="Q49" s="168">
        <f t="shared" si="24"/>
        <v>150.84140744518103</v>
      </c>
      <c r="R49" s="167">
        <f t="shared" si="3"/>
        <v>139.38037460242668</v>
      </c>
    </row>
    <row r="50" spans="1:18" ht="24">
      <c r="A50" s="105" t="s">
        <v>196</v>
      </c>
      <c r="B50" s="105"/>
      <c r="C50" s="103" t="s">
        <v>197</v>
      </c>
      <c r="D50" s="165">
        <f t="shared" si="21"/>
        <v>300</v>
      </c>
      <c r="E50" s="165">
        <f t="shared" si="22"/>
        <v>72.5</v>
      </c>
      <c r="F50" s="165">
        <v>35</v>
      </c>
      <c r="G50" s="165">
        <v>37.5</v>
      </c>
      <c r="H50" s="166">
        <f>37.5+150</f>
        <v>187.5</v>
      </c>
      <c r="I50" s="166">
        <f t="shared" si="23"/>
        <v>260</v>
      </c>
      <c r="J50" s="167">
        <v>40</v>
      </c>
      <c r="K50" s="167">
        <v>324.7</v>
      </c>
      <c r="L50" s="168" t="e">
        <f>K50/#REF!*100</f>
        <v>#REF!</v>
      </c>
      <c r="M50" s="168">
        <f>K50/H50*100</f>
        <v>173.17333333333335</v>
      </c>
      <c r="N50" s="163"/>
      <c r="O50" s="163"/>
      <c r="P50" s="166">
        <f t="shared" si="2"/>
        <v>811.75</v>
      </c>
      <c r="Q50" s="168">
        <f t="shared" si="24"/>
        <v>124.88461538461539</v>
      </c>
      <c r="R50" s="167">
        <f t="shared" si="3"/>
        <v>108.23333333333333</v>
      </c>
    </row>
    <row r="51" spans="1:18" ht="12.75">
      <c r="A51" s="74" t="s">
        <v>200</v>
      </c>
      <c r="B51" s="74"/>
      <c r="C51" s="103" t="s">
        <v>201</v>
      </c>
      <c r="D51" s="165">
        <f t="shared" si="21"/>
        <v>29.5</v>
      </c>
      <c r="E51" s="165">
        <f t="shared" si="22"/>
        <v>0</v>
      </c>
      <c r="F51" s="165"/>
      <c r="G51" s="165"/>
      <c r="H51" s="166">
        <v>29.5</v>
      </c>
      <c r="I51" s="166">
        <f t="shared" si="23"/>
        <v>29.5</v>
      </c>
      <c r="J51" s="167"/>
      <c r="K51" s="167">
        <v>29.5</v>
      </c>
      <c r="L51" s="168" t="e">
        <f>K51/#REF!*100</f>
        <v>#REF!</v>
      </c>
      <c r="M51" s="168"/>
      <c r="N51" s="163"/>
      <c r="O51" s="163"/>
      <c r="P51" s="166" t="e">
        <f t="shared" si="2"/>
        <v>#DIV/0!</v>
      </c>
      <c r="Q51" s="168">
        <f t="shared" si="24"/>
        <v>100</v>
      </c>
      <c r="R51" s="167">
        <f t="shared" si="3"/>
        <v>100</v>
      </c>
    </row>
    <row r="52" spans="1:18" ht="12.75">
      <c r="A52" s="115" t="s">
        <v>202</v>
      </c>
      <c r="B52" s="107"/>
      <c r="C52" s="71" t="s">
        <v>203</v>
      </c>
      <c r="D52" s="165">
        <f t="shared" si="21"/>
        <v>0</v>
      </c>
      <c r="E52" s="165">
        <f t="shared" si="22"/>
        <v>0</v>
      </c>
      <c r="F52" s="165"/>
      <c r="G52" s="165"/>
      <c r="H52" s="166"/>
      <c r="I52" s="166">
        <f t="shared" si="23"/>
        <v>0</v>
      </c>
      <c r="J52" s="167"/>
      <c r="K52" s="167">
        <v>0</v>
      </c>
      <c r="L52" s="168"/>
      <c r="M52" s="168"/>
      <c r="N52" s="163"/>
      <c r="O52" s="163"/>
      <c r="P52" s="166" t="e">
        <f t="shared" si="2"/>
        <v>#DIV/0!</v>
      </c>
      <c r="Q52" s="168"/>
      <c r="R52" s="167"/>
    </row>
    <row r="53" spans="1:18" ht="12.75">
      <c r="A53" s="116" t="s">
        <v>206</v>
      </c>
      <c r="B53" s="116"/>
      <c r="C53" s="108" t="s">
        <v>207</v>
      </c>
      <c r="D53" s="169">
        <f>D54+D56+D55</f>
        <v>31672.4</v>
      </c>
      <c r="E53" s="169">
        <f aca="true" t="shared" si="25" ref="E53:P53">E54+E56+E55</f>
        <v>22401.5</v>
      </c>
      <c r="F53" s="169">
        <f t="shared" si="25"/>
        <v>14340.4</v>
      </c>
      <c r="G53" s="169">
        <f t="shared" si="25"/>
        <v>8061.1</v>
      </c>
      <c r="H53" s="169">
        <f t="shared" si="25"/>
        <v>3164</v>
      </c>
      <c r="I53" s="169">
        <f t="shared" si="25"/>
        <v>25565.5</v>
      </c>
      <c r="J53" s="169">
        <f t="shared" si="25"/>
        <v>6106.9</v>
      </c>
      <c r="K53" s="169">
        <f t="shared" si="25"/>
        <v>22286.3</v>
      </c>
      <c r="L53" s="169" t="e">
        <f t="shared" si="25"/>
        <v>#REF!</v>
      </c>
      <c r="M53" s="169">
        <f t="shared" si="25"/>
        <v>291.48421355515444</v>
      </c>
      <c r="N53" s="169">
        <f t="shared" si="25"/>
        <v>0.1</v>
      </c>
      <c r="O53" s="169">
        <f t="shared" si="25"/>
        <v>0</v>
      </c>
      <c r="P53" s="169" t="e">
        <f t="shared" si="25"/>
        <v>#DIV/0!</v>
      </c>
      <c r="Q53" s="162">
        <f>K53*100/I53</f>
        <v>87.17333907023136</v>
      </c>
      <c r="R53" s="164">
        <f t="shared" si="3"/>
        <v>70.36504969626552</v>
      </c>
    </row>
    <row r="54" spans="1:18" ht="24">
      <c r="A54" s="69" t="s">
        <v>208</v>
      </c>
      <c r="B54" s="67"/>
      <c r="C54" s="109" t="s">
        <v>209</v>
      </c>
      <c r="D54" s="165">
        <f t="shared" si="21"/>
        <v>29584</v>
      </c>
      <c r="E54" s="165">
        <f t="shared" si="22"/>
        <v>15831.3</v>
      </c>
      <c r="F54" s="178">
        <f>7251.1+503.2+15.9</f>
        <v>7770.2</v>
      </c>
      <c r="G54" s="178">
        <v>8061.1</v>
      </c>
      <c r="H54" s="166">
        <f>7251.1+228.5+166.2</f>
        <v>7645.8</v>
      </c>
      <c r="I54" s="166">
        <f>E54+H54</f>
        <v>23477.1</v>
      </c>
      <c r="J54" s="166">
        <f>7251.2-1144.3</f>
        <v>6106.9</v>
      </c>
      <c r="K54" s="167">
        <v>22286.3</v>
      </c>
      <c r="L54" s="168" t="e">
        <f>K54/#REF!*100</f>
        <v>#REF!</v>
      </c>
      <c r="M54" s="168">
        <f>K54/H54*100</f>
        <v>291.48421355515444</v>
      </c>
      <c r="N54" s="163">
        <v>0.1</v>
      </c>
      <c r="O54" s="163"/>
      <c r="P54" s="166">
        <f t="shared" si="2"/>
        <v>364.9363834351308</v>
      </c>
      <c r="Q54" s="168">
        <f t="shared" si="24"/>
        <v>94.9278232831142</v>
      </c>
      <c r="R54" s="167">
        <f t="shared" si="3"/>
        <v>75.33227420227149</v>
      </c>
    </row>
    <row r="55" spans="1:18" ht="12.75">
      <c r="A55" s="69" t="s">
        <v>210</v>
      </c>
      <c r="B55" s="69"/>
      <c r="C55" s="110" t="s">
        <v>211</v>
      </c>
      <c r="D55" s="165">
        <f>F55+G55+H55+J55</f>
        <v>2088.3999999999996</v>
      </c>
      <c r="E55" s="165">
        <f t="shared" si="22"/>
        <v>6570.2</v>
      </c>
      <c r="F55" s="178">
        <v>6570.2</v>
      </c>
      <c r="G55" s="178"/>
      <c r="H55" s="166">
        <f>-4481.8</f>
        <v>-4481.8</v>
      </c>
      <c r="I55" s="166">
        <f>E55+H55</f>
        <v>2088.3999999999996</v>
      </c>
      <c r="J55" s="179"/>
      <c r="K55" s="167"/>
      <c r="L55" s="168"/>
      <c r="M55" s="168"/>
      <c r="N55" s="163"/>
      <c r="O55" s="163"/>
      <c r="P55" s="166"/>
      <c r="Q55" s="168">
        <f t="shared" si="24"/>
        <v>0</v>
      </c>
      <c r="R55" s="167">
        <f t="shared" si="3"/>
        <v>0</v>
      </c>
    </row>
    <row r="56" spans="1:18" ht="36">
      <c r="A56" s="69" t="s">
        <v>214</v>
      </c>
      <c r="B56" s="72"/>
      <c r="C56" s="73" t="s">
        <v>215</v>
      </c>
      <c r="D56" s="165">
        <f t="shared" si="21"/>
        <v>0</v>
      </c>
      <c r="E56" s="165">
        <f t="shared" si="22"/>
        <v>0</v>
      </c>
      <c r="F56" s="180"/>
      <c r="G56" s="180"/>
      <c r="H56" s="166"/>
      <c r="I56" s="166">
        <f>E56+H56</f>
        <v>0</v>
      </c>
      <c r="J56" s="179"/>
      <c r="K56" s="167"/>
      <c r="L56" s="168" t="e">
        <f>K56/#REF!*100</f>
        <v>#REF!</v>
      </c>
      <c r="M56" s="168"/>
      <c r="N56" s="163"/>
      <c r="O56" s="163"/>
      <c r="P56" s="166" t="e">
        <f t="shared" si="2"/>
        <v>#DIV/0!</v>
      </c>
      <c r="Q56" s="168"/>
      <c r="R56" s="167"/>
    </row>
    <row r="57" spans="1:18" ht="12.75">
      <c r="A57" s="68"/>
      <c r="B57" s="117"/>
      <c r="C57" s="118" t="s">
        <v>216</v>
      </c>
      <c r="D57" s="181">
        <f aca="true" t="shared" si="26" ref="D57:K57">D53+D44</f>
        <v>46190.3</v>
      </c>
      <c r="E57" s="181">
        <f t="shared" si="26"/>
        <v>29158.9</v>
      </c>
      <c r="F57" s="181">
        <f t="shared" si="26"/>
        <v>17176.7</v>
      </c>
      <c r="G57" s="181">
        <f t="shared" si="26"/>
        <v>11982.2</v>
      </c>
      <c r="H57" s="181">
        <f t="shared" si="26"/>
        <v>6648.200000000001</v>
      </c>
      <c r="I57" s="181">
        <f t="shared" si="26"/>
        <v>35807.1</v>
      </c>
      <c r="J57" s="181">
        <f t="shared" si="26"/>
        <v>10383.199999999999</v>
      </c>
      <c r="K57" s="181">
        <f t="shared" si="26"/>
        <v>34554.4</v>
      </c>
      <c r="L57" s="162" t="e">
        <f>K57/#REF!*100</f>
        <v>#REF!</v>
      </c>
      <c r="M57" s="162">
        <f>K57/H57*100</f>
        <v>519.7557233536897</v>
      </c>
      <c r="N57" s="163"/>
      <c r="O57" s="173" t="e">
        <f>J57+#REF!+#REF!</f>
        <v>#REF!</v>
      </c>
      <c r="P57" s="170">
        <f t="shared" si="2"/>
        <v>332.79143231373763</v>
      </c>
      <c r="Q57" s="162">
        <f>K57*100/I57</f>
        <v>96.50153181910851</v>
      </c>
      <c r="R57" s="164">
        <f t="shared" si="3"/>
        <v>74.80878019843993</v>
      </c>
    </row>
    <row r="58" spans="1:18" ht="12.75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2"/>
      <c r="N58" s="102"/>
      <c r="O58" s="102"/>
      <c r="P58" s="111"/>
      <c r="Q58" s="101"/>
      <c r="R58" s="77"/>
    </row>
    <row r="59" spans="1:18" ht="12.75">
      <c r="A59" s="229" t="s">
        <v>219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101"/>
      <c r="R59" s="77"/>
    </row>
    <row r="60" spans="1:18" ht="12.75">
      <c r="A60" s="116" t="s">
        <v>178</v>
      </c>
      <c r="B60" s="116"/>
      <c r="C60" s="119" t="s">
        <v>179</v>
      </c>
      <c r="D60" s="170">
        <f aca="true" t="shared" si="27" ref="D60:K60">D61+D63+D65+D67+D64+D69+D68+D62+D66</f>
        <v>32741</v>
      </c>
      <c r="E60" s="170">
        <f t="shared" si="27"/>
        <v>16322.4</v>
      </c>
      <c r="F60" s="170">
        <f t="shared" si="27"/>
        <v>7963.099999999999</v>
      </c>
      <c r="G60" s="170">
        <f t="shared" si="27"/>
        <v>8359.3</v>
      </c>
      <c r="H60" s="170">
        <f t="shared" si="27"/>
        <v>8291.1</v>
      </c>
      <c r="I60" s="170">
        <f t="shared" si="27"/>
        <v>24613.5</v>
      </c>
      <c r="J60" s="170">
        <f t="shared" si="27"/>
        <v>8127.500000000001</v>
      </c>
      <c r="K60" s="170">
        <f t="shared" si="27"/>
        <v>19926</v>
      </c>
      <c r="L60" s="170" t="e">
        <f>K60/#REF!*100</f>
        <v>#REF!</v>
      </c>
      <c r="M60" s="170">
        <f aca="true" t="shared" si="28" ref="M60:M68">K60/H60*100</f>
        <v>240.32999240149073</v>
      </c>
      <c r="N60" s="182"/>
      <c r="O60" s="182"/>
      <c r="P60" s="170">
        <f t="shared" si="2"/>
        <v>245.16764072593045</v>
      </c>
      <c r="Q60" s="162">
        <f>K60*100/I60</f>
        <v>80.95557316107015</v>
      </c>
      <c r="R60" s="164">
        <f t="shared" si="3"/>
        <v>60.859472832228704</v>
      </c>
    </row>
    <row r="61" spans="1:18" ht="12.75">
      <c r="A61" s="67" t="s">
        <v>180</v>
      </c>
      <c r="B61" s="67"/>
      <c r="C61" s="112" t="s">
        <v>181</v>
      </c>
      <c r="D61" s="165">
        <f>F61+G61+H61+J61</f>
        <v>18270</v>
      </c>
      <c r="E61" s="165">
        <f aca="true" t="shared" si="29" ref="E61:E72">F61+G61</f>
        <v>9134.9</v>
      </c>
      <c r="F61" s="183">
        <v>4567.5</v>
      </c>
      <c r="G61" s="183">
        <v>4567.4</v>
      </c>
      <c r="H61" s="168">
        <v>4567.5</v>
      </c>
      <c r="I61" s="166">
        <f>E61+H61</f>
        <v>13702.4</v>
      </c>
      <c r="J61" s="168">
        <v>4567.6</v>
      </c>
      <c r="K61" s="168">
        <v>10467.3</v>
      </c>
      <c r="L61" s="168" t="e">
        <f>K61/#REF!*100</f>
        <v>#REF!</v>
      </c>
      <c r="M61" s="168">
        <f t="shared" si="28"/>
        <v>229.16912972085385</v>
      </c>
      <c r="N61" s="163"/>
      <c r="O61" s="163"/>
      <c r="P61" s="168">
        <f t="shared" si="2"/>
        <v>229.16411244417196</v>
      </c>
      <c r="Q61" s="168">
        <f>K61*100/I61</f>
        <v>76.39026739841195</v>
      </c>
      <c r="R61" s="167">
        <f t="shared" si="3"/>
        <v>57.29228243021346</v>
      </c>
    </row>
    <row r="62" spans="1:18" ht="12.75">
      <c r="A62" s="67" t="s">
        <v>182</v>
      </c>
      <c r="B62" s="67"/>
      <c r="C62" s="103" t="s">
        <v>183</v>
      </c>
      <c r="D62" s="165">
        <f aca="true" t="shared" si="30" ref="D62:D72">F62+G62+H62+J62</f>
        <v>35</v>
      </c>
      <c r="E62" s="165">
        <f t="shared" si="29"/>
        <v>17.5</v>
      </c>
      <c r="F62" s="178">
        <v>8.7</v>
      </c>
      <c r="G62" s="178">
        <v>8.8</v>
      </c>
      <c r="H62" s="166">
        <v>8.7</v>
      </c>
      <c r="I62" s="166">
        <f aca="true" t="shared" si="31" ref="I62:I72">E62+H62</f>
        <v>26.2</v>
      </c>
      <c r="J62" s="166">
        <v>8.8</v>
      </c>
      <c r="K62" s="166">
        <v>31.5</v>
      </c>
      <c r="L62" s="168" t="e">
        <f>K62/#REF!*100</f>
        <v>#REF!</v>
      </c>
      <c r="M62" s="168">
        <f t="shared" si="28"/>
        <v>362.0689655172414</v>
      </c>
      <c r="N62" s="163"/>
      <c r="O62" s="163"/>
      <c r="P62" s="166">
        <f t="shared" si="2"/>
        <v>357.95454545454544</v>
      </c>
      <c r="Q62" s="168">
        <f aca="true" t="shared" si="32" ref="Q62:Q67">K62*100/I62</f>
        <v>120.22900763358778</v>
      </c>
      <c r="R62" s="167">
        <f t="shared" si="3"/>
        <v>90</v>
      </c>
    </row>
    <row r="63" spans="1:18" ht="12.75">
      <c r="A63" s="67" t="s">
        <v>184</v>
      </c>
      <c r="B63" s="67"/>
      <c r="C63" s="103" t="s">
        <v>185</v>
      </c>
      <c r="D63" s="165">
        <f t="shared" si="30"/>
        <v>8443</v>
      </c>
      <c r="E63" s="165">
        <f t="shared" si="29"/>
        <v>4099.5</v>
      </c>
      <c r="F63" s="178">
        <v>2051.7</v>
      </c>
      <c r="G63" s="178">
        <v>2047.8</v>
      </c>
      <c r="H63" s="166">
        <v>2127.7</v>
      </c>
      <c r="I63" s="166">
        <f t="shared" si="31"/>
        <v>6227.2</v>
      </c>
      <c r="J63" s="166">
        <v>2215.8</v>
      </c>
      <c r="K63" s="166">
        <v>4659.6</v>
      </c>
      <c r="L63" s="168" t="e">
        <f>K63/#REF!*100</f>
        <v>#REF!</v>
      </c>
      <c r="M63" s="168">
        <f t="shared" si="28"/>
        <v>218.997039056258</v>
      </c>
      <c r="N63" s="163"/>
      <c r="O63" s="163"/>
      <c r="P63" s="166">
        <f t="shared" si="2"/>
        <v>210.28973734091525</v>
      </c>
      <c r="Q63" s="168">
        <f t="shared" si="32"/>
        <v>74.82656731757453</v>
      </c>
      <c r="R63" s="167">
        <f t="shared" si="3"/>
        <v>55.188913893165946</v>
      </c>
    </row>
    <row r="64" spans="1:18" ht="12.75">
      <c r="A64" s="67" t="s">
        <v>186</v>
      </c>
      <c r="B64" s="67"/>
      <c r="C64" s="103" t="s">
        <v>187</v>
      </c>
      <c r="D64" s="165">
        <f t="shared" si="30"/>
        <v>0</v>
      </c>
      <c r="E64" s="165">
        <f t="shared" si="29"/>
        <v>0</v>
      </c>
      <c r="F64" s="178"/>
      <c r="G64" s="178"/>
      <c r="H64" s="166"/>
      <c r="I64" s="166">
        <f t="shared" si="31"/>
        <v>0</v>
      </c>
      <c r="J64" s="166"/>
      <c r="K64" s="166">
        <v>10</v>
      </c>
      <c r="L64" s="168"/>
      <c r="M64" s="168" t="e">
        <f t="shared" si="28"/>
        <v>#DIV/0!</v>
      </c>
      <c r="N64" s="163"/>
      <c r="O64" s="163"/>
      <c r="P64" s="166" t="e">
        <f t="shared" si="2"/>
        <v>#DIV/0!</v>
      </c>
      <c r="Q64" s="168"/>
      <c r="R64" s="167"/>
    </row>
    <row r="65" spans="1:18" ht="24">
      <c r="A65" s="68" t="s">
        <v>190</v>
      </c>
      <c r="B65" s="68"/>
      <c r="C65" s="103" t="s">
        <v>191</v>
      </c>
      <c r="D65" s="165">
        <f t="shared" si="30"/>
        <v>5185</v>
      </c>
      <c r="E65" s="165">
        <f t="shared" si="29"/>
        <v>2517.5</v>
      </c>
      <c r="F65" s="178">
        <v>1258.7</v>
      </c>
      <c r="G65" s="178">
        <v>1258.8</v>
      </c>
      <c r="H65" s="166">
        <v>1408.7</v>
      </c>
      <c r="I65" s="166">
        <f t="shared" si="31"/>
        <v>3926.2</v>
      </c>
      <c r="J65" s="166">
        <v>1258.8</v>
      </c>
      <c r="K65" s="166">
        <v>3913.9</v>
      </c>
      <c r="L65" s="168" t="e">
        <f>K65/#REF!*100</f>
        <v>#REF!</v>
      </c>
      <c r="M65" s="168">
        <f t="shared" si="28"/>
        <v>277.837722723078</v>
      </c>
      <c r="N65" s="163"/>
      <c r="O65" s="163"/>
      <c r="P65" s="166">
        <f t="shared" si="2"/>
        <v>310.9231013663807</v>
      </c>
      <c r="Q65" s="168">
        <f t="shared" si="32"/>
        <v>99.68671998369926</v>
      </c>
      <c r="R65" s="167">
        <f t="shared" si="3"/>
        <v>75.48505303760848</v>
      </c>
    </row>
    <row r="66" spans="1:18" ht="24">
      <c r="A66" s="105" t="s">
        <v>194</v>
      </c>
      <c r="B66" s="105"/>
      <c r="C66" s="103" t="s">
        <v>195</v>
      </c>
      <c r="D66" s="165">
        <f t="shared" si="30"/>
        <v>0</v>
      </c>
      <c r="E66" s="165">
        <f t="shared" si="29"/>
        <v>0</v>
      </c>
      <c r="F66" s="178"/>
      <c r="G66" s="178"/>
      <c r="H66" s="166"/>
      <c r="I66" s="166">
        <f t="shared" si="31"/>
        <v>0</v>
      </c>
      <c r="J66" s="166"/>
      <c r="K66" s="166"/>
      <c r="L66" s="168" t="e">
        <f>K66/#REF!*100</f>
        <v>#REF!</v>
      </c>
      <c r="M66" s="168"/>
      <c r="N66" s="163"/>
      <c r="O66" s="163"/>
      <c r="P66" s="166" t="e">
        <f t="shared" si="2"/>
        <v>#DIV/0!</v>
      </c>
      <c r="Q66" s="168"/>
      <c r="R66" s="167"/>
    </row>
    <row r="67" spans="1:18" ht="24">
      <c r="A67" s="104" t="s">
        <v>196</v>
      </c>
      <c r="B67" s="104"/>
      <c r="C67" s="103" t="s">
        <v>197</v>
      </c>
      <c r="D67" s="165">
        <f t="shared" si="30"/>
        <v>806</v>
      </c>
      <c r="E67" s="165">
        <f t="shared" si="29"/>
        <v>553</v>
      </c>
      <c r="F67" s="178">
        <v>76.5</v>
      </c>
      <c r="G67" s="178">
        <v>476.5</v>
      </c>
      <c r="H67" s="166">
        <v>176.5</v>
      </c>
      <c r="I67" s="166">
        <f t="shared" si="31"/>
        <v>729.5</v>
      </c>
      <c r="J67" s="166">
        <v>76.5</v>
      </c>
      <c r="K67" s="166">
        <v>841.8</v>
      </c>
      <c r="L67" s="168" t="e">
        <f>K67/#REF!*100</f>
        <v>#REF!</v>
      </c>
      <c r="M67" s="168">
        <f t="shared" si="28"/>
        <v>476.9405099150141</v>
      </c>
      <c r="N67" s="163"/>
      <c r="O67" s="163"/>
      <c r="P67" s="166">
        <f t="shared" si="2"/>
        <v>1100.3921568627452</v>
      </c>
      <c r="Q67" s="168">
        <f t="shared" si="32"/>
        <v>115.39410555174777</v>
      </c>
      <c r="R67" s="167">
        <f t="shared" si="3"/>
        <v>104.44168734491315</v>
      </c>
    </row>
    <row r="68" spans="1:18" ht="12.75">
      <c r="A68" s="74" t="s">
        <v>200</v>
      </c>
      <c r="B68" s="74"/>
      <c r="C68" s="103" t="s">
        <v>201</v>
      </c>
      <c r="D68" s="165">
        <f t="shared" si="30"/>
        <v>2</v>
      </c>
      <c r="E68" s="165">
        <f t="shared" si="29"/>
        <v>0</v>
      </c>
      <c r="F68" s="178"/>
      <c r="G68" s="178"/>
      <c r="H68" s="166">
        <v>2</v>
      </c>
      <c r="I68" s="166">
        <f t="shared" si="31"/>
        <v>2</v>
      </c>
      <c r="J68" s="166"/>
      <c r="K68" s="166">
        <v>1.9</v>
      </c>
      <c r="L68" s="168"/>
      <c r="M68" s="168">
        <f t="shared" si="28"/>
        <v>95</v>
      </c>
      <c r="N68" s="163"/>
      <c r="O68" s="163"/>
      <c r="P68" s="166" t="e">
        <f t="shared" si="2"/>
        <v>#DIV/0!</v>
      </c>
      <c r="Q68" s="168">
        <f>K68*100/I68</f>
        <v>95</v>
      </c>
      <c r="R68" s="167">
        <f>K68*100/D68</f>
        <v>95</v>
      </c>
    </row>
    <row r="69" spans="1:18" ht="12.75">
      <c r="A69" s="106" t="s">
        <v>202</v>
      </c>
      <c r="B69" s="107"/>
      <c r="C69" s="71" t="s">
        <v>203</v>
      </c>
      <c r="D69" s="165">
        <f t="shared" si="30"/>
        <v>0</v>
      </c>
      <c r="E69" s="165">
        <f t="shared" si="29"/>
        <v>0</v>
      </c>
      <c r="F69" s="178"/>
      <c r="G69" s="178"/>
      <c r="H69" s="166"/>
      <c r="I69" s="166">
        <f t="shared" si="31"/>
        <v>0</v>
      </c>
      <c r="J69" s="166"/>
      <c r="K69" s="166">
        <v>0</v>
      </c>
      <c r="L69" s="168"/>
      <c r="M69" s="168"/>
      <c r="N69" s="163"/>
      <c r="O69" s="163"/>
      <c r="P69" s="166" t="e">
        <f t="shared" si="2"/>
        <v>#DIV/0!</v>
      </c>
      <c r="Q69" s="168"/>
      <c r="R69" s="167"/>
    </row>
    <row r="70" spans="1:18" ht="12.75">
      <c r="A70" s="99" t="s">
        <v>206</v>
      </c>
      <c r="B70" s="99"/>
      <c r="C70" s="108" t="s">
        <v>207</v>
      </c>
      <c r="D70" s="169">
        <f aca="true" t="shared" si="33" ref="D70:K70">D71+D72</f>
        <v>38644.799999999996</v>
      </c>
      <c r="E70" s="169">
        <f t="shared" si="33"/>
        <v>23711.1</v>
      </c>
      <c r="F70" s="169">
        <f t="shared" si="33"/>
        <v>11774.5</v>
      </c>
      <c r="G70" s="169">
        <f t="shared" si="33"/>
        <v>11936.6</v>
      </c>
      <c r="H70" s="169">
        <f t="shared" si="33"/>
        <v>8513.6</v>
      </c>
      <c r="I70" s="169">
        <f t="shared" si="33"/>
        <v>32224.699999999997</v>
      </c>
      <c r="J70" s="169">
        <f t="shared" si="33"/>
        <v>6420.1</v>
      </c>
      <c r="K70" s="169">
        <f t="shared" si="33"/>
        <v>33028.5</v>
      </c>
      <c r="L70" s="162" t="e">
        <f>K70/#REF!*100</f>
        <v>#REF!</v>
      </c>
      <c r="M70" s="162">
        <f>K70/H70*100</f>
        <v>387.94986844578085</v>
      </c>
      <c r="N70" s="163"/>
      <c r="O70" s="163"/>
      <c r="P70" s="170">
        <f t="shared" si="2"/>
        <v>514.4546035108488</v>
      </c>
      <c r="Q70" s="162">
        <f>K70*100/I70</f>
        <v>102.4943599164616</v>
      </c>
      <c r="R70" s="164">
        <f t="shared" si="3"/>
        <v>85.46686746987953</v>
      </c>
    </row>
    <row r="71" spans="1:18" ht="24">
      <c r="A71" s="69" t="s">
        <v>208</v>
      </c>
      <c r="B71" s="67"/>
      <c r="C71" s="109" t="s">
        <v>209</v>
      </c>
      <c r="D71" s="165">
        <f t="shared" si="30"/>
        <v>38556.799999999996</v>
      </c>
      <c r="E71" s="165">
        <f t="shared" si="29"/>
        <v>23711.1</v>
      </c>
      <c r="F71" s="178">
        <f>8411.5+3363</f>
        <v>11774.5</v>
      </c>
      <c r="G71" s="178">
        <v>11936.6</v>
      </c>
      <c r="H71" s="166">
        <f>8411.6-87.9+101.9</f>
        <v>8425.6</v>
      </c>
      <c r="I71" s="166">
        <f t="shared" si="31"/>
        <v>32136.699999999997</v>
      </c>
      <c r="J71" s="167">
        <f>8411.6-1991.5</f>
        <v>6420.1</v>
      </c>
      <c r="K71" s="167">
        <v>32900.5</v>
      </c>
      <c r="L71" s="168" t="e">
        <f>K71/#REF!*100</f>
        <v>#REF!</v>
      </c>
      <c r="M71" s="168">
        <f>K71/H71*100</f>
        <v>390.4825769084694</v>
      </c>
      <c r="N71" s="163"/>
      <c r="O71" s="163"/>
      <c r="P71" s="166">
        <f t="shared" si="2"/>
        <v>512.4608650955593</v>
      </c>
      <c r="Q71" s="168">
        <f>K71*100/I71</f>
        <v>102.37672194095848</v>
      </c>
      <c r="R71" s="167">
        <f t="shared" si="3"/>
        <v>85.32995476803055</v>
      </c>
    </row>
    <row r="72" spans="1:18" ht="12.75">
      <c r="A72" s="69" t="s">
        <v>210</v>
      </c>
      <c r="B72" s="69"/>
      <c r="C72" s="110" t="s">
        <v>211</v>
      </c>
      <c r="D72" s="165">
        <f t="shared" si="30"/>
        <v>88</v>
      </c>
      <c r="E72" s="165">
        <f t="shared" si="29"/>
        <v>0</v>
      </c>
      <c r="F72" s="180"/>
      <c r="G72" s="180"/>
      <c r="H72" s="166">
        <v>88</v>
      </c>
      <c r="I72" s="166">
        <f t="shared" si="31"/>
        <v>88</v>
      </c>
      <c r="J72" s="167"/>
      <c r="K72" s="167">
        <v>128</v>
      </c>
      <c r="L72" s="168" t="e">
        <f>K72/#REF!*100</f>
        <v>#REF!</v>
      </c>
      <c r="M72" s="168"/>
      <c r="N72" s="163"/>
      <c r="O72" s="163"/>
      <c r="P72" s="166" t="e">
        <f t="shared" si="2"/>
        <v>#DIV/0!</v>
      </c>
      <c r="Q72" s="168">
        <f>K72*100/I72</f>
        <v>145.45454545454547</v>
      </c>
      <c r="R72" s="167">
        <f t="shared" si="3"/>
        <v>145.45454545454547</v>
      </c>
    </row>
    <row r="73" spans="1:18" ht="12.75">
      <c r="A73" s="74"/>
      <c r="B73" s="75"/>
      <c r="C73" s="76" t="s">
        <v>216</v>
      </c>
      <c r="D73" s="164">
        <f aca="true" t="shared" si="34" ref="D73:L73">D70+D60</f>
        <v>71385.79999999999</v>
      </c>
      <c r="E73" s="164">
        <f t="shared" si="34"/>
        <v>40033.5</v>
      </c>
      <c r="F73" s="164">
        <f t="shared" si="34"/>
        <v>19737.6</v>
      </c>
      <c r="G73" s="164">
        <f t="shared" si="34"/>
        <v>20295.9</v>
      </c>
      <c r="H73" s="164">
        <f t="shared" si="34"/>
        <v>16804.7</v>
      </c>
      <c r="I73" s="164">
        <f t="shared" si="34"/>
        <v>56838.2</v>
      </c>
      <c r="J73" s="164">
        <f t="shared" si="34"/>
        <v>14547.600000000002</v>
      </c>
      <c r="K73" s="164">
        <f t="shared" si="34"/>
        <v>52954.5</v>
      </c>
      <c r="L73" s="164" t="e">
        <f t="shared" si="34"/>
        <v>#REF!</v>
      </c>
      <c r="M73" s="162">
        <f>K73/H73*100</f>
        <v>315.11719935494233</v>
      </c>
      <c r="N73" s="163"/>
      <c r="O73" s="173" t="e">
        <f>J73+#REF!+#REF!</f>
        <v>#REF!</v>
      </c>
      <c r="P73" s="170">
        <f t="shared" si="2"/>
        <v>364.00849624680353</v>
      </c>
      <c r="Q73" s="162">
        <f>K73*100/I73</f>
        <v>93.16709536895961</v>
      </c>
      <c r="R73" s="164">
        <f t="shared" si="3"/>
        <v>74.18071941478559</v>
      </c>
    </row>
    <row r="74" spans="1:18" ht="12.75">
      <c r="A74" s="230"/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2"/>
      <c r="N74" s="102"/>
      <c r="O74" s="102"/>
      <c r="P74" s="111"/>
      <c r="Q74" s="101"/>
      <c r="R74" s="77"/>
    </row>
    <row r="75" spans="1:18" ht="12.75">
      <c r="A75" s="229" t="s">
        <v>220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101"/>
      <c r="R75" s="77"/>
    </row>
    <row r="76" spans="1:18" ht="12.75">
      <c r="A76" s="99" t="s">
        <v>178</v>
      </c>
      <c r="B76" s="99"/>
      <c r="C76" s="100" t="s">
        <v>179</v>
      </c>
      <c r="D76" s="162">
        <f aca="true" t="shared" si="35" ref="D76:I76">D77+D78+D79+D80+D81+D82+D83+D84+D85</f>
        <v>27390.5</v>
      </c>
      <c r="E76" s="162">
        <f t="shared" si="35"/>
        <v>11873.2</v>
      </c>
      <c r="F76" s="162">
        <f t="shared" si="35"/>
        <v>6031.5</v>
      </c>
      <c r="G76" s="162">
        <f t="shared" si="35"/>
        <v>5841.7</v>
      </c>
      <c r="H76" s="162">
        <f t="shared" si="35"/>
        <v>8831.099999999999</v>
      </c>
      <c r="I76" s="162">
        <f t="shared" si="35"/>
        <v>20704.3</v>
      </c>
      <c r="J76" s="162">
        <f>J77+J78+J79+J80+J81+J82+J83+J84+J85+J86</f>
        <v>6686.2</v>
      </c>
      <c r="K76" s="162">
        <f>K77+K78+K79+K80+K81+K82+K83+K84+K85+K86</f>
        <v>19964.200000000004</v>
      </c>
      <c r="L76" s="162" t="e">
        <f>K76/#REF!*100</f>
        <v>#REF!</v>
      </c>
      <c r="M76" s="162">
        <f>K76/H76*100</f>
        <v>226.06696787489676</v>
      </c>
      <c r="N76" s="163"/>
      <c r="O76" s="163"/>
      <c r="P76" s="162">
        <f t="shared" si="2"/>
        <v>298.58813675929537</v>
      </c>
      <c r="Q76" s="162">
        <f>K76*100/I76</f>
        <v>96.42538023502367</v>
      </c>
      <c r="R76" s="164">
        <f aca="true" t="shared" si="36" ref="R76:R138">K76*100/D76</f>
        <v>72.88731494496268</v>
      </c>
    </row>
    <row r="77" spans="1:18" ht="12.75">
      <c r="A77" s="74" t="s">
        <v>180</v>
      </c>
      <c r="B77" s="74"/>
      <c r="C77" s="103" t="s">
        <v>181</v>
      </c>
      <c r="D77" s="165">
        <f>F77+G77+H77+J77</f>
        <v>16170</v>
      </c>
      <c r="E77" s="165">
        <f aca="true" t="shared" si="37" ref="E77:E85">F77+G77</f>
        <v>8400</v>
      </c>
      <c r="F77" s="178">
        <v>4300</v>
      </c>
      <c r="G77" s="178">
        <v>4100</v>
      </c>
      <c r="H77" s="166">
        <v>3450</v>
      </c>
      <c r="I77" s="166">
        <f>E77+H77</f>
        <v>11850</v>
      </c>
      <c r="J77" s="166">
        <v>4320</v>
      </c>
      <c r="K77" s="167">
        <v>10542.2</v>
      </c>
      <c r="L77" s="168" t="e">
        <f>K77/#REF!*100</f>
        <v>#REF!</v>
      </c>
      <c r="M77" s="168">
        <f>K77/H77*100</f>
        <v>305.57101449275365</v>
      </c>
      <c r="N77" s="163"/>
      <c r="O77" s="163"/>
      <c r="P77" s="166">
        <f aca="true" t="shared" si="38" ref="P77:P142">K77*100/J77</f>
        <v>244.03240740740742</v>
      </c>
      <c r="Q77" s="168">
        <f>K77*100/I77</f>
        <v>88.96371308016877</v>
      </c>
      <c r="R77" s="167">
        <f t="shared" si="36"/>
        <v>65.19604205318491</v>
      </c>
    </row>
    <row r="78" spans="1:18" ht="12.75">
      <c r="A78" s="67" t="s">
        <v>182</v>
      </c>
      <c r="B78" s="67"/>
      <c r="C78" s="103" t="s">
        <v>183</v>
      </c>
      <c r="D78" s="165">
        <f aca="true" t="shared" si="39" ref="D78:D85">F78+G78+H78+J78</f>
        <v>0</v>
      </c>
      <c r="E78" s="165">
        <f t="shared" si="37"/>
        <v>0</v>
      </c>
      <c r="F78" s="178"/>
      <c r="G78" s="178"/>
      <c r="H78" s="166"/>
      <c r="I78" s="166">
        <f aca="true" t="shared" si="40" ref="I78:I89">E78+H78</f>
        <v>0</v>
      </c>
      <c r="J78" s="166"/>
      <c r="K78" s="167"/>
      <c r="L78" s="168"/>
      <c r="M78" s="168"/>
      <c r="N78" s="163"/>
      <c r="O78" s="163"/>
      <c r="P78" s="166" t="e">
        <f t="shared" si="38"/>
        <v>#DIV/0!</v>
      </c>
      <c r="Q78" s="168" t="e">
        <f aca="true" t="shared" si="41" ref="Q78:Q84">K78*100/I78</f>
        <v>#DIV/0!</v>
      </c>
      <c r="R78" s="167" t="e">
        <f t="shared" si="36"/>
        <v>#DIV/0!</v>
      </c>
    </row>
    <row r="79" spans="1:18" ht="12.75">
      <c r="A79" s="67" t="s">
        <v>184</v>
      </c>
      <c r="B79" s="67"/>
      <c r="C79" s="103" t="s">
        <v>185</v>
      </c>
      <c r="D79" s="165">
        <f t="shared" si="39"/>
        <v>1372</v>
      </c>
      <c r="E79" s="165">
        <f t="shared" si="37"/>
        <v>405.6</v>
      </c>
      <c r="F79" s="178">
        <v>223.3</v>
      </c>
      <c r="G79" s="178">
        <v>182.3</v>
      </c>
      <c r="H79" s="166">
        <v>283.9</v>
      </c>
      <c r="I79" s="166">
        <f t="shared" si="40"/>
        <v>689.5</v>
      </c>
      <c r="J79" s="166">
        <v>682.5</v>
      </c>
      <c r="K79" s="167">
        <v>810.2</v>
      </c>
      <c r="L79" s="168" t="e">
        <f>K79/#REF!*100</f>
        <v>#REF!</v>
      </c>
      <c r="M79" s="168">
        <f>K79/H79*100</f>
        <v>285.382176822825</v>
      </c>
      <c r="N79" s="163"/>
      <c r="O79" s="163"/>
      <c r="P79" s="166">
        <f t="shared" si="38"/>
        <v>118.71062271062272</v>
      </c>
      <c r="Q79" s="168">
        <f t="shared" si="41"/>
        <v>117.50543872371284</v>
      </c>
      <c r="R79" s="167">
        <f t="shared" si="36"/>
        <v>59.052478134110785</v>
      </c>
    </row>
    <row r="80" spans="1:18" ht="12.75">
      <c r="A80" s="67" t="s">
        <v>186</v>
      </c>
      <c r="B80" s="67"/>
      <c r="C80" s="103" t="s">
        <v>187</v>
      </c>
      <c r="D80" s="165">
        <f t="shared" si="39"/>
        <v>0</v>
      </c>
      <c r="E80" s="165">
        <f t="shared" si="37"/>
        <v>0</v>
      </c>
      <c r="F80" s="178"/>
      <c r="G80" s="178"/>
      <c r="H80" s="166"/>
      <c r="I80" s="166">
        <f t="shared" si="40"/>
        <v>0</v>
      </c>
      <c r="J80" s="166"/>
      <c r="K80" s="167"/>
      <c r="L80" s="168"/>
      <c r="M80" s="168"/>
      <c r="N80" s="163"/>
      <c r="O80" s="163"/>
      <c r="P80" s="166" t="e">
        <f t="shared" si="38"/>
        <v>#DIV/0!</v>
      </c>
      <c r="Q80" s="168" t="e">
        <f t="shared" si="41"/>
        <v>#DIV/0!</v>
      </c>
      <c r="R80" s="167" t="e">
        <f t="shared" si="36"/>
        <v>#DIV/0!</v>
      </c>
    </row>
    <row r="81" spans="1:18" ht="24">
      <c r="A81" s="68" t="s">
        <v>190</v>
      </c>
      <c r="B81" s="68"/>
      <c r="C81" s="103" t="s">
        <v>191</v>
      </c>
      <c r="D81" s="165">
        <f t="shared" si="39"/>
        <v>5633</v>
      </c>
      <c r="E81" s="165">
        <f t="shared" si="37"/>
        <v>2750</v>
      </c>
      <c r="F81" s="178">
        <v>1340</v>
      </c>
      <c r="G81" s="178">
        <v>1410</v>
      </c>
      <c r="H81" s="166">
        <v>1410</v>
      </c>
      <c r="I81" s="166">
        <f t="shared" si="40"/>
        <v>4160</v>
      </c>
      <c r="J81" s="166">
        <v>1473</v>
      </c>
      <c r="K81" s="167">
        <v>4526.1</v>
      </c>
      <c r="L81" s="168" t="e">
        <f>K81/#REF!*100</f>
        <v>#REF!</v>
      </c>
      <c r="M81" s="168">
        <f>K81/H81*100</f>
        <v>321.00000000000006</v>
      </c>
      <c r="N81" s="163"/>
      <c r="O81" s="163"/>
      <c r="P81" s="166">
        <f t="shared" si="38"/>
        <v>307.2708757637475</v>
      </c>
      <c r="Q81" s="168">
        <f t="shared" si="41"/>
        <v>108.80048076923079</v>
      </c>
      <c r="R81" s="167">
        <f t="shared" si="36"/>
        <v>80.3497248357891</v>
      </c>
    </row>
    <row r="82" spans="1:18" ht="24">
      <c r="A82" s="105" t="s">
        <v>194</v>
      </c>
      <c r="B82" s="105"/>
      <c r="C82" s="103" t="s">
        <v>195</v>
      </c>
      <c r="D82" s="165">
        <f t="shared" si="39"/>
        <v>465.99999999999994</v>
      </c>
      <c r="E82" s="165">
        <f t="shared" si="37"/>
        <v>243.39999999999998</v>
      </c>
      <c r="F82" s="178">
        <v>138.2</v>
      </c>
      <c r="G82" s="178">
        <v>105.2</v>
      </c>
      <c r="H82" s="166">
        <v>36.4</v>
      </c>
      <c r="I82" s="166">
        <f t="shared" si="40"/>
        <v>279.79999999999995</v>
      </c>
      <c r="J82" s="166">
        <v>186.2</v>
      </c>
      <c r="K82" s="167">
        <v>333.8</v>
      </c>
      <c r="L82" s="168" t="e">
        <f>K82/#REF!*100</f>
        <v>#REF!</v>
      </c>
      <c r="M82" s="168">
        <f>K82/H82*100</f>
        <v>917.0329670329671</v>
      </c>
      <c r="N82" s="163"/>
      <c r="O82" s="163"/>
      <c r="P82" s="166">
        <f t="shared" si="38"/>
        <v>179.26960257787326</v>
      </c>
      <c r="Q82" s="168">
        <f t="shared" si="41"/>
        <v>119.29949964260187</v>
      </c>
      <c r="R82" s="167">
        <f t="shared" si="36"/>
        <v>71.63090128755366</v>
      </c>
    </row>
    <row r="83" spans="1:18" ht="24">
      <c r="A83" s="104" t="s">
        <v>196</v>
      </c>
      <c r="B83" s="104"/>
      <c r="C83" s="103" t="s">
        <v>197</v>
      </c>
      <c r="D83" s="165">
        <f t="shared" si="39"/>
        <v>102.5</v>
      </c>
      <c r="E83" s="165">
        <f t="shared" si="37"/>
        <v>54</v>
      </c>
      <c r="F83" s="178">
        <v>30</v>
      </c>
      <c r="G83" s="178">
        <v>24</v>
      </c>
      <c r="H83" s="166">
        <v>24</v>
      </c>
      <c r="I83" s="166">
        <f t="shared" si="40"/>
        <v>78</v>
      </c>
      <c r="J83" s="166">
        <v>24.5</v>
      </c>
      <c r="K83" s="167">
        <v>45.5</v>
      </c>
      <c r="L83" s="168" t="e">
        <f>K83/#REF!*100</f>
        <v>#REF!</v>
      </c>
      <c r="M83" s="168">
        <f>K83/H83*100</f>
        <v>189.58333333333331</v>
      </c>
      <c r="N83" s="163"/>
      <c r="O83" s="163"/>
      <c r="P83" s="166">
        <f t="shared" si="38"/>
        <v>185.71428571428572</v>
      </c>
      <c r="Q83" s="168">
        <f t="shared" si="41"/>
        <v>58.333333333333336</v>
      </c>
      <c r="R83" s="167">
        <f t="shared" si="36"/>
        <v>44.390243902439025</v>
      </c>
    </row>
    <row r="84" spans="1:18" ht="12.75">
      <c r="A84" s="74" t="s">
        <v>200</v>
      </c>
      <c r="B84" s="74"/>
      <c r="C84" s="103" t="s">
        <v>201</v>
      </c>
      <c r="D84" s="165">
        <f>F84+G84+H84+J84</f>
        <v>3647</v>
      </c>
      <c r="E84" s="165">
        <f t="shared" si="37"/>
        <v>20.2</v>
      </c>
      <c r="F84" s="178"/>
      <c r="G84" s="178">
        <v>20.2</v>
      </c>
      <c r="H84" s="166">
        <v>3626.8</v>
      </c>
      <c r="I84" s="166">
        <f t="shared" si="40"/>
        <v>3647</v>
      </c>
      <c r="J84" s="166"/>
      <c r="K84" s="167">
        <v>3647</v>
      </c>
      <c r="L84" s="162"/>
      <c r="M84" s="162">
        <f>K84/H84*100</f>
        <v>100.55696481746995</v>
      </c>
      <c r="N84" s="163"/>
      <c r="O84" s="163"/>
      <c r="P84" s="166" t="e">
        <f t="shared" si="38"/>
        <v>#DIV/0!</v>
      </c>
      <c r="Q84" s="168">
        <f t="shared" si="41"/>
        <v>100</v>
      </c>
      <c r="R84" s="167">
        <f t="shared" si="36"/>
        <v>100</v>
      </c>
    </row>
    <row r="85" spans="1:18" ht="12.75">
      <c r="A85" s="106" t="s">
        <v>202</v>
      </c>
      <c r="B85" s="107"/>
      <c r="C85" s="71" t="s">
        <v>203</v>
      </c>
      <c r="D85" s="165">
        <f t="shared" si="39"/>
        <v>0</v>
      </c>
      <c r="E85" s="165">
        <f t="shared" si="37"/>
        <v>0</v>
      </c>
      <c r="F85" s="178"/>
      <c r="G85" s="178"/>
      <c r="H85" s="166"/>
      <c r="I85" s="166">
        <f t="shared" si="40"/>
        <v>0</v>
      </c>
      <c r="J85" s="166"/>
      <c r="K85" s="167">
        <v>59.4</v>
      </c>
      <c r="L85" s="162"/>
      <c r="M85" s="162"/>
      <c r="N85" s="163"/>
      <c r="O85" s="163"/>
      <c r="P85" s="166" t="e">
        <f t="shared" si="38"/>
        <v>#DIV/0!</v>
      </c>
      <c r="Q85" s="168"/>
      <c r="R85" s="167"/>
    </row>
    <row r="86" spans="1:18" ht="12.75">
      <c r="A86" s="106" t="s">
        <v>204</v>
      </c>
      <c r="B86" s="107"/>
      <c r="C86" s="71" t="s">
        <v>205</v>
      </c>
      <c r="D86" s="176"/>
      <c r="E86" s="176"/>
      <c r="F86" s="178"/>
      <c r="G86" s="178"/>
      <c r="H86" s="166" t="e">
        <f>J86+#REF!+#REF!+#REF!</f>
        <v>#REF!</v>
      </c>
      <c r="I86" s="166" t="e">
        <f t="shared" si="40"/>
        <v>#REF!</v>
      </c>
      <c r="J86" s="166"/>
      <c r="K86" s="167"/>
      <c r="L86" s="162"/>
      <c r="M86" s="162"/>
      <c r="N86" s="163"/>
      <c r="O86" s="163"/>
      <c r="P86" s="166" t="e">
        <f t="shared" si="38"/>
        <v>#DIV/0!</v>
      </c>
      <c r="Q86" s="162" t="e">
        <f>K86*100/E86</f>
        <v>#DIV/0!</v>
      </c>
      <c r="R86" s="164" t="e">
        <f t="shared" si="36"/>
        <v>#DIV/0!</v>
      </c>
    </row>
    <row r="87" spans="1:18" ht="12.75">
      <c r="A87" s="99" t="s">
        <v>206</v>
      </c>
      <c r="B87" s="99"/>
      <c r="C87" s="108" t="s">
        <v>207</v>
      </c>
      <c r="D87" s="169">
        <f aca="true" t="shared" si="42" ref="D87:K87">D88+D89</f>
        <v>59890.8</v>
      </c>
      <c r="E87" s="184">
        <f t="shared" si="42"/>
        <v>27692.899999999998</v>
      </c>
      <c r="F87" s="169">
        <f t="shared" si="42"/>
        <v>10689.8</v>
      </c>
      <c r="G87" s="169">
        <f t="shared" si="42"/>
        <v>17003.1</v>
      </c>
      <c r="H87" s="169">
        <f t="shared" si="42"/>
        <v>16788.500000000004</v>
      </c>
      <c r="I87" s="169">
        <f t="shared" si="42"/>
        <v>44481.4</v>
      </c>
      <c r="J87" s="169">
        <f t="shared" si="42"/>
        <v>15409.400000000001</v>
      </c>
      <c r="K87" s="169">
        <f t="shared" si="42"/>
        <v>48528.8</v>
      </c>
      <c r="L87" s="162" t="e">
        <f>K87/#REF!*100</f>
        <v>#REF!</v>
      </c>
      <c r="M87" s="162">
        <f>K87/H87*100</f>
        <v>289.05977305893913</v>
      </c>
      <c r="N87" s="163"/>
      <c r="O87" s="163"/>
      <c r="P87" s="170">
        <f t="shared" si="38"/>
        <v>314.92984801484806</v>
      </c>
      <c r="Q87" s="162">
        <f>K87*100/I87</f>
        <v>109.09908411156124</v>
      </c>
      <c r="R87" s="164">
        <f t="shared" si="36"/>
        <v>81.0288057598162</v>
      </c>
    </row>
    <row r="88" spans="1:18" ht="24">
      <c r="A88" s="69" t="s">
        <v>208</v>
      </c>
      <c r="B88" s="67"/>
      <c r="C88" s="109" t="s">
        <v>209</v>
      </c>
      <c r="D88" s="165">
        <f>F88+G88+H88+J88</f>
        <v>59785.8</v>
      </c>
      <c r="E88" s="165">
        <f>F88+G88</f>
        <v>27587.899999999998</v>
      </c>
      <c r="F88" s="178">
        <v>10684.8</v>
      </c>
      <c r="G88" s="178">
        <v>16903.1</v>
      </c>
      <c r="H88" s="166">
        <f>16511.9+116.2+160.4</f>
        <v>16788.500000000004</v>
      </c>
      <c r="I88" s="166">
        <f t="shared" si="40"/>
        <v>44376.4</v>
      </c>
      <c r="J88" s="166">
        <f>11550.6+3858.8</f>
        <v>15409.400000000001</v>
      </c>
      <c r="K88" s="167">
        <v>48423.8</v>
      </c>
      <c r="L88" s="168" t="e">
        <f>K88/#REF!*100</f>
        <v>#REF!</v>
      </c>
      <c r="M88" s="168">
        <f>K88/H88*100</f>
        <v>288.4343449384995</v>
      </c>
      <c r="N88" s="163"/>
      <c r="O88" s="163"/>
      <c r="P88" s="166">
        <f t="shared" si="38"/>
        <v>314.24844575389045</v>
      </c>
      <c r="Q88" s="168">
        <f>K88*100/I88</f>
        <v>109.12061365951271</v>
      </c>
      <c r="R88" s="167">
        <f t="shared" si="36"/>
        <v>80.99548722271844</v>
      </c>
    </row>
    <row r="89" spans="1:18" ht="12.75">
      <c r="A89" s="69" t="s">
        <v>210</v>
      </c>
      <c r="B89" s="69"/>
      <c r="C89" s="110" t="s">
        <v>211</v>
      </c>
      <c r="D89" s="165">
        <f>F89+G89+H89+J89</f>
        <v>105</v>
      </c>
      <c r="E89" s="165">
        <f>F89+G89</f>
        <v>105</v>
      </c>
      <c r="F89" s="185">
        <v>5</v>
      </c>
      <c r="G89" s="185">
        <v>100</v>
      </c>
      <c r="H89" s="166"/>
      <c r="I89" s="166">
        <f t="shared" si="40"/>
        <v>105</v>
      </c>
      <c r="J89" s="166"/>
      <c r="K89" s="167">
        <v>105</v>
      </c>
      <c r="L89" s="168" t="e">
        <f>K89/#REF!*100</f>
        <v>#REF!</v>
      </c>
      <c r="M89" s="168"/>
      <c r="N89" s="163"/>
      <c r="O89" s="163"/>
      <c r="P89" s="166" t="e">
        <f t="shared" si="38"/>
        <v>#DIV/0!</v>
      </c>
      <c r="Q89" s="168">
        <f>K89*100/I89</f>
        <v>100</v>
      </c>
      <c r="R89" s="167">
        <f>K89*100/D89</f>
        <v>100</v>
      </c>
    </row>
    <row r="90" spans="1:18" ht="12.75">
      <c r="A90" s="74"/>
      <c r="B90" s="75"/>
      <c r="C90" s="76" t="s">
        <v>216</v>
      </c>
      <c r="D90" s="164">
        <f aca="true" t="shared" si="43" ref="D90:K90">D87+D76</f>
        <v>87281.3</v>
      </c>
      <c r="E90" s="164">
        <f t="shared" si="43"/>
        <v>39566.1</v>
      </c>
      <c r="F90" s="164">
        <f t="shared" si="43"/>
        <v>16721.3</v>
      </c>
      <c r="G90" s="164">
        <f t="shared" si="43"/>
        <v>22844.8</v>
      </c>
      <c r="H90" s="164">
        <f t="shared" si="43"/>
        <v>25619.600000000002</v>
      </c>
      <c r="I90" s="164">
        <f t="shared" si="43"/>
        <v>65185.7</v>
      </c>
      <c r="J90" s="164">
        <f t="shared" si="43"/>
        <v>22095.600000000002</v>
      </c>
      <c r="K90" s="164">
        <f t="shared" si="43"/>
        <v>68493</v>
      </c>
      <c r="L90" s="162" t="e">
        <f>K90/#REF!*100</f>
        <v>#REF!</v>
      </c>
      <c r="M90" s="162">
        <f>K90/H90*100</f>
        <v>267.3460943964777</v>
      </c>
      <c r="N90" s="163"/>
      <c r="O90" s="173" t="e">
        <f>J90+#REF!+#REF!</f>
        <v>#REF!</v>
      </c>
      <c r="P90" s="170">
        <f t="shared" si="38"/>
        <v>309.9847933525226</v>
      </c>
      <c r="Q90" s="162">
        <f>K90*100/I90</f>
        <v>105.07365879326295</v>
      </c>
      <c r="R90" s="164">
        <f t="shared" si="36"/>
        <v>78.47385407870873</v>
      </c>
    </row>
    <row r="91" spans="1:18" ht="12.75">
      <c r="A91" s="230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2"/>
      <c r="N91" s="102"/>
      <c r="O91" s="102"/>
      <c r="P91" s="111"/>
      <c r="Q91" s="101"/>
      <c r="R91" s="77"/>
    </row>
    <row r="92" spans="1:18" ht="12.75">
      <c r="A92" s="229" t="s">
        <v>221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101"/>
      <c r="R92" s="77"/>
    </row>
    <row r="93" spans="1:18" ht="12.75">
      <c r="A93" s="99" t="s">
        <v>178</v>
      </c>
      <c r="B93" s="99"/>
      <c r="C93" s="100" t="s">
        <v>179</v>
      </c>
      <c r="D93" s="162">
        <f aca="true" t="shared" si="44" ref="D93:K93">D94+D95+D99+D96+D97+D100+D98</f>
        <v>2801</v>
      </c>
      <c r="E93" s="162">
        <f t="shared" si="44"/>
        <v>1209.8</v>
      </c>
      <c r="F93" s="162">
        <f t="shared" si="44"/>
        <v>599.3</v>
      </c>
      <c r="G93" s="162">
        <f t="shared" si="44"/>
        <v>610.5000000000001</v>
      </c>
      <c r="H93" s="162">
        <f t="shared" si="44"/>
        <v>973.0000000000001</v>
      </c>
      <c r="I93" s="162">
        <f t="shared" si="44"/>
        <v>2182.8</v>
      </c>
      <c r="J93" s="162">
        <f t="shared" si="44"/>
        <v>618.2</v>
      </c>
      <c r="K93" s="162">
        <f t="shared" si="44"/>
        <v>2522.9</v>
      </c>
      <c r="L93" s="162" t="e">
        <f>K93/#REF!*100</f>
        <v>#REF!</v>
      </c>
      <c r="M93" s="162">
        <f>K93/H93*100</f>
        <v>259.2908530318602</v>
      </c>
      <c r="N93" s="163"/>
      <c r="O93" s="163"/>
      <c r="P93" s="162">
        <f t="shared" si="38"/>
        <v>408.1041734066645</v>
      </c>
      <c r="Q93" s="162">
        <f aca="true" t="shared" si="45" ref="Q93:Q99">K93*100/I93</f>
        <v>115.58090525929997</v>
      </c>
      <c r="R93" s="164">
        <f t="shared" si="36"/>
        <v>90.07140307033202</v>
      </c>
    </row>
    <row r="94" spans="1:18" ht="12.75">
      <c r="A94" s="74" t="s">
        <v>180</v>
      </c>
      <c r="B94" s="74"/>
      <c r="C94" s="103" t="s">
        <v>181</v>
      </c>
      <c r="D94" s="165">
        <f>F94+G94+H94+J94</f>
        <v>2600</v>
      </c>
      <c r="E94" s="165">
        <f aca="true" t="shared" si="46" ref="E94:E103">F94+G94</f>
        <v>1139.2</v>
      </c>
      <c r="F94" s="178">
        <v>569.6</v>
      </c>
      <c r="G94" s="178">
        <v>569.6</v>
      </c>
      <c r="H94" s="166">
        <f>569.6+321.5</f>
        <v>891.1</v>
      </c>
      <c r="I94" s="166">
        <f>E94+H94</f>
        <v>2030.3000000000002</v>
      </c>
      <c r="J94" s="167">
        <v>569.7</v>
      </c>
      <c r="K94" s="167">
        <v>2348.7</v>
      </c>
      <c r="L94" s="168"/>
      <c r="M94" s="168">
        <f>K94/H94*100</f>
        <v>263.57311188418805</v>
      </c>
      <c r="N94" s="173"/>
      <c r="O94" s="163"/>
      <c r="P94" s="166">
        <f t="shared" si="38"/>
        <v>412.26961558715107</v>
      </c>
      <c r="Q94" s="168">
        <f t="shared" si="45"/>
        <v>115.68241146628574</v>
      </c>
      <c r="R94" s="167">
        <f t="shared" si="36"/>
        <v>90.33461538461538</v>
      </c>
    </row>
    <row r="95" spans="1:18" ht="12.75">
      <c r="A95" s="67" t="s">
        <v>184</v>
      </c>
      <c r="B95" s="67"/>
      <c r="C95" s="103" t="s">
        <v>185</v>
      </c>
      <c r="D95" s="165">
        <f aca="true" t="shared" si="47" ref="D95:D103">F95+G95+H95+J95</f>
        <v>52</v>
      </c>
      <c r="E95" s="165">
        <f t="shared" si="46"/>
        <v>25.5</v>
      </c>
      <c r="F95" s="178">
        <v>12.8</v>
      </c>
      <c r="G95" s="178">
        <v>12.7</v>
      </c>
      <c r="H95" s="166">
        <v>12.7</v>
      </c>
      <c r="I95" s="166">
        <f aca="true" t="shared" si="48" ref="I95:I102">E95+H95</f>
        <v>38.2</v>
      </c>
      <c r="J95" s="167">
        <f>11.8+2</f>
        <v>13.8</v>
      </c>
      <c r="K95" s="167">
        <v>28.9</v>
      </c>
      <c r="L95" s="168"/>
      <c r="M95" s="168">
        <f aca="true" t="shared" si="49" ref="M95:M102">K95/H95*100</f>
        <v>227.55905511811022</v>
      </c>
      <c r="N95" s="173"/>
      <c r="O95" s="163"/>
      <c r="P95" s="166">
        <f t="shared" si="38"/>
        <v>209.42028985507244</v>
      </c>
      <c r="Q95" s="168">
        <f t="shared" si="45"/>
        <v>75.6544502617801</v>
      </c>
      <c r="R95" s="167">
        <f t="shared" si="36"/>
        <v>55.57692307692308</v>
      </c>
    </row>
    <row r="96" spans="1:18" ht="12.75">
      <c r="A96" s="67" t="s">
        <v>186</v>
      </c>
      <c r="B96" s="67"/>
      <c r="C96" s="103" t="s">
        <v>187</v>
      </c>
      <c r="D96" s="165">
        <f t="shared" si="47"/>
        <v>10</v>
      </c>
      <c r="E96" s="165">
        <f t="shared" si="46"/>
        <v>4</v>
      </c>
      <c r="F96" s="178">
        <v>1</v>
      </c>
      <c r="G96" s="178">
        <v>3</v>
      </c>
      <c r="H96" s="166">
        <v>3</v>
      </c>
      <c r="I96" s="166">
        <f t="shared" si="48"/>
        <v>7</v>
      </c>
      <c r="J96" s="167">
        <v>3</v>
      </c>
      <c r="K96" s="167">
        <v>0.2</v>
      </c>
      <c r="L96" s="168"/>
      <c r="M96" s="168">
        <f t="shared" si="49"/>
        <v>6.666666666666667</v>
      </c>
      <c r="N96" s="163"/>
      <c r="O96" s="163"/>
      <c r="P96" s="166">
        <f t="shared" si="38"/>
        <v>6.666666666666667</v>
      </c>
      <c r="Q96" s="168">
        <f t="shared" si="45"/>
        <v>2.857142857142857</v>
      </c>
      <c r="R96" s="167">
        <f t="shared" si="36"/>
        <v>2</v>
      </c>
    </row>
    <row r="97" spans="1:18" ht="24">
      <c r="A97" s="68" t="s">
        <v>190</v>
      </c>
      <c r="B97" s="68"/>
      <c r="C97" s="103" t="s">
        <v>191</v>
      </c>
      <c r="D97" s="165">
        <f t="shared" si="47"/>
        <v>96</v>
      </c>
      <c r="E97" s="165">
        <f t="shared" si="46"/>
        <v>25</v>
      </c>
      <c r="F97" s="178">
        <v>10</v>
      </c>
      <c r="G97" s="178">
        <v>15</v>
      </c>
      <c r="H97" s="166">
        <f>15+22+10</f>
        <v>47</v>
      </c>
      <c r="I97" s="166">
        <f t="shared" si="48"/>
        <v>72</v>
      </c>
      <c r="J97" s="167">
        <f>15+9</f>
        <v>24</v>
      </c>
      <c r="K97" s="167">
        <v>79.9</v>
      </c>
      <c r="L97" s="168"/>
      <c r="M97" s="168">
        <f t="shared" si="49"/>
        <v>170.00000000000003</v>
      </c>
      <c r="N97" s="163"/>
      <c r="O97" s="163"/>
      <c r="P97" s="166">
        <f t="shared" si="38"/>
        <v>332.9166666666667</v>
      </c>
      <c r="Q97" s="168">
        <f t="shared" si="45"/>
        <v>110.97222222222223</v>
      </c>
      <c r="R97" s="167">
        <f t="shared" si="36"/>
        <v>83.22916666666667</v>
      </c>
    </row>
    <row r="98" spans="1:18" ht="24">
      <c r="A98" s="105" t="s">
        <v>194</v>
      </c>
      <c r="B98" s="105"/>
      <c r="C98" s="103" t="s">
        <v>195</v>
      </c>
      <c r="D98" s="165">
        <f t="shared" si="47"/>
        <v>25</v>
      </c>
      <c r="E98" s="165">
        <f t="shared" si="46"/>
        <v>12.5</v>
      </c>
      <c r="F98" s="178">
        <v>5</v>
      </c>
      <c r="G98" s="178">
        <v>7.5</v>
      </c>
      <c r="H98" s="166">
        <v>7.5</v>
      </c>
      <c r="I98" s="166">
        <f t="shared" si="48"/>
        <v>20</v>
      </c>
      <c r="J98" s="167">
        <v>5</v>
      </c>
      <c r="K98" s="167">
        <v>12.3</v>
      </c>
      <c r="L98" s="168"/>
      <c r="M98" s="168">
        <f t="shared" si="49"/>
        <v>164</v>
      </c>
      <c r="N98" s="163"/>
      <c r="O98" s="163"/>
      <c r="P98" s="166">
        <f t="shared" si="38"/>
        <v>246</v>
      </c>
      <c r="Q98" s="168">
        <f t="shared" si="45"/>
        <v>61.5</v>
      </c>
      <c r="R98" s="167">
        <f t="shared" si="36"/>
        <v>49.2</v>
      </c>
    </row>
    <row r="99" spans="1:18" ht="24">
      <c r="A99" s="105" t="s">
        <v>196</v>
      </c>
      <c r="B99" s="105"/>
      <c r="C99" s="103" t="s">
        <v>197</v>
      </c>
      <c r="D99" s="165">
        <f t="shared" si="47"/>
        <v>18</v>
      </c>
      <c r="E99" s="165">
        <f t="shared" si="46"/>
        <v>3.6</v>
      </c>
      <c r="F99" s="178">
        <v>0.9</v>
      </c>
      <c r="G99" s="178">
        <v>2.7</v>
      </c>
      <c r="H99" s="166">
        <f>2.7+9</f>
        <v>11.7</v>
      </c>
      <c r="I99" s="166">
        <f t="shared" si="48"/>
        <v>15.299999999999999</v>
      </c>
      <c r="J99" s="167">
        <v>2.7</v>
      </c>
      <c r="K99" s="167">
        <v>16.6</v>
      </c>
      <c r="L99" s="168"/>
      <c r="M99" s="168">
        <f t="shared" si="49"/>
        <v>141.88034188034192</v>
      </c>
      <c r="N99" s="163"/>
      <c r="O99" s="163"/>
      <c r="P99" s="166">
        <f t="shared" si="38"/>
        <v>614.8148148148149</v>
      </c>
      <c r="Q99" s="168">
        <f t="shared" si="45"/>
        <v>108.49673202614382</v>
      </c>
      <c r="R99" s="167">
        <f t="shared" si="36"/>
        <v>92.22222222222223</v>
      </c>
    </row>
    <row r="100" spans="1:18" ht="12.75">
      <c r="A100" s="105" t="s">
        <v>202</v>
      </c>
      <c r="B100" s="120"/>
      <c r="C100" s="71" t="s">
        <v>203</v>
      </c>
      <c r="D100" s="165">
        <f t="shared" si="47"/>
        <v>0</v>
      </c>
      <c r="E100" s="165">
        <f t="shared" si="46"/>
        <v>0</v>
      </c>
      <c r="F100" s="186"/>
      <c r="G100" s="186"/>
      <c r="H100" s="166"/>
      <c r="I100" s="166"/>
      <c r="J100" s="167"/>
      <c r="K100" s="167">
        <v>36.3</v>
      </c>
      <c r="L100" s="162"/>
      <c r="M100" s="168" t="e">
        <f t="shared" si="49"/>
        <v>#DIV/0!</v>
      </c>
      <c r="N100" s="163"/>
      <c r="O100" s="163"/>
      <c r="P100" s="166" t="e">
        <f t="shared" si="38"/>
        <v>#DIV/0!</v>
      </c>
      <c r="Q100" s="162"/>
      <c r="R100" s="164"/>
    </row>
    <row r="101" spans="1:18" ht="12.75">
      <c r="A101" s="116" t="s">
        <v>206</v>
      </c>
      <c r="B101" s="116"/>
      <c r="C101" s="108" t="s">
        <v>207</v>
      </c>
      <c r="D101" s="169">
        <f aca="true" t="shared" si="50" ref="D101:L101">D102+D103</f>
        <v>27148.4</v>
      </c>
      <c r="E101" s="169">
        <f t="shared" si="50"/>
        <v>12398.8</v>
      </c>
      <c r="F101" s="169">
        <f t="shared" si="50"/>
        <v>6080.5</v>
      </c>
      <c r="G101" s="169">
        <f t="shared" si="50"/>
        <v>6318.3</v>
      </c>
      <c r="H101" s="169">
        <f t="shared" si="50"/>
        <v>5725.7</v>
      </c>
      <c r="I101" s="169">
        <f t="shared" si="50"/>
        <v>18124.5</v>
      </c>
      <c r="J101" s="169">
        <f t="shared" si="50"/>
        <v>9023.9</v>
      </c>
      <c r="K101" s="169">
        <f t="shared" si="50"/>
        <v>21993.1</v>
      </c>
      <c r="L101" s="169">
        <f t="shared" si="50"/>
        <v>0</v>
      </c>
      <c r="M101" s="162">
        <f>K101/H101*100</f>
        <v>384.11198630735106</v>
      </c>
      <c r="N101" s="163"/>
      <c r="O101" s="163"/>
      <c r="P101" s="170">
        <f t="shared" si="38"/>
        <v>243.72056427930275</v>
      </c>
      <c r="Q101" s="162">
        <f>K101*100/I101</f>
        <v>121.3445888162432</v>
      </c>
      <c r="R101" s="164">
        <f t="shared" si="36"/>
        <v>81.01066729531021</v>
      </c>
    </row>
    <row r="102" spans="1:18" ht="24">
      <c r="A102" s="69" t="s">
        <v>208</v>
      </c>
      <c r="B102" s="67"/>
      <c r="C102" s="109" t="s">
        <v>209</v>
      </c>
      <c r="D102" s="165">
        <f t="shared" si="47"/>
        <v>25648.4</v>
      </c>
      <c r="E102" s="165">
        <f t="shared" si="46"/>
        <v>12398.8</v>
      </c>
      <c r="F102" s="178">
        <f>5480.9+599.6</f>
        <v>6080.5</v>
      </c>
      <c r="G102" s="178">
        <f>5676.8+129.3+13.8+498.4</f>
        <v>6318.3</v>
      </c>
      <c r="H102" s="166">
        <f>5676.8+48.9</f>
        <v>5725.7</v>
      </c>
      <c r="I102" s="166">
        <f t="shared" si="48"/>
        <v>18124.5</v>
      </c>
      <c r="J102" s="167">
        <f>5480.9+116.8+1926.2</f>
        <v>7523.9</v>
      </c>
      <c r="K102" s="167">
        <v>21993.1</v>
      </c>
      <c r="L102" s="168"/>
      <c r="M102" s="168">
        <f t="shared" si="49"/>
        <v>384.11198630735106</v>
      </c>
      <c r="N102" s="163"/>
      <c r="O102" s="163"/>
      <c r="P102" s="166">
        <f t="shared" si="38"/>
        <v>292.3098393120589</v>
      </c>
      <c r="Q102" s="168">
        <f>K102*100/I102</f>
        <v>121.3445888162432</v>
      </c>
      <c r="R102" s="167">
        <f t="shared" si="36"/>
        <v>85.74842875189096</v>
      </c>
    </row>
    <row r="103" spans="1:18" ht="12.75">
      <c r="A103" s="69" t="s">
        <v>210</v>
      </c>
      <c r="B103" s="69"/>
      <c r="C103" s="110" t="s">
        <v>211</v>
      </c>
      <c r="D103" s="165">
        <f t="shared" si="47"/>
        <v>1500</v>
      </c>
      <c r="E103" s="165">
        <f t="shared" si="46"/>
        <v>0</v>
      </c>
      <c r="F103" s="185"/>
      <c r="G103" s="185"/>
      <c r="H103" s="166"/>
      <c r="I103" s="166"/>
      <c r="J103" s="167">
        <v>1500</v>
      </c>
      <c r="K103" s="167"/>
      <c r="L103" s="168"/>
      <c r="M103" s="168"/>
      <c r="N103" s="163"/>
      <c r="O103" s="163"/>
      <c r="P103" s="166">
        <f t="shared" si="38"/>
        <v>0</v>
      </c>
      <c r="Q103" s="162"/>
      <c r="R103" s="164"/>
    </row>
    <row r="104" spans="1:18" ht="12.75">
      <c r="A104" s="74"/>
      <c r="B104" s="75"/>
      <c r="C104" s="76" t="s">
        <v>216</v>
      </c>
      <c r="D104" s="164">
        <f aca="true" t="shared" si="51" ref="D104:L104">D101+D93</f>
        <v>29949.4</v>
      </c>
      <c r="E104" s="170">
        <f t="shared" si="51"/>
        <v>13608.599999999999</v>
      </c>
      <c r="F104" s="170">
        <f t="shared" si="51"/>
        <v>6679.8</v>
      </c>
      <c r="G104" s="170">
        <f>G101+G93</f>
        <v>6928.8</v>
      </c>
      <c r="H104" s="164">
        <f t="shared" si="51"/>
        <v>6698.7</v>
      </c>
      <c r="I104" s="164">
        <f t="shared" si="51"/>
        <v>20307.3</v>
      </c>
      <c r="J104" s="164">
        <f t="shared" si="51"/>
        <v>9642.1</v>
      </c>
      <c r="K104" s="164">
        <f t="shared" si="51"/>
        <v>24516</v>
      </c>
      <c r="L104" s="164" t="e">
        <f t="shared" si="51"/>
        <v>#REF!</v>
      </c>
      <c r="M104" s="162">
        <f>K104/H104*100</f>
        <v>365.981459089077</v>
      </c>
      <c r="N104" s="163"/>
      <c r="O104" s="173" t="e">
        <f>J104+#REF!+#REF!</f>
        <v>#REF!</v>
      </c>
      <c r="P104" s="170">
        <f t="shared" si="38"/>
        <v>254.25996411570094</v>
      </c>
      <c r="Q104" s="162">
        <f>K104*100/I104</f>
        <v>120.72505946137596</v>
      </c>
      <c r="R104" s="164">
        <f t="shared" si="36"/>
        <v>81.85806727346791</v>
      </c>
    </row>
    <row r="105" spans="1:18" ht="12.75">
      <c r="A105" s="230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2"/>
      <c r="N105" s="102"/>
      <c r="O105" s="102"/>
      <c r="P105" s="111"/>
      <c r="Q105" s="101"/>
      <c r="R105" s="77"/>
    </row>
    <row r="106" spans="1:18" ht="12.75">
      <c r="A106" s="229" t="s">
        <v>222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101"/>
      <c r="R106" s="77"/>
    </row>
    <row r="107" spans="1:18" ht="12.75">
      <c r="A107" s="99" t="s">
        <v>178</v>
      </c>
      <c r="B107" s="99"/>
      <c r="C107" s="100" t="s">
        <v>179</v>
      </c>
      <c r="D107" s="162">
        <f>D108+D110+D114+D111+D112+D115+D113+D116+D109</f>
        <v>1418.9</v>
      </c>
      <c r="E107" s="162">
        <f aca="true" t="shared" si="52" ref="E107:K107">E108+E110+E114+E111+E112+E115+E113+E116+E109</f>
        <v>594.2</v>
      </c>
      <c r="F107" s="162">
        <f t="shared" si="52"/>
        <v>196.2</v>
      </c>
      <c r="G107" s="162">
        <f t="shared" si="52"/>
        <v>398</v>
      </c>
      <c r="H107" s="162">
        <f t="shared" si="52"/>
        <v>399.20000000000005</v>
      </c>
      <c r="I107" s="162">
        <f t="shared" si="52"/>
        <v>993.4000000000001</v>
      </c>
      <c r="J107" s="162">
        <f t="shared" si="52"/>
        <v>425.5</v>
      </c>
      <c r="K107" s="162">
        <f t="shared" si="52"/>
        <v>1931.7999999999997</v>
      </c>
      <c r="L107" s="162" t="e">
        <f>K107/#REF!*100</f>
        <v>#REF!</v>
      </c>
      <c r="M107" s="162">
        <f aca="true" t="shared" si="53" ref="M107:M114">K107/H107*100</f>
        <v>483.9178356713426</v>
      </c>
      <c r="N107" s="163"/>
      <c r="O107" s="163"/>
      <c r="P107" s="162">
        <f t="shared" si="38"/>
        <v>454.0070505287896</v>
      </c>
      <c r="Q107" s="162">
        <f>K107*100/I107</f>
        <v>194.4634588282665</v>
      </c>
      <c r="R107" s="164">
        <f t="shared" si="36"/>
        <v>136.14772006483892</v>
      </c>
    </row>
    <row r="108" spans="1:18" ht="12.75">
      <c r="A108" s="74" t="s">
        <v>180</v>
      </c>
      <c r="B108" s="74"/>
      <c r="C108" s="103" t="s">
        <v>181</v>
      </c>
      <c r="D108" s="165">
        <f>F108+G108+H108+J108</f>
        <v>840</v>
      </c>
      <c r="E108" s="165">
        <f aca="true" t="shared" si="54" ref="E108:E118">F108+G108</f>
        <v>350.2</v>
      </c>
      <c r="F108" s="165">
        <v>127.6</v>
      </c>
      <c r="G108" s="165">
        <v>222.6</v>
      </c>
      <c r="H108" s="167">
        <v>198.2</v>
      </c>
      <c r="I108" s="167">
        <f>H108+E108</f>
        <v>548.4</v>
      </c>
      <c r="J108" s="167">
        <v>291.6</v>
      </c>
      <c r="K108" s="167">
        <v>761.9</v>
      </c>
      <c r="L108" s="168" t="e">
        <f>K108/#REF!*100</f>
        <v>#REF!</v>
      </c>
      <c r="M108" s="168">
        <f t="shared" si="53"/>
        <v>384.40968718466195</v>
      </c>
      <c r="N108" s="163"/>
      <c r="O108" s="163"/>
      <c r="P108" s="166">
        <f t="shared" si="38"/>
        <v>261.28257887517145</v>
      </c>
      <c r="Q108" s="168">
        <f>K108*100/I108</f>
        <v>138.9314369073669</v>
      </c>
      <c r="R108" s="167">
        <f t="shared" si="36"/>
        <v>90.70238095238095</v>
      </c>
    </row>
    <row r="109" spans="1:18" ht="12.75">
      <c r="A109" s="67" t="s">
        <v>182</v>
      </c>
      <c r="B109" s="67"/>
      <c r="C109" s="103" t="s">
        <v>183</v>
      </c>
      <c r="D109" s="165">
        <f>F109+G109+H109+J109</f>
        <v>0</v>
      </c>
      <c r="E109" s="165">
        <f t="shared" si="54"/>
        <v>0</v>
      </c>
      <c r="F109" s="165"/>
      <c r="G109" s="165"/>
      <c r="H109" s="167"/>
      <c r="I109" s="167">
        <f aca="true" t="shared" si="55" ref="I109:I115">H109+E109</f>
        <v>0</v>
      </c>
      <c r="J109" s="167"/>
      <c r="K109" s="167"/>
      <c r="L109" s="168"/>
      <c r="M109" s="168"/>
      <c r="N109" s="163"/>
      <c r="O109" s="163"/>
      <c r="P109" s="166"/>
      <c r="Q109" s="168"/>
      <c r="R109" s="167"/>
    </row>
    <row r="110" spans="1:18" ht="12.75">
      <c r="A110" s="67" t="s">
        <v>184</v>
      </c>
      <c r="B110" s="67"/>
      <c r="C110" s="103" t="s">
        <v>185</v>
      </c>
      <c r="D110" s="165">
        <f aca="true" t="shared" si="56" ref="D110:D118">F110+G110+H110+J110</f>
        <v>55</v>
      </c>
      <c r="E110" s="165">
        <f t="shared" si="54"/>
        <v>21.3</v>
      </c>
      <c r="F110" s="165">
        <v>7.8</v>
      </c>
      <c r="G110" s="165">
        <v>13.5</v>
      </c>
      <c r="H110" s="167">
        <v>19.8</v>
      </c>
      <c r="I110" s="167">
        <f t="shared" si="55"/>
        <v>41.1</v>
      </c>
      <c r="J110" s="167">
        <v>13.9</v>
      </c>
      <c r="K110" s="167">
        <v>36.1</v>
      </c>
      <c r="L110" s="168" t="e">
        <f>K110/#REF!*100</f>
        <v>#REF!</v>
      </c>
      <c r="M110" s="168">
        <f t="shared" si="53"/>
        <v>182.32323232323233</v>
      </c>
      <c r="N110" s="163"/>
      <c r="O110" s="163"/>
      <c r="P110" s="166">
        <f t="shared" si="38"/>
        <v>259.71223021582733</v>
      </c>
      <c r="Q110" s="168">
        <f aca="true" t="shared" si="57" ref="Q110:Q115">K110*100/I110</f>
        <v>87.8345498783455</v>
      </c>
      <c r="R110" s="167">
        <f t="shared" si="36"/>
        <v>65.63636363636364</v>
      </c>
    </row>
    <row r="111" spans="1:18" ht="12.75">
      <c r="A111" s="67" t="s">
        <v>186</v>
      </c>
      <c r="B111" s="67"/>
      <c r="C111" s="103" t="s">
        <v>187</v>
      </c>
      <c r="D111" s="165">
        <f t="shared" si="56"/>
        <v>31</v>
      </c>
      <c r="E111" s="165">
        <f t="shared" si="54"/>
        <v>7.699999999999999</v>
      </c>
      <c r="F111" s="165">
        <v>5.6</v>
      </c>
      <c r="G111" s="165">
        <v>2.1</v>
      </c>
      <c r="H111" s="167">
        <v>12.4</v>
      </c>
      <c r="I111" s="167">
        <f t="shared" si="55"/>
        <v>20.1</v>
      </c>
      <c r="J111" s="167">
        <v>10.9</v>
      </c>
      <c r="K111" s="167">
        <v>48.9</v>
      </c>
      <c r="L111" s="168" t="e">
        <f>K111/#REF!*100</f>
        <v>#REF!</v>
      </c>
      <c r="M111" s="168">
        <f t="shared" si="53"/>
        <v>394.3548387096774</v>
      </c>
      <c r="N111" s="163"/>
      <c r="O111" s="163"/>
      <c r="P111" s="166">
        <f t="shared" si="38"/>
        <v>448.62385321100913</v>
      </c>
      <c r="Q111" s="168">
        <f t="shared" si="57"/>
        <v>243.28358208955223</v>
      </c>
      <c r="R111" s="167">
        <f t="shared" si="36"/>
        <v>157.74193548387098</v>
      </c>
    </row>
    <row r="112" spans="1:18" ht="24">
      <c r="A112" s="68" t="s">
        <v>190</v>
      </c>
      <c r="B112" s="68"/>
      <c r="C112" s="103" t="s">
        <v>191</v>
      </c>
      <c r="D112" s="165">
        <f t="shared" si="56"/>
        <v>375.4</v>
      </c>
      <c r="E112" s="165">
        <f t="shared" si="54"/>
        <v>152.5</v>
      </c>
      <c r="F112" s="165">
        <v>32.7</v>
      </c>
      <c r="G112" s="165">
        <v>119.8</v>
      </c>
      <c r="H112" s="167">
        <v>136.3</v>
      </c>
      <c r="I112" s="167">
        <f t="shared" si="55"/>
        <v>288.8</v>
      </c>
      <c r="J112" s="167">
        <v>86.6</v>
      </c>
      <c r="K112" s="167">
        <v>454.4</v>
      </c>
      <c r="L112" s="168" t="e">
        <f>K112/#REF!*100</f>
        <v>#REF!</v>
      </c>
      <c r="M112" s="168">
        <f t="shared" si="53"/>
        <v>333.38224504768885</v>
      </c>
      <c r="N112" s="163"/>
      <c r="O112" s="163"/>
      <c r="P112" s="166">
        <f t="shared" si="38"/>
        <v>524.7113163972286</v>
      </c>
      <c r="Q112" s="168">
        <f t="shared" si="57"/>
        <v>157.34072022160663</v>
      </c>
      <c r="R112" s="167">
        <f t="shared" si="36"/>
        <v>121.04421949920086</v>
      </c>
    </row>
    <row r="113" spans="1:18" ht="24">
      <c r="A113" s="105" t="s">
        <v>194</v>
      </c>
      <c r="B113" s="105"/>
      <c r="C113" s="103" t="s">
        <v>195</v>
      </c>
      <c r="D113" s="165">
        <f t="shared" si="56"/>
        <v>90</v>
      </c>
      <c r="E113" s="165">
        <f t="shared" si="54"/>
        <v>45</v>
      </c>
      <c r="F113" s="165">
        <v>22.5</v>
      </c>
      <c r="G113" s="165">
        <v>22.5</v>
      </c>
      <c r="H113" s="167">
        <v>22.5</v>
      </c>
      <c r="I113" s="167">
        <f t="shared" si="55"/>
        <v>67.5</v>
      </c>
      <c r="J113" s="167">
        <v>22.5</v>
      </c>
      <c r="K113" s="167">
        <v>10.6</v>
      </c>
      <c r="L113" s="168" t="e">
        <f>K113/#REF!*100</f>
        <v>#REF!</v>
      </c>
      <c r="M113" s="168">
        <f t="shared" si="53"/>
        <v>47.11111111111111</v>
      </c>
      <c r="N113" s="163"/>
      <c r="O113" s="163"/>
      <c r="P113" s="166">
        <f t="shared" si="38"/>
        <v>47.111111111111114</v>
      </c>
      <c r="Q113" s="168">
        <f t="shared" si="57"/>
        <v>15.703703703703704</v>
      </c>
      <c r="R113" s="167">
        <f t="shared" si="36"/>
        <v>11.777777777777779</v>
      </c>
    </row>
    <row r="114" spans="1:18" ht="24">
      <c r="A114" s="104" t="s">
        <v>196</v>
      </c>
      <c r="B114" s="104"/>
      <c r="C114" s="103" t="s">
        <v>197</v>
      </c>
      <c r="D114" s="165">
        <f t="shared" si="56"/>
        <v>27.5</v>
      </c>
      <c r="E114" s="165">
        <f t="shared" si="54"/>
        <v>17.5</v>
      </c>
      <c r="F114" s="165"/>
      <c r="G114" s="165">
        <v>17.5</v>
      </c>
      <c r="H114" s="167">
        <v>10</v>
      </c>
      <c r="I114" s="167">
        <f t="shared" si="55"/>
        <v>27.5</v>
      </c>
      <c r="J114" s="167"/>
      <c r="K114" s="167">
        <v>35.9</v>
      </c>
      <c r="L114" s="168" t="e">
        <f>K114/#REF!*100</f>
        <v>#REF!</v>
      </c>
      <c r="M114" s="168">
        <f t="shared" si="53"/>
        <v>359</v>
      </c>
      <c r="N114" s="163"/>
      <c r="O114" s="163"/>
      <c r="P114" s="166" t="e">
        <f t="shared" si="38"/>
        <v>#DIV/0!</v>
      </c>
      <c r="Q114" s="168">
        <f t="shared" si="57"/>
        <v>130.54545454545453</v>
      </c>
      <c r="R114" s="167">
        <f t="shared" si="36"/>
        <v>130.54545454545453</v>
      </c>
    </row>
    <row r="115" spans="1:18" ht="12.75">
      <c r="A115" s="74" t="s">
        <v>200</v>
      </c>
      <c r="B115" s="74"/>
      <c r="C115" s="103" t="s">
        <v>201</v>
      </c>
      <c r="D115" s="165">
        <f t="shared" si="56"/>
        <v>0</v>
      </c>
      <c r="E115" s="165">
        <f t="shared" si="54"/>
        <v>0</v>
      </c>
      <c r="F115" s="165"/>
      <c r="G115" s="165"/>
      <c r="H115" s="167"/>
      <c r="I115" s="167">
        <f t="shared" si="55"/>
        <v>0</v>
      </c>
      <c r="J115" s="167"/>
      <c r="K115" s="167"/>
      <c r="L115" s="168"/>
      <c r="M115" s="168"/>
      <c r="N115" s="163"/>
      <c r="O115" s="163"/>
      <c r="P115" s="166" t="e">
        <f t="shared" si="38"/>
        <v>#DIV/0!</v>
      </c>
      <c r="Q115" s="168" t="e">
        <f t="shared" si="57"/>
        <v>#DIV/0!</v>
      </c>
      <c r="R115" s="164" t="e">
        <f t="shared" si="36"/>
        <v>#DIV/0!</v>
      </c>
    </row>
    <row r="116" spans="1:18" ht="12.75">
      <c r="A116" s="104" t="s">
        <v>202</v>
      </c>
      <c r="B116" s="120"/>
      <c r="C116" s="71" t="s">
        <v>203</v>
      </c>
      <c r="D116" s="165">
        <f t="shared" si="56"/>
        <v>0</v>
      </c>
      <c r="E116" s="165">
        <f t="shared" si="54"/>
        <v>0</v>
      </c>
      <c r="F116" s="165"/>
      <c r="G116" s="165"/>
      <c r="H116" s="167"/>
      <c r="I116" s="167"/>
      <c r="J116" s="167"/>
      <c r="K116" s="167">
        <v>584</v>
      </c>
      <c r="L116" s="168"/>
      <c r="M116" s="168"/>
      <c r="N116" s="163"/>
      <c r="O116" s="163"/>
      <c r="P116" s="166" t="e">
        <f t="shared" si="38"/>
        <v>#DIV/0!</v>
      </c>
      <c r="Q116" s="168"/>
      <c r="R116" s="164"/>
    </row>
    <row r="117" spans="1:18" ht="12.75">
      <c r="A117" s="99" t="s">
        <v>206</v>
      </c>
      <c r="B117" s="99"/>
      <c r="C117" s="108" t="s">
        <v>207</v>
      </c>
      <c r="D117" s="169">
        <f aca="true" t="shared" si="58" ref="D117:L117">D118</f>
        <v>30366.800000000003</v>
      </c>
      <c r="E117" s="187">
        <f t="shared" si="58"/>
        <v>14267.800000000001</v>
      </c>
      <c r="F117" s="187">
        <f t="shared" si="58"/>
        <v>5407.5</v>
      </c>
      <c r="G117" s="187">
        <f t="shared" si="58"/>
        <v>8860.300000000001</v>
      </c>
      <c r="H117" s="187">
        <f t="shared" si="58"/>
        <v>9050.1</v>
      </c>
      <c r="I117" s="187">
        <f t="shared" si="58"/>
        <v>23317.9</v>
      </c>
      <c r="J117" s="169">
        <f t="shared" si="58"/>
        <v>7048.900000000001</v>
      </c>
      <c r="K117" s="169">
        <f t="shared" si="58"/>
        <v>24437.8</v>
      </c>
      <c r="L117" s="169" t="e">
        <f t="shared" si="58"/>
        <v>#REF!</v>
      </c>
      <c r="M117" s="162">
        <f>K117/H117*100</f>
        <v>270.0279554922045</v>
      </c>
      <c r="N117" s="163"/>
      <c r="O117" s="163"/>
      <c r="P117" s="170">
        <f t="shared" si="38"/>
        <v>346.68955439855864</v>
      </c>
      <c r="Q117" s="162">
        <f>K117*100/I117</f>
        <v>104.80274810338838</v>
      </c>
      <c r="R117" s="164">
        <f t="shared" si="36"/>
        <v>80.47538759434644</v>
      </c>
    </row>
    <row r="118" spans="1:18" ht="24">
      <c r="A118" s="69" t="s">
        <v>208</v>
      </c>
      <c r="B118" s="67"/>
      <c r="C118" s="109" t="s">
        <v>209</v>
      </c>
      <c r="D118" s="165">
        <f t="shared" si="56"/>
        <v>30366.800000000003</v>
      </c>
      <c r="E118" s="165">
        <f t="shared" si="54"/>
        <v>14267.800000000001</v>
      </c>
      <c r="F118" s="165">
        <f>5070.3+337.2</f>
        <v>5407.5</v>
      </c>
      <c r="G118" s="165">
        <f>8644.5+20.6+47.7+147.5</f>
        <v>8860.300000000001</v>
      </c>
      <c r="H118" s="167">
        <f>7774.2+813.9+281.1+180.9</f>
        <v>9050.1</v>
      </c>
      <c r="I118" s="167">
        <f>H118+E118</f>
        <v>23317.9</v>
      </c>
      <c r="J118" s="167">
        <f>7329.8-280.9</f>
        <v>7048.900000000001</v>
      </c>
      <c r="K118" s="167">
        <v>24437.8</v>
      </c>
      <c r="L118" s="168" t="e">
        <f>K118/#REF!*100</f>
        <v>#REF!</v>
      </c>
      <c r="M118" s="168">
        <f>K118/H118*100</f>
        <v>270.0279554922045</v>
      </c>
      <c r="N118" s="163"/>
      <c r="O118" s="163"/>
      <c r="P118" s="166">
        <f t="shared" si="38"/>
        <v>346.68955439855864</v>
      </c>
      <c r="Q118" s="168">
        <f>K118*100/I118</f>
        <v>104.80274810338838</v>
      </c>
      <c r="R118" s="167">
        <f t="shared" si="36"/>
        <v>80.47538759434644</v>
      </c>
    </row>
    <row r="119" spans="1:18" ht="12.75">
      <c r="A119" s="74"/>
      <c r="B119" s="75"/>
      <c r="C119" s="76" t="s">
        <v>216</v>
      </c>
      <c r="D119" s="164">
        <f aca="true" t="shared" si="59" ref="D119:K119">D117+D107</f>
        <v>31785.700000000004</v>
      </c>
      <c r="E119" s="164">
        <f t="shared" si="59"/>
        <v>14862.000000000002</v>
      </c>
      <c r="F119" s="164">
        <f t="shared" si="59"/>
        <v>5603.7</v>
      </c>
      <c r="G119" s="164">
        <f t="shared" si="59"/>
        <v>9258.300000000001</v>
      </c>
      <c r="H119" s="164">
        <f t="shared" si="59"/>
        <v>9449.300000000001</v>
      </c>
      <c r="I119" s="164">
        <f t="shared" si="59"/>
        <v>24311.300000000003</v>
      </c>
      <c r="J119" s="164">
        <f t="shared" si="59"/>
        <v>7474.400000000001</v>
      </c>
      <c r="K119" s="164">
        <f t="shared" si="59"/>
        <v>26369.6</v>
      </c>
      <c r="L119" s="162" t="e">
        <f>K119/#REF!*100</f>
        <v>#REF!</v>
      </c>
      <c r="M119" s="162">
        <f>K119/H119*100</f>
        <v>279.06405765506435</v>
      </c>
      <c r="N119" s="163"/>
      <c r="O119" s="173" t="e">
        <f>J119+#REF!+#REF!</f>
        <v>#REF!</v>
      </c>
      <c r="P119" s="170">
        <f t="shared" si="38"/>
        <v>352.7988868671733</v>
      </c>
      <c r="Q119" s="162">
        <f>K119*100/I119</f>
        <v>108.46643330467724</v>
      </c>
      <c r="R119" s="164">
        <f t="shared" si="36"/>
        <v>82.9605766114951</v>
      </c>
    </row>
    <row r="120" spans="1:18" ht="12.75">
      <c r="A120" s="230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2"/>
      <c r="N120" s="102"/>
      <c r="O120" s="102"/>
      <c r="P120" s="111"/>
      <c r="Q120" s="101"/>
      <c r="R120" s="77"/>
    </row>
    <row r="121" spans="1:18" ht="12.75">
      <c r="A121" s="229" t="s">
        <v>223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101"/>
      <c r="R121" s="77"/>
    </row>
    <row r="122" spans="1:18" ht="12.75">
      <c r="A122" s="99" t="s">
        <v>178</v>
      </c>
      <c r="B122" s="99"/>
      <c r="C122" s="100" t="s">
        <v>179</v>
      </c>
      <c r="D122" s="162">
        <f aca="true" t="shared" si="60" ref="D122:K122">D123+D124+D125+D126+D128+D130+D127+D129</f>
        <v>2606.3</v>
      </c>
      <c r="E122" s="162">
        <f t="shared" si="60"/>
        <v>1246.4</v>
      </c>
      <c r="F122" s="162">
        <f t="shared" si="60"/>
        <v>521.2</v>
      </c>
      <c r="G122" s="162">
        <f t="shared" si="60"/>
        <v>725.1999999999999</v>
      </c>
      <c r="H122" s="162">
        <f t="shared" si="60"/>
        <v>766.3</v>
      </c>
      <c r="I122" s="162">
        <f t="shared" si="60"/>
        <v>2012.6999999999996</v>
      </c>
      <c r="J122" s="162">
        <f t="shared" si="60"/>
        <v>593.5999999999999</v>
      </c>
      <c r="K122" s="162">
        <f t="shared" si="60"/>
        <v>2013.6000000000001</v>
      </c>
      <c r="L122" s="162" t="e">
        <f>K122/#REF!*100</f>
        <v>#REF!</v>
      </c>
      <c r="M122" s="162">
        <f aca="true" t="shared" si="61" ref="M122:M128">K122/H122*100</f>
        <v>262.7691504632651</v>
      </c>
      <c r="N122" s="163"/>
      <c r="O122" s="163"/>
      <c r="P122" s="162">
        <f t="shared" si="38"/>
        <v>339.2183288409704</v>
      </c>
      <c r="Q122" s="162">
        <f aca="true" t="shared" si="62" ref="Q122:Q128">K122*100/I122</f>
        <v>100.04471605306307</v>
      </c>
      <c r="R122" s="164">
        <f t="shared" si="36"/>
        <v>77.25894946859532</v>
      </c>
    </row>
    <row r="123" spans="1:18" ht="12.75">
      <c r="A123" s="74" t="s">
        <v>180</v>
      </c>
      <c r="B123" s="74"/>
      <c r="C123" s="103" t="s">
        <v>181</v>
      </c>
      <c r="D123" s="165">
        <f>F123+G123+H123+J123</f>
        <v>1884.8</v>
      </c>
      <c r="E123" s="165">
        <f aca="true" t="shared" si="63" ref="E123:E133">F123+G123</f>
        <v>892.0999999999999</v>
      </c>
      <c r="F123" s="178">
        <v>387.2</v>
      </c>
      <c r="G123" s="178">
        <v>504.9</v>
      </c>
      <c r="H123" s="166">
        <v>559</v>
      </c>
      <c r="I123" s="166">
        <f>E123+H123</f>
        <v>1451.1</v>
      </c>
      <c r="J123" s="167">
        <v>433.7</v>
      </c>
      <c r="K123" s="167">
        <v>1201</v>
      </c>
      <c r="L123" s="168" t="e">
        <f>K123/#REF!*100</f>
        <v>#REF!</v>
      </c>
      <c r="M123" s="168">
        <f t="shared" si="61"/>
        <v>214.84794275491953</v>
      </c>
      <c r="N123" s="163"/>
      <c r="O123" s="163"/>
      <c r="P123" s="166">
        <f t="shared" si="38"/>
        <v>276.91952962877565</v>
      </c>
      <c r="Q123" s="168">
        <f t="shared" si="62"/>
        <v>82.76479911791056</v>
      </c>
      <c r="R123" s="167">
        <f t="shared" si="36"/>
        <v>63.72028862478778</v>
      </c>
    </row>
    <row r="124" spans="1:18" ht="12.75">
      <c r="A124" s="67" t="s">
        <v>184</v>
      </c>
      <c r="B124" s="67"/>
      <c r="C124" s="103" t="s">
        <v>185</v>
      </c>
      <c r="D124" s="165">
        <f aca="true" t="shared" si="64" ref="D124:D133">F124+G124+H124+J124</f>
        <v>166</v>
      </c>
      <c r="E124" s="165">
        <f t="shared" si="63"/>
        <v>74.8</v>
      </c>
      <c r="F124" s="178">
        <v>25.5</v>
      </c>
      <c r="G124" s="178">
        <v>49.3</v>
      </c>
      <c r="H124" s="166">
        <v>56.8</v>
      </c>
      <c r="I124" s="166">
        <f aca="true" t="shared" si="65" ref="I124:I130">E124+H124</f>
        <v>131.6</v>
      </c>
      <c r="J124" s="167">
        <v>34.4</v>
      </c>
      <c r="K124" s="167">
        <v>168.4</v>
      </c>
      <c r="L124" s="168" t="e">
        <f>K124/#REF!*100</f>
        <v>#REF!</v>
      </c>
      <c r="M124" s="168">
        <f t="shared" si="61"/>
        <v>296.47887323943667</v>
      </c>
      <c r="N124" s="163"/>
      <c r="O124" s="163"/>
      <c r="P124" s="166">
        <f t="shared" si="38"/>
        <v>489.5348837209302</v>
      </c>
      <c r="Q124" s="168">
        <f t="shared" si="62"/>
        <v>127.96352583586626</v>
      </c>
      <c r="R124" s="167">
        <f t="shared" si="36"/>
        <v>101.44578313253012</v>
      </c>
    </row>
    <row r="125" spans="1:18" ht="12.75">
      <c r="A125" s="67" t="s">
        <v>186</v>
      </c>
      <c r="B125" s="67"/>
      <c r="C125" s="103" t="s">
        <v>187</v>
      </c>
      <c r="D125" s="165">
        <f t="shared" si="64"/>
        <v>40</v>
      </c>
      <c r="E125" s="165">
        <f t="shared" si="63"/>
        <v>19</v>
      </c>
      <c r="F125" s="178">
        <v>7</v>
      </c>
      <c r="G125" s="178">
        <v>12</v>
      </c>
      <c r="H125" s="166">
        <v>11.6</v>
      </c>
      <c r="I125" s="166">
        <f t="shared" si="65"/>
        <v>30.6</v>
      </c>
      <c r="J125" s="167">
        <v>9.4</v>
      </c>
      <c r="K125" s="167">
        <v>45.1</v>
      </c>
      <c r="L125" s="168" t="e">
        <f>K125/#REF!*100</f>
        <v>#REF!</v>
      </c>
      <c r="M125" s="168">
        <f t="shared" si="61"/>
        <v>388.7931034482759</v>
      </c>
      <c r="N125" s="163"/>
      <c r="O125" s="163"/>
      <c r="P125" s="166">
        <f t="shared" si="38"/>
        <v>479.78723404255317</v>
      </c>
      <c r="Q125" s="168">
        <f t="shared" si="62"/>
        <v>147.38562091503266</v>
      </c>
      <c r="R125" s="167">
        <f t="shared" si="36"/>
        <v>112.75</v>
      </c>
    </row>
    <row r="126" spans="1:18" ht="24">
      <c r="A126" s="68" t="s">
        <v>190</v>
      </c>
      <c r="B126" s="68"/>
      <c r="C126" s="103" t="s">
        <v>191</v>
      </c>
      <c r="D126" s="165">
        <f t="shared" si="64"/>
        <v>342.5</v>
      </c>
      <c r="E126" s="165">
        <f t="shared" si="63"/>
        <v>172.9</v>
      </c>
      <c r="F126" s="178">
        <v>65.5</v>
      </c>
      <c r="G126" s="178">
        <v>107.4</v>
      </c>
      <c r="H126" s="166">
        <v>93.3</v>
      </c>
      <c r="I126" s="166">
        <f t="shared" si="65"/>
        <v>266.2</v>
      </c>
      <c r="J126" s="167">
        <v>76.3</v>
      </c>
      <c r="K126" s="167">
        <v>464.4</v>
      </c>
      <c r="L126" s="168" t="e">
        <f>K126/#REF!*100</f>
        <v>#REF!</v>
      </c>
      <c r="M126" s="168">
        <f t="shared" si="61"/>
        <v>497.7491961414791</v>
      </c>
      <c r="N126" s="163"/>
      <c r="O126" s="163"/>
      <c r="P126" s="166">
        <f t="shared" si="38"/>
        <v>608.6500655307995</v>
      </c>
      <c r="Q126" s="168">
        <f t="shared" si="62"/>
        <v>174.45529676934638</v>
      </c>
      <c r="R126" s="167">
        <f t="shared" si="36"/>
        <v>135.5912408759124</v>
      </c>
    </row>
    <row r="127" spans="1:18" ht="24">
      <c r="A127" s="105" t="s">
        <v>194</v>
      </c>
      <c r="B127" s="105"/>
      <c r="C127" s="103" t="s">
        <v>195</v>
      </c>
      <c r="D127" s="165">
        <f t="shared" si="64"/>
        <v>80</v>
      </c>
      <c r="E127" s="165">
        <f t="shared" si="63"/>
        <v>39.7</v>
      </c>
      <c r="F127" s="178">
        <v>16</v>
      </c>
      <c r="G127" s="178">
        <v>23.7</v>
      </c>
      <c r="H127" s="166">
        <v>21.9</v>
      </c>
      <c r="I127" s="166">
        <f t="shared" si="65"/>
        <v>61.6</v>
      </c>
      <c r="J127" s="167">
        <v>18.4</v>
      </c>
      <c r="K127" s="167">
        <v>46.2</v>
      </c>
      <c r="L127" s="168" t="e">
        <f>K127/#REF!*100</f>
        <v>#REF!</v>
      </c>
      <c r="M127" s="168">
        <f t="shared" si="61"/>
        <v>210.95890410958907</v>
      </c>
      <c r="N127" s="163"/>
      <c r="O127" s="163"/>
      <c r="P127" s="166">
        <f t="shared" si="38"/>
        <v>251.08695652173915</v>
      </c>
      <c r="Q127" s="168">
        <f t="shared" si="62"/>
        <v>75</v>
      </c>
      <c r="R127" s="167">
        <f t="shared" si="36"/>
        <v>57.75</v>
      </c>
    </row>
    <row r="128" spans="1:18" ht="24">
      <c r="A128" s="105" t="s">
        <v>196</v>
      </c>
      <c r="B128" s="105"/>
      <c r="C128" s="103" t="s">
        <v>197</v>
      </c>
      <c r="D128" s="165">
        <f t="shared" si="64"/>
        <v>93</v>
      </c>
      <c r="E128" s="165">
        <f t="shared" si="63"/>
        <v>47.9</v>
      </c>
      <c r="F128" s="178">
        <v>20</v>
      </c>
      <c r="G128" s="178">
        <v>27.9</v>
      </c>
      <c r="H128" s="166">
        <v>23.7</v>
      </c>
      <c r="I128" s="166">
        <f t="shared" si="65"/>
        <v>71.6</v>
      </c>
      <c r="J128" s="167">
        <v>21.4</v>
      </c>
      <c r="K128" s="167">
        <v>44.6</v>
      </c>
      <c r="L128" s="168" t="e">
        <f>K128/#REF!*100</f>
        <v>#REF!</v>
      </c>
      <c r="M128" s="168">
        <f t="shared" si="61"/>
        <v>188.18565400843883</v>
      </c>
      <c r="N128" s="163"/>
      <c r="O128" s="163"/>
      <c r="P128" s="166">
        <f t="shared" si="38"/>
        <v>208.41121495327104</v>
      </c>
      <c r="Q128" s="168">
        <f t="shared" si="62"/>
        <v>62.29050279329609</v>
      </c>
      <c r="R128" s="167">
        <f t="shared" si="36"/>
        <v>47.956989247311824</v>
      </c>
    </row>
    <row r="129" spans="1:18" ht="12.75">
      <c r="A129" s="74" t="s">
        <v>200</v>
      </c>
      <c r="B129" s="74"/>
      <c r="C129" s="103" t="s">
        <v>201</v>
      </c>
      <c r="D129" s="165">
        <f t="shared" si="64"/>
        <v>0</v>
      </c>
      <c r="E129" s="165">
        <f t="shared" si="63"/>
        <v>0</v>
      </c>
      <c r="F129" s="178"/>
      <c r="G129" s="178"/>
      <c r="H129" s="166"/>
      <c r="I129" s="166">
        <f t="shared" si="65"/>
        <v>0</v>
      </c>
      <c r="J129" s="167"/>
      <c r="K129" s="167"/>
      <c r="L129" s="168"/>
      <c r="M129" s="168"/>
      <c r="N129" s="163"/>
      <c r="O129" s="163"/>
      <c r="P129" s="166"/>
      <c r="Q129" s="168"/>
      <c r="R129" s="167"/>
    </row>
    <row r="130" spans="1:18" ht="12.75">
      <c r="A130" s="105" t="s">
        <v>202</v>
      </c>
      <c r="B130" s="120"/>
      <c r="C130" s="71" t="s">
        <v>203</v>
      </c>
      <c r="D130" s="165">
        <f t="shared" si="64"/>
        <v>0</v>
      </c>
      <c r="E130" s="165">
        <f t="shared" si="63"/>
        <v>0</v>
      </c>
      <c r="F130" s="178"/>
      <c r="G130" s="178"/>
      <c r="H130" s="166"/>
      <c r="I130" s="166">
        <f t="shared" si="65"/>
        <v>0</v>
      </c>
      <c r="J130" s="167"/>
      <c r="K130" s="166">
        <v>43.9</v>
      </c>
      <c r="L130" s="168"/>
      <c r="M130" s="168"/>
      <c r="N130" s="163"/>
      <c r="O130" s="163"/>
      <c r="P130" s="166"/>
      <c r="Q130" s="168"/>
      <c r="R130" s="167"/>
    </row>
    <row r="131" spans="1:18" ht="12.75">
      <c r="A131" s="116" t="s">
        <v>206</v>
      </c>
      <c r="B131" s="116"/>
      <c r="C131" s="108" t="s">
        <v>207</v>
      </c>
      <c r="D131" s="169">
        <f aca="true" t="shared" si="66" ref="D131:K131">D132+D133</f>
        <v>43268.3</v>
      </c>
      <c r="E131" s="169">
        <f t="shared" si="66"/>
        <v>22119.600000000002</v>
      </c>
      <c r="F131" s="169">
        <f t="shared" si="66"/>
        <v>8321.6</v>
      </c>
      <c r="G131" s="169">
        <f t="shared" si="66"/>
        <v>13798.000000000002</v>
      </c>
      <c r="H131" s="169">
        <f t="shared" si="66"/>
        <v>12650.3</v>
      </c>
      <c r="I131" s="169">
        <f t="shared" si="66"/>
        <v>34769.9</v>
      </c>
      <c r="J131" s="169">
        <f t="shared" si="66"/>
        <v>8498.4</v>
      </c>
      <c r="K131" s="169">
        <f t="shared" si="66"/>
        <v>32894.9</v>
      </c>
      <c r="L131" s="162" t="e">
        <f>K131/#REF!*100</f>
        <v>#REF!</v>
      </c>
      <c r="M131" s="162">
        <f>K131/H131*100</f>
        <v>260.03256839758745</v>
      </c>
      <c r="N131" s="163"/>
      <c r="O131" s="163"/>
      <c r="P131" s="170">
        <f t="shared" si="38"/>
        <v>387.0716840817095</v>
      </c>
      <c r="Q131" s="162">
        <f>K131*100/I131</f>
        <v>94.60740468048513</v>
      </c>
      <c r="R131" s="164">
        <f t="shared" si="36"/>
        <v>76.02540427980762</v>
      </c>
    </row>
    <row r="132" spans="1:18" ht="24">
      <c r="A132" s="69" t="s">
        <v>208</v>
      </c>
      <c r="B132" s="67"/>
      <c r="C132" s="109" t="s">
        <v>209</v>
      </c>
      <c r="D132" s="165">
        <f t="shared" si="64"/>
        <v>43268.3</v>
      </c>
      <c r="E132" s="165">
        <f t="shared" si="63"/>
        <v>22119.600000000002</v>
      </c>
      <c r="F132" s="178">
        <f>8031.4+290.2</f>
        <v>8321.6</v>
      </c>
      <c r="G132" s="178">
        <f>13441.6+44.2+148.2+143.2+20.8</f>
        <v>13798.000000000002</v>
      </c>
      <c r="H132" s="166">
        <f>12236.8+36.1+377.4</f>
        <v>12650.3</v>
      </c>
      <c r="I132" s="166">
        <f>E132+H132</f>
        <v>34769.9</v>
      </c>
      <c r="J132" s="167">
        <f>9236.1-737.7</f>
        <v>8498.4</v>
      </c>
      <c r="K132" s="167">
        <v>32894.9</v>
      </c>
      <c r="L132" s="168" t="e">
        <f>K132/#REF!*100</f>
        <v>#REF!</v>
      </c>
      <c r="M132" s="168">
        <f>K132/H132*100</f>
        <v>260.03256839758745</v>
      </c>
      <c r="N132" s="163"/>
      <c r="O132" s="163"/>
      <c r="P132" s="166">
        <f t="shared" si="38"/>
        <v>387.0716840817095</v>
      </c>
      <c r="Q132" s="168">
        <f>K132*100/I132</f>
        <v>94.60740468048513</v>
      </c>
      <c r="R132" s="167">
        <f t="shared" si="36"/>
        <v>76.02540427980762</v>
      </c>
    </row>
    <row r="133" spans="1:18" ht="12.75">
      <c r="A133" s="69" t="s">
        <v>210</v>
      </c>
      <c r="B133" s="69"/>
      <c r="C133" s="110" t="s">
        <v>211</v>
      </c>
      <c r="D133" s="165">
        <f t="shared" si="64"/>
        <v>0</v>
      </c>
      <c r="E133" s="165">
        <f t="shared" si="63"/>
        <v>0</v>
      </c>
      <c r="F133" s="185"/>
      <c r="G133" s="185"/>
      <c r="H133" s="166"/>
      <c r="I133" s="166"/>
      <c r="J133" s="167"/>
      <c r="K133" s="167"/>
      <c r="L133" s="168"/>
      <c r="M133" s="168"/>
      <c r="N133" s="163"/>
      <c r="O133" s="163"/>
      <c r="P133" s="166" t="e">
        <f t="shared" si="38"/>
        <v>#DIV/0!</v>
      </c>
      <c r="Q133" s="168"/>
      <c r="R133" s="167"/>
    </row>
    <row r="134" spans="1:18" ht="12.75">
      <c r="A134" s="74"/>
      <c r="B134" s="75"/>
      <c r="C134" s="76" t="s">
        <v>216</v>
      </c>
      <c r="D134" s="164">
        <f aca="true" t="shared" si="67" ref="D134:K134">D131+D122</f>
        <v>45874.600000000006</v>
      </c>
      <c r="E134" s="164">
        <f t="shared" si="67"/>
        <v>23366.000000000004</v>
      </c>
      <c r="F134" s="170">
        <f t="shared" si="67"/>
        <v>8842.800000000001</v>
      </c>
      <c r="G134" s="170">
        <f t="shared" si="67"/>
        <v>14523.200000000003</v>
      </c>
      <c r="H134" s="170">
        <f t="shared" si="67"/>
        <v>13416.599999999999</v>
      </c>
      <c r="I134" s="170">
        <f t="shared" si="67"/>
        <v>36782.6</v>
      </c>
      <c r="J134" s="164">
        <f t="shared" si="67"/>
        <v>9092</v>
      </c>
      <c r="K134" s="164">
        <f t="shared" si="67"/>
        <v>34908.5</v>
      </c>
      <c r="L134" s="162" t="e">
        <f>K134/#REF!*100</f>
        <v>#REF!</v>
      </c>
      <c r="M134" s="162">
        <f>K134/H134*100</f>
        <v>260.1888705037044</v>
      </c>
      <c r="N134" s="163"/>
      <c r="O134" s="173" t="e">
        <f>J134+#REF!+#REF!</f>
        <v>#REF!</v>
      </c>
      <c r="P134" s="170">
        <f t="shared" si="38"/>
        <v>383.9474263088429</v>
      </c>
      <c r="Q134" s="162">
        <f>K134*100/I134</f>
        <v>94.90492787350541</v>
      </c>
      <c r="R134" s="164">
        <f t="shared" si="36"/>
        <v>76.09548639116198</v>
      </c>
    </row>
    <row r="135" spans="1:18" ht="12.75">
      <c r="A135" s="236"/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8"/>
      <c r="N135" s="102"/>
      <c r="O135" s="102"/>
      <c r="P135" s="111"/>
      <c r="Q135" s="101"/>
      <c r="R135" s="77"/>
    </row>
    <row r="136" spans="1:18" ht="12.75">
      <c r="A136" s="229" t="s">
        <v>224</v>
      </c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101"/>
      <c r="R136" s="77"/>
    </row>
    <row r="137" spans="1:18" ht="12.75">
      <c r="A137" s="99" t="s">
        <v>178</v>
      </c>
      <c r="B137" s="99"/>
      <c r="C137" s="100" t="s">
        <v>179</v>
      </c>
      <c r="D137" s="162">
        <f aca="true" t="shared" si="68" ref="D137:K137">D138+D140+D142+D144+D141+D145+D143+D146+D139</f>
        <v>14576.5</v>
      </c>
      <c r="E137" s="162">
        <f t="shared" si="68"/>
        <v>6943.1</v>
      </c>
      <c r="F137" s="162">
        <f t="shared" si="68"/>
        <v>3105.5</v>
      </c>
      <c r="G137" s="162">
        <f t="shared" si="68"/>
        <v>3837.6</v>
      </c>
      <c r="H137" s="162">
        <f t="shared" si="68"/>
        <v>4207.1</v>
      </c>
      <c r="I137" s="162">
        <f t="shared" si="68"/>
        <v>11150.2</v>
      </c>
      <c r="J137" s="162">
        <f t="shared" si="68"/>
        <v>3426.3</v>
      </c>
      <c r="K137" s="162">
        <f t="shared" si="68"/>
        <v>9958.2</v>
      </c>
      <c r="L137" s="162" t="e">
        <f>K137/#REF!*100</f>
        <v>#REF!</v>
      </c>
      <c r="M137" s="162">
        <f>K137/H137*100</f>
        <v>236.6998645147489</v>
      </c>
      <c r="N137" s="163"/>
      <c r="O137" s="163"/>
      <c r="P137" s="162">
        <f t="shared" si="38"/>
        <v>290.64004903248406</v>
      </c>
      <c r="Q137" s="162">
        <f>K137*100/I137</f>
        <v>89.30960879625478</v>
      </c>
      <c r="R137" s="164">
        <f t="shared" si="36"/>
        <v>68.31681130586904</v>
      </c>
    </row>
    <row r="138" spans="1:18" ht="12.75">
      <c r="A138" s="74" t="s">
        <v>180</v>
      </c>
      <c r="B138" s="74"/>
      <c r="C138" s="103" t="s">
        <v>181</v>
      </c>
      <c r="D138" s="178">
        <f>F138+G138+H138+J138</f>
        <v>12915.5</v>
      </c>
      <c r="E138" s="165">
        <f aca="true" t="shared" si="69" ref="E138:E148">F138+G138</f>
        <v>6225</v>
      </c>
      <c r="F138" s="178">
        <v>2750</v>
      </c>
      <c r="G138" s="178">
        <v>3475</v>
      </c>
      <c r="H138" s="166">
        <f>3900-209.5</f>
        <v>3690.5</v>
      </c>
      <c r="I138" s="166">
        <f>E138+H138</f>
        <v>9915.5</v>
      </c>
      <c r="J138" s="167">
        <v>3000</v>
      </c>
      <c r="K138" s="167">
        <v>8725.1</v>
      </c>
      <c r="L138" s="168" t="e">
        <f>K138/#REF!*100</f>
        <v>#REF!</v>
      </c>
      <c r="M138" s="168">
        <f>K138/H138*100</f>
        <v>236.42053922232762</v>
      </c>
      <c r="N138" s="163"/>
      <c r="O138" s="163"/>
      <c r="P138" s="166">
        <f t="shared" si="38"/>
        <v>290.83666666666664</v>
      </c>
      <c r="Q138" s="168">
        <f>K138*100/I138</f>
        <v>87.99455398114064</v>
      </c>
      <c r="R138" s="167">
        <f t="shared" si="36"/>
        <v>67.55526305601796</v>
      </c>
    </row>
    <row r="139" spans="1:18" ht="12.75">
      <c r="A139" s="67" t="s">
        <v>182</v>
      </c>
      <c r="B139" s="67"/>
      <c r="C139" s="103" t="s">
        <v>183</v>
      </c>
      <c r="D139" s="178">
        <f aca="true" t="shared" si="70" ref="D139:D148">F139+G139+H139+J139</f>
        <v>9.5</v>
      </c>
      <c r="E139" s="165">
        <f t="shared" si="69"/>
        <v>0</v>
      </c>
      <c r="F139" s="178"/>
      <c r="G139" s="178"/>
      <c r="H139" s="166">
        <v>9.5</v>
      </c>
      <c r="I139" s="166">
        <f aca="true" t="shared" si="71" ref="I139:I149">E139+H139</f>
        <v>9.5</v>
      </c>
      <c r="J139" s="167"/>
      <c r="K139" s="167">
        <v>9.5</v>
      </c>
      <c r="L139" s="168"/>
      <c r="M139" s="168"/>
      <c r="N139" s="163"/>
      <c r="O139" s="163"/>
      <c r="P139" s="166" t="e">
        <f t="shared" si="38"/>
        <v>#DIV/0!</v>
      </c>
      <c r="Q139" s="168"/>
      <c r="R139" s="167"/>
    </row>
    <row r="140" spans="1:18" ht="12.75">
      <c r="A140" s="67" t="s">
        <v>184</v>
      </c>
      <c r="B140" s="67"/>
      <c r="C140" s="103" t="s">
        <v>185</v>
      </c>
      <c r="D140" s="178">
        <f t="shared" si="70"/>
        <v>387</v>
      </c>
      <c r="E140" s="165">
        <f t="shared" si="69"/>
        <v>191</v>
      </c>
      <c r="F140" s="178">
        <v>95.5</v>
      </c>
      <c r="G140" s="178">
        <v>95.5</v>
      </c>
      <c r="H140" s="166">
        <v>98.5</v>
      </c>
      <c r="I140" s="166">
        <f t="shared" si="71"/>
        <v>289.5</v>
      </c>
      <c r="J140" s="167">
        <v>97.5</v>
      </c>
      <c r="K140" s="167">
        <v>290</v>
      </c>
      <c r="L140" s="168" t="e">
        <f>K140/#REF!*100</f>
        <v>#REF!</v>
      </c>
      <c r="M140" s="168">
        <f>K140/H140*100</f>
        <v>294.4162436548223</v>
      </c>
      <c r="N140" s="163"/>
      <c r="O140" s="163"/>
      <c r="P140" s="166">
        <f t="shared" si="38"/>
        <v>297.43589743589746</v>
      </c>
      <c r="Q140" s="168">
        <f aca="true" t="shared" si="72" ref="Q140:Q148">K140*100/I140</f>
        <v>100.17271157167531</v>
      </c>
      <c r="R140" s="167">
        <f aca="true" t="shared" si="73" ref="R140:R202">K140*100/D140</f>
        <v>74.93540051679587</v>
      </c>
    </row>
    <row r="141" spans="1:18" ht="12.75">
      <c r="A141" s="67" t="s">
        <v>186</v>
      </c>
      <c r="B141" s="67"/>
      <c r="C141" s="103" t="s">
        <v>187</v>
      </c>
      <c r="D141" s="178">
        <f t="shared" si="70"/>
        <v>123</v>
      </c>
      <c r="E141" s="165">
        <f t="shared" si="69"/>
        <v>61</v>
      </c>
      <c r="F141" s="178">
        <v>30</v>
      </c>
      <c r="G141" s="178">
        <v>31</v>
      </c>
      <c r="H141" s="166">
        <v>32</v>
      </c>
      <c r="I141" s="166">
        <f t="shared" si="71"/>
        <v>93</v>
      </c>
      <c r="J141" s="167">
        <v>30</v>
      </c>
      <c r="K141" s="167">
        <v>97.9</v>
      </c>
      <c r="L141" s="168" t="e">
        <f>K141/#REF!*100</f>
        <v>#REF!</v>
      </c>
      <c r="M141" s="168">
        <f>K141/H141*100</f>
        <v>305.9375</v>
      </c>
      <c r="N141" s="163"/>
      <c r="O141" s="163"/>
      <c r="P141" s="166">
        <f t="shared" si="38"/>
        <v>326.3333333333333</v>
      </c>
      <c r="Q141" s="168">
        <f t="shared" si="72"/>
        <v>105.26881720430107</v>
      </c>
      <c r="R141" s="167">
        <f t="shared" si="73"/>
        <v>79.59349593495935</v>
      </c>
    </row>
    <row r="142" spans="1:18" ht="24">
      <c r="A142" s="68" t="s">
        <v>190</v>
      </c>
      <c r="B142" s="68"/>
      <c r="C142" s="103" t="s">
        <v>191</v>
      </c>
      <c r="D142" s="178">
        <f t="shared" si="70"/>
        <v>930.5</v>
      </c>
      <c r="E142" s="165">
        <f t="shared" si="69"/>
        <v>431.1</v>
      </c>
      <c r="F142" s="178">
        <v>213</v>
      </c>
      <c r="G142" s="178">
        <v>218.1</v>
      </c>
      <c r="H142" s="166">
        <v>218.6</v>
      </c>
      <c r="I142" s="166">
        <f t="shared" si="71"/>
        <v>649.7</v>
      </c>
      <c r="J142" s="167">
        <f>220.8+60</f>
        <v>280.8</v>
      </c>
      <c r="K142" s="167">
        <v>625.2</v>
      </c>
      <c r="L142" s="168" t="e">
        <f>K142/#REF!*100</f>
        <v>#REF!</v>
      </c>
      <c r="M142" s="168">
        <f>K142/H142*100</f>
        <v>286.00182982616656</v>
      </c>
      <c r="N142" s="163"/>
      <c r="O142" s="163"/>
      <c r="P142" s="166">
        <f t="shared" si="38"/>
        <v>222.64957264957266</v>
      </c>
      <c r="Q142" s="168">
        <f t="shared" si="72"/>
        <v>96.22902878251502</v>
      </c>
      <c r="R142" s="167">
        <f t="shared" si="73"/>
        <v>67.18968296614725</v>
      </c>
    </row>
    <row r="143" spans="1:18" ht="24">
      <c r="A143" s="105" t="s">
        <v>194</v>
      </c>
      <c r="B143" s="105"/>
      <c r="C143" s="103" t="s">
        <v>195</v>
      </c>
      <c r="D143" s="178">
        <f t="shared" si="70"/>
        <v>0</v>
      </c>
      <c r="E143" s="165">
        <f t="shared" si="69"/>
        <v>0</v>
      </c>
      <c r="F143" s="178"/>
      <c r="G143" s="178"/>
      <c r="H143" s="166"/>
      <c r="I143" s="166">
        <f t="shared" si="71"/>
        <v>0</v>
      </c>
      <c r="J143" s="167"/>
      <c r="K143" s="167"/>
      <c r="L143" s="168"/>
      <c r="M143" s="168"/>
      <c r="N143" s="163"/>
      <c r="O143" s="163"/>
      <c r="P143" s="166" t="e">
        <f aca="true" t="shared" si="74" ref="P143:P206">K143*100/J143</f>
        <v>#DIV/0!</v>
      </c>
      <c r="Q143" s="168" t="e">
        <f t="shared" si="72"/>
        <v>#DIV/0!</v>
      </c>
      <c r="R143" s="167" t="e">
        <f t="shared" si="73"/>
        <v>#DIV/0!</v>
      </c>
    </row>
    <row r="144" spans="1:18" ht="24">
      <c r="A144" s="104" t="s">
        <v>196</v>
      </c>
      <c r="B144" s="104"/>
      <c r="C144" s="103" t="s">
        <v>197</v>
      </c>
      <c r="D144" s="178">
        <f t="shared" si="70"/>
        <v>211</v>
      </c>
      <c r="E144" s="165">
        <f t="shared" si="69"/>
        <v>35</v>
      </c>
      <c r="F144" s="178">
        <v>17</v>
      </c>
      <c r="G144" s="178">
        <v>18</v>
      </c>
      <c r="H144" s="166">
        <f>18+140</f>
        <v>158</v>
      </c>
      <c r="I144" s="166">
        <f t="shared" si="71"/>
        <v>193</v>
      </c>
      <c r="J144" s="167">
        <v>18</v>
      </c>
      <c r="K144" s="167">
        <v>205.2</v>
      </c>
      <c r="L144" s="168" t="e">
        <f>K144/#REF!*100</f>
        <v>#REF!</v>
      </c>
      <c r="M144" s="168">
        <f>K144/H144*100</f>
        <v>129.873417721519</v>
      </c>
      <c r="N144" s="163"/>
      <c r="O144" s="163"/>
      <c r="P144" s="166">
        <f t="shared" si="74"/>
        <v>1140</v>
      </c>
      <c r="Q144" s="168">
        <f t="shared" si="72"/>
        <v>106.32124352331606</v>
      </c>
      <c r="R144" s="167">
        <f t="shared" si="73"/>
        <v>97.25118483412322</v>
      </c>
    </row>
    <row r="145" spans="1:18" ht="12.75">
      <c r="A145" s="74" t="s">
        <v>200</v>
      </c>
      <c r="B145" s="74"/>
      <c r="C145" s="103" t="s">
        <v>201</v>
      </c>
      <c r="D145" s="178">
        <f t="shared" si="70"/>
        <v>0</v>
      </c>
      <c r="E145" s="165">
        <f t="shared" si="69"/>
        <v>0</v>
      </c>
      <c r="F145" s="178"/>
      <c r="G145" s="178"/>
      <c r="H145" s="166"/>
      <c r="I145" s="166">
        <f t="shared" si="71"/>
        <v>0</v>
      </c>
      <c r="J145" s="167"/>
      <c r="K145" s="167"/>
      <c r="L145" s="168" t="e">
        <f>K145/#REF!*100</f>
        <v>#REF!</v>
      </c>
      <c r="M145" s="168"/>
      <c r="N145" s="163"/>
      <c r="O145" s="163"/>
      <c r="P145" s="166" t="e">
        <f t="shared" si="74"/>
        <v>#DIV/0!</v>
      </c>
      <c r="Q145" s="168"/>
      <c r="R145" s="167"/>
    </row>
    <row r="146" spans="1:18" ht="12.75">
      <c r="A146" s="104" t="s">
        <v>202</v>
      </c>
      <c r="B146" s="121"/>
      <c r="C146" s="71" t="s">
        <v>203</v>
      </c>
      <c r="D146" s="178">
        <f t="shared" si="70"/>
        <v>0</v>
      </c>
      <c r="E146" s="165">
        <f t="shared" si="69"/>
        <v>0</v>
      </c>
      <c r="F146" s="186"/>
      <c r="G146" s="186"/>
      <c r="H146" s="166"/>
      <c r="I146" s="166">
        <f t="shared" si="71"/>
        <v>0</v>
      </c>
      <c r="J146" s="167"/>
      <c r="K146" s="167">
        <v>5.3</v>
      </c>
      <c r="L146" s="168"/>
      <c r="M146" s="168"/>
      <c r="N146" s="163"/>
      <c r="O146" s="163"/>
      <c r="P146" s="166" t="e">
        <f t="shared" si="74"/>
        <v>#DIV/0!</v>
      </c>
      <c r="Q146" s="168"/>
      <c r="R146" s="164"/>
    </row>
    <row r="147" spans="1:18" ht="12.75">
      <c r="A147" s="99" t="s">
        <v>206</v>
      </c>
      <c r="B147" s="99"/>
      <c r="C147" s="108" t="s">
        <v>207</v>
      </c>
      <c r="D147" s="169">
        <f>D148+D149</f>
        <v>32533.699999999997</v>
      </c>
      <c r="E147" s="169">
        <f aca="true" t="shared" si="75" ref="E147:K147">E148+E149</f>
        <v>16710.3</v>
      </c>
      <c r="F147" s="169">
        <f t="shared" si="75"/>
        <v>5966.9</v>
      </c>
      <c r="G147" s="169">
        <f t="shared" si="75"/>
        <v>10743.4</v>
      </c>
      <c r="H147" s="169">
        <f t="shared" si="75"/>
        <v>7897.8</v>
      </c>
      <c r="I147" s="169">
        <f t="shared" si="75"/>
        <v>24608.1</v>
      </c>
      <c r="J147" s="169">
        <f t="shared" si="75"/>
        <v>7925.6</v>
      </c>
      <c r="K147" s="169">
        <f t="shared" si="75"/>
        <v>26726.9</v>
      </c>
      <c r="L147" s="162" t="e">
        <f>K147/#REF!*100</f>
        <v>#REF!</v>
      </c>
      <c r="M147" s="162">
        <f>K147/H147*100</f>
        <v>338.4094304743093</v>
      </c>
      <c r="N147" s="163"/>
      <c r="O147" s="163"/>
      <c r="P147" s="170">
        <f t="shared" si="74"/>
        <v>337.22241849197536</v>
      </c>
      <c r="Q147" s="162">
        <f>K147*100/I147</f>
        <v>108.61017307309382</v>
      </c>
      <c r="R147" s="164">
        <f t="shared" si="73"/>
        <v>82.15143067035106</v>
      </c>
    </row>
    <row r="148" spans="1:18" ht="24">
      <c r="A148" s="69" t="s">
        <v>208</v>
      </c>
      <c r="B148" s="67"/>
      <c r="C148" s="109" t="s">
        <v>209</v>
      </c>
      <c r="D148" s="178">
        <f t="shared" si="70"/>
        <v>32291.199999999997</v>
      </c>
      <c r="E148" s="165">
        <f t="shared" si="69"/>
        <v>16467.8</v>
      </c>
      <c r="F148" s="178">
        <v>5966.9</v>
      </c>
      <c r="G148" s="178">
        <v>10500.9</v>
      </c>
      <c r="H148" s="166">
        <f>7602.8+74.2+220.8</f>
        <v>7897.8</v>
      </c>
      <c r="I148" s="166">
        <f t="shared" si="71"/>
        <v>24365.6</v>
      </c>
      <c r="J148" s="167">
        <f>7480.1+445.5</f>
        <v>7925.6</v>
      </c>
      <c r="K148" s="167">
        <v>26484.4</v>
      </c>
      <c r="L148" s="168" t="e">
        <f>K148/#REF!*100</f>
        <v>#REF!</v>
      </c>
      <c r="M148" s="168">
        <f>K148/H148*100</f>
        <v>335.3389551520677</v>
      </c>
      <c r="N148" s="163"/>
      <c r="O148" s="163"/>
      <c r="P148" s="166">
        <f t="shared" si="74"/>
        <v>334.1627132330675</v>
      </c>
      <c r="Q148" s="168">
        <f t="shared" si="72"/>
        <v>108.69586630331287</v>
      </c>
      <c r="R148" s="167">
        <f t="shared" si="73"/>
        <v>82.0173917352096</v>
      </c>
    </row>
    <row r="149" spans="1:18" ht="12.75">
      <c r="A149" s="69" t="s">
        <v>210</v>
      </c>
      <c r="B149" s="69"/>
      <c r="C149" s="110" t="s">
        <v>211</v>
      </c>
      <c r="D149" s="178">
        <f>F149+G149+H149+J149</f>
        <v>242.5</v>
      </c>
      <c r="E149" s="165">
        <f>F149+G149</f>
        <v>242.5</v>
      </c>
      <c r="F149" s="178"/>
      <c r="G149" s="178">
        <v>242.5</v>
      </c>
      <c r="H149" s="166"/>
      <c r="I149" s="166">
        <f t="shared" si="71"/>
        <v>242.5</v>
      </c>
      <c r="J149" s="167"/>
      <c r="K149" s="167">
        <v>242.5</v>
      </c>
      <c r="L149" s="168"/>
      <c r="M149" s="168"/>
      <c r="N149" s="163"/>
      <c r="O149" s="163"/>
      <c r="P149" s="166"/>
      <c r="Q149" s="168">
        <f>K149*100/I149</f>
        <v>100</v>
      </c>
      <c r="R149" s="167">
        <f>K149*100/D149</f>
        <v>100</v>
      </c>
    </row>
    <row r="150" spans="1:18" ht="12.75">
      <c r="A150" s="74"/>
      <c r="B150" s="75"/>
      <c r="C150" s="76" t="s">
        <v>216</v>
      </c>
      <c r="D150" s="164">
        <f aca="true" t="shared" si="76" ref="D150:K150">D147+D137</f>
        <v>47110.2</v>
      </c>
      <c r="E150" s="164">
        <f t="shared" si="76"/>
        <v>23653.4</v>
      </c>
      <c r="F150" s="164">
        <f t="shared" si="76"/>
        <v>9072.4</v>
      </c>
      <c r="G150" s="164">
        <f t="shared" si="76"/>
        <v>14581</v>
      </c>
      <c r="H150" s="164">
        <f t="shared" si="76"/>
        <v>12104.900000000001</v>
      </c>
      <c r="I150" s="164">
        <f t="shared" si="76"/>
        <v>35758.3</v>
      </c>
      <c r="J150" s="164">
        <f t="shared" si="76"/>
        <v>11351.900000000001</v>
      </c>
      <c r="K150" s="164">
        <f t="shared" si="76"/>
        <v>36685.100000000006</v>
      </c>
      <c r="L150" s="162" t="e">
        <f>K150/#REF!*100</f>
        <v>#REF!</v>
      </c>
      <c r="M150" s="162">
        <f>K150/H150*100</f>
        <v>303.0599178844931</v>
      </c>
      <c r="N150" s="163"/>
      <c r="O150" s="173" t="e">
        <f>J150+#REF!+#REF!</f>
        <v>#REF!</v>
      </c>
      <c r="P150" s="170">
        <f t="shared" si="74"/>
        <v>323.162642377047</v>
      </c>
      <c r="Q150" s="162">
        <f>K150*100/I150</f>
        <v>102.59184580922472</v>
      </c>
      <c r="R150" s="164">
        <f t="shared" si="73"/>
        <v>77.87082203004871</v>
      </c>
    </row>
    <row r="151" spans="1:18" ht="12.75">
      <c r="A151" s="230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2"/>
      <c r="N151" s="102"/>
      <c r="O151" s="102"/>
      <c r="P151" s="111"/>
      <c r="Q151" s="101"/>
      <c r="R151" s="77"/>
    </row>
    <row r="152" spans="1:18" ht="12.75">
      <c r="A152" s="229" t="s">
        <v>225</v>
      </c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101"/>
      <c r="R152" s="77"/>
    </row>
    <row r="153" spans="1:18" ht="12.75">
      <c r="A153" s="99" t="s">
        <v>178</v>
      </c>
      <c r="B153" s="99"/>
      <c r="C153" s="100" t="s">
        <v>179</v>
      </c>
      <c r="D153" s="162">
        <f aca="true" t="shared" si="77" ref="D153:K153">D154+D155+D156+D157+D159+D160+D161+D158</f>
        <v>3962.8</v>
      </c>
      <c r="E153" s="162">
        <f t="shared" si="77"/>
        <v>2003</v>
      </c>
      <c r="F153" s="162">
        <f t="shared" si="77"/>
        <v>736</v>
      </c>
      <c r="G153" s="162">
        <f t="shared" si="77"/>
        <v>1267</v>
      </c>
      <c r="H153" s="162">
        <f t="shared" si="77"/>
        <v>996.5</v>
      </c>
      <c r="I153" s="162">
        <f t="shared" si="77"/>
        <v>2999.5</v>
      </c>
      <c r="J153" s="162">
        <f t="shared" si="77"/>
        <v>963.3</v>
      </c>
      <c r="K153" s="162">
        <f t="shared" si="77"/>
        <v>3342</v>
      </c>
      <c r="L153" s="162" t="e">
        <f>K153/#REF!*100</f>
        <v>#REF!</v>
      </c>
      <c r="M153" s="162">
        <f aca="true" t="shared" si="78" ref="M153:M159">K153/H153*100</f>
        <v>335.37380832915204</v>
      </c>
      <c r="N153" s="163"/>
      <c r="O153" s="163"/>
      <c r="P153" s="162">
        <f t="shared" si="74"/>
        <v>346.93241980691374</v>
      </c>
      <c r="Q153" s="162">
        <f>K153*100/I153</f>
        <v>111.41856976162694</v>
      </c>
      <c r="R153" s="164">
        <f t="shared" si="73"/>
        <v>84.33430907439184</v>
      </c>
    </row>
    <row r="154" spans="1:18" ht="12.75">
      <c r="A154" s="74" t="s">
        <v>180</v>
      </c>
      <c r="B154" s="74"/>
      <c r="C154" s="103" t="s">
        <v>181</v>
      </c>
      <c r="D154" s="178">
        <f>F154+G154+H154+J154</f>
        <v>2940</v>
      </c>
      <c r="E154" s="165">
        <f aca="true" t="shared" si="79" ref="E154:E159">F154+G154</f>
        <v>1420</v>
      </c>
      <c r="F154" s="165">
        <v>550</v>
      </c>
      <c r="G154" s="165">
        <v>870</v>
      </c>
      <c r="H154" s="166">
        <v>750</v>
      </c>
      <c r="I154" s="166">
        <f>E154+H154</f>
        <v>2170</v>
      </c>
      <c r="J154" s="167">
        <v>770</v>
      </c>
      <c r="K154" s="167">
        <v>2466</v>
      </c>
      <c r="L154" s="168" t="e">
        <f>K154/#REF!*100</f>
        <v>#REF!</v>
      </c>
      <c r="M154" s="168">
        <f t="shared" si="78"/>
        <v>328.79999999999995</v>
      </c>
      <c r="N154" s="163"/>
      <c r="O154" s="163"/>
      <c r="P154" s="166">
        <f t="shared" si="74"/>
        <v>320.2597402597403</v>
      </c>
      <c r="Q154" s="168">
        <f>K154*100/I154</f>
        <v>113.6405529953917</v>
      </c>
      <c r="R154" s="167">
        <f t="shared" si="73"/>
        <v>83.87755102040816</v>
      </c>
    </row>
    <row r="155" spans="1:18" ht="12.75">
      <c r="A155" s="67" t="s">
        <v>184</v>
      </c>
      <c r="B155" s="67"/>
      <c r="C155" s="103" t="s">
        <v>185</v>
      </c>
      <c r="D155" s="178">
        <f aca="true" t="shared" si="80" ref="D155:D163">F155+G155+H155+J155</f>
        <v>253</v>
      </c>
      <c r="E155" s="165">
        <f t="shared" si="79"/>
        <v>93</v>
      </c>
      <c r="F155" s="165">
        <v>46</v>
      </c>
      <c r="G155" s="165">
        <v>47</v>
      </c>
      <c r="H155" s="166">
        <v>66</v>
      </c>
      <c r="I155" s="166">
        <f aca="true" t="shared" si="81" ref="I155:I160">E155+H155</f>
        <v>159</v>
      </c>
      <c r="J155" s="167">
        <v>94</v>
      </c>
      <c r="K155" s="167">
        <v>160</v>
      </c>
      <c r="L155" s="168" t="e">
        <f>K155/#REF!*100</f>
        <v>#REF!</v>
      </c>
      <c r="M155" s="168">
        <f t="shared" si="78"/>
        <v>242.42424242424244</v>
      </c>
      <c r="N155" s="163"/>
      <c r="O155" s="163"/>
      <c r="P155" s="166">
        <f t="shared" si="74"/>
        <v>170.2127659574468</v>
      </c>
      <c r="Q155" s="168">
        <f aca="true" t="shared" si="82" ref="Q155:Q163">K155*100/I155</f>
        <v>100.62893081761007</v>
      </c>
      <c r="R155" s="167">
        <f t="shared" si="73"/>
        <v>63.241106719367586</v>
      </c>
    </row>
    <row r="156" spans="1:18" ht="12.75">
      <c r="A156" s="67" t="s">
        <v>186</v>
      </c>
      <c r="B156" s="67"/>
      <c r="C156" s="103" t="s">
        <v>187</v>
      </c>
      <c r="D156" s="178">
        <f t="shared" si="80"/>
        <v>78</v>
      </c>
      <c r="E156" s="165">
        <f t="shared" si="79"/>
        <v>42</v>
      </c>
      <c r="F156" s="165">
        <v>8</v>
      </c>
      <c r="G156" s="165">
        <v>34</v>
      </c>
      <c r="H156" s="166">
        <v>13</v>
      </c>
      <c r="I156" s="166">
        <f t="shared" si="81"/>
        <v>55</v>
      </c>
      <c r="J156" s="167">
        <f>12+11</f>
        <v>23</v>
      </c>
      <c r="K156" s="167">
        <v>79.9</v>
      </c>
      <c r="L156" s="168" t="e">
        <f>K156/#REF!*100</f>
        <v>#REF!</v>
      </c>
      <c r="M156" s="168">
        <f t="shared" si="78"/>
        <v>614.6153846153846</v>
      </c>
      <c r="N156" s="163"/>
      <c r="O156" s="163"/>
      <c r="P156" s="166">
        <f t="shared" si="74"/>
        <v>347.3913043478261</v>
      </c>
      <c r="Q156" s="168">
        <f t="shared" si="82"/>
        <v>145.27272727272728</v>
      </c>
      <c r="R156" s="167">
        <f t="shared" si="73"/>
        <v>102.43589743589745</v>
      </c>
    </row>
    <row r="157" spans="1:18" ht="24">
      <c r="A157" s="68" t="s">
        <v>190</v>
      </c>
      <c r="B157" s="68"/>
      <c r="C157" s="103" t="s">
        <v>191</v>
      </c>
      <c r="D157" s="178">
        <f t="shared" si="80"/>
        <v>537.8</v>
      </c>
      <c r="E157" s="165">
        <f t="shared" si="79"/>
        <v>348</v>
      </c>
      <c r="F157" s="165">
        <v>112</v>
      </c>
      <c r="G157" s="165">
        <v>236</v>
      </c>
      <c r="H157" s="166">
        <f>132</f>
        <v>132</v>
      </c>
      <c r="I157" s="166">
        <f t="shared" si="81"/>
        <v>480</v>
      </c>
      <c r="J157" s="167">
        <f>12+45.8</f>
        <v>57.8</v>
      </c>
      <c r="K157" s="167">
        <v>480.7</v>
      </c>
      <c r="L157" s="168" t="e">
        <f>K157/#REF!*100</f>
        <v>#REF!</v>
      </c>
      <c r="M157" s="168">
        <f t="shared" si="78"/>
        <v>364.1666666666667</v>
      </c>
      <c r="N157" s="163"/>
      <c r="O157" s="163"/>
      <c r="P157" s="166">
        <f t="shared" si="74"/>
        <v>831.6608996539793</v>
      </c>
      <c r="Q157" s="168">
        <f t="shared" si="82"/>
        <v>100.14583333333333</v>
      </c>
      <c r="R157" s="167">
        <f t="shared" si="73"/>
        <v>89.38267013759763</v>
      </c>
    </row>
    <row r="158" spans="1:18" ht="24">
      <c r="A158" s="105" t="s">
        <v>194</v>
      </c>
      <c r="B158" s="105"/>
      <c r="C158" s="103" t="s">
        <v>195</v>
      </c>
      <c r="D158" s="178">
        <f t="shared" si="80"/>
        <v>60</v>
      </c>
      <c r="E158" s="165">
        <f t="shared" si="79"/>
        <v>30</v>
      </c>
      <c r="F158" s="165">
        <v>15</v>
      </c>
      <c r="G158" s="165">
        <v>15</v>
      </c>
      <c r="H158" s="166">
        <v>15</v>
      </c>
      <c r="I158" s="166">
        <f t="shared" si="81"/>
        <v>45</v>
      </c>
      <c r="J158" s="167">
        <v>15</v>
      </c>
      <c r="K158" s="167">
        <v>61</v>
      </c>
      <c r="L158" s="168" t="e">
        <f>K158/#REF!*100</f>
        <v>#REF!</v>
      </c>
      <c r="M158" s="168">
        <f t="shared" si="78"/>
        <v>406.66666666666663</v>
      </c>
      <c r="N158" s="163"/>
      <c r="O158" s="163"/>
      <c r="P158" s="166">
        <f t="shared" si="74"/>
        <v>406.6666666666667</v>
      </c>
      <c r="Q158" s="168">
        <f t="shared" si="82"/>
        <v>135.55555555555554</v>
      </c>
      <c r="R158" s="167">
        <f t="shared" si="73"/>
        <v>101.66666666666667</v>
      </c>
    </row>
    <row r="159" spans="1:18" ht="24">
      <c r="A159" s="104" t="s">
        <v>196</v>
      </c>
      <c r="B159" s="104"/>
      <c r="C159" s="103" t="s">
        <v>197</v>
      </c>
      <c r="D159" s="178">
        <f t="shared" si="80"/>
        <v>94</v>
      </c>
      <c r="E159" s="165">
        <f t="shared" si="79"/>
        <v>70</v>
      </c>
      <c r="F159" s="165">
        <v>5</v>
      </c>
      <c r="G159" s="165">
        <v>65</v>
      </c>
      <c r="H159" s="166">
        <f>5+15.5</f>
        <v>20.5</v>
      </c>
      <c r="I159" s="166">
        <f t="shared" si="81"/>
        <v>90.5</v>
      </c>
      <c r="J159" s="167">
        <v>3.5</v>
      </c>
      <c r="K159" s="167">
        <v>94.4</v>
      </c>
      <c r="L159" s="168" t="e">
        <f>K159/#REF!*100</f>
        <v>#REF!</v>
      </c>
      <c r="M159" s="168">
        <f t="shared" si="78"/>
        <v>460.48780487804885</v>
      </c>
      <c r="N159" s="163"/>
      <c r="O159" s="163"/>
      <c r="P159" s="166">
        <f t="shared" si="74"/>
        <v>2697.1428571428573</v>
      </c>
      <c r="Q159" s="168">
        <f t="shared" si="82"/>
        <v>104.30939226519337</v>
      </c>
      <c r="R159" s="167">
        <f t="shared" si="73"/>
        <v>100.42553191489361</v>
      </c>
    </row>
    <row r="160" spans="1:18" ht="12.75">
      <c r="A160" s="74" t="s">
        <v>200</v>
      </c>
      <c r="B160" s="74"/>
      <c r="C160" s="103" t="s">
        <v>201</v>
      </c>
      <c r="D160" s="178">
        <f t="shared" si="80"/>
        <v>0</v>
      </c>
      <c r="E160" s="165">
        <f>F160</f>
        <v>0</v>
      </c>
      <c r="F160" s="165"/>
      <c r="G160" s="165"/>
      <c r="H160" s="166"/>
      <c r="I160" s="166">
        <f t="shared" si="81"/>
        <v>0</v>
      </c>
      <c r="J160" s="167"/>
      <c r="K160" s="167"/>
      <c r="L160" s="168"/>
      <c r="M160" s="168"/>
      <c r="N160" s="163"/>
      <c r="O160" s="163"/>
      <c r="P160" s="166" t="e">
        <f t="shared" si="74"/>
        <v>#DIV/0!</v>
      </c>
      <c r="Q160" s="168" t="e">
        <f t="shared" si="82"/>
        <v>#DIV/0!</v>
      </c>
      <c r="R160" s="164" t="e">
        <f t="shared" si="73"/>
        <v>#DIV/0!</v>
      </c>
    </row>
    <row r="161" spans="1:18" ht="12.75">
      <c r="A161" s="115" t="s">
        <v>202</v>
      </c>
      <c r="B161" s="107"/>
      <c r="C161" s="71" t="s">
        <v>203</v>
      </c>
      <c r="D161" s="178">
        <f t="shared" si="80"/>
        <v>0</v>
      </c>
      <c r="E161" s="165">
        <f>F161</f>
        <v>0</v>
      </c>
      <c r="F161" s="177"/>
      <c r="G161" s="177"/>
      <c r="H161" s="166"/>
      <c r="I161" s="166"/>
      <c r="J161" s="167"/>
      <c r="K161" s="167"/>
      <c r="L161" s="168"/>
      <c r="M161" s="168"/>
      <c r="N161" s="163"/>
      <c r="O161" s="163"/>
      <c r="P161" s="166" t="e">
        <f t="shared" si="74"/>
        <v>#DIV/0!</v>
      </c>
      <c r="Q161" s="168"/>
      <c r="R161" s="164"/>
    </row>
    <row r="162" spans="1:18" ht="12.75">
      <c r="A162" s="99" t="s">
        <v>206</v>
      </c>
      <c r="B162" s="99"/>
      <c r="C162" s="108" t="s">
        <v>207</v>
      </c>
      <c r="D162" s="169">
        <f aca="true" t="shared" si="83" ref="D162:K162">D163+D164</f>
        <v>25127.800000000003</v>
      </c>
      <c r="E162" s="187">
        <f t="shared" si="83"/>
        <v>12036.1</v>
      </c>
      <c r="F162" s="187">
        <f t="shared" si="83"/>
        <v>4920</v>
      </c>
      <c r="G162" s="187">
        <f t="shared" si="83"/>
        <v>7116.1</v>
      </c>
      <c r="H162" s="169">
        <f t="shared" si="83"/>
        <v>7070.1</v>
      </c>
      <c r="I162" s="169">
        <f t="shared" si="83"/>
        <v>19106.2</v>
      </c>
      <c r="J162" s="169">
        <f t="shared" si="83"/>
        <v>6021.6</v>
      </c>
      <c r="K162" s="169">
        <f t="shared" si="83"/>
        <v>19367.1</v>
      </c>
      <c r="L162" s="162" t="e">
        <f>K162/#REF!*100</f>
        <v>#REF!</v>
      </c>
      <c r="M162" s="162">
        <f>K162/H162*100</f>
        <v>273.92964738829716</v>
      </c>
      <c r="N162" s="163"/>
      <c r="O162" s="163"/>
      <c r="P162" s="170">
        <f t="shared" si="74"/>
        <v>321.627142287764</v>
      </c>
      <c r="Q162" s="162">
        <f>K162*100/I162</f>
        <v>101.36552532685724</v>
      </c>
      <c r="R162" s="164">
        <f t="shared" si="73"/>
        <v>77.07439568923661</v>
      </c>
    </row>
    <row r="163" spans="1:18" ht="24">
      <c r="A163" s="69" t="s">
        <v>208</v>
      </c>
      <c r="B163" s="67"/>
      <c r="C163" s="109" t="s">
        <v>209</v>
      </c>
      <c r="D163" s="178">
        <f t="shared" si="80"/>
        <v>25109.800000000003</v>
      </c>
      <c r="E163" s="165">
        <f>F163+G163</f>
        <v>12018.1</v>
      </c>
      <c r="F163" s="165">
        <v>4920</v>
      </c>
      <c r="G163" s="165">
        <v>7098.1</v>
      </c>
      <c r="H163" s="166">
        <f>6655.3+219.6+195.2</f>
        <v>7070.1</v>
      </c>
      <c r="I163" s="166">
        <f>E163+H163</f>
        <v>19088.2</v>
      </c>
      <c r="J163" s="167">
        <f>4721+1300.6</f>
        <v>6021.6</v>
      </c>
      <c r="K163" s="167">
        <v>19349.1</v>
      </c>
      <c r="L163" s="168" t="e">
        <f>K163/#REF!*100</f>
        <v>#REF!</v>
      </c>
      <c r="M163" s="168">
        <f>K163/H163*100</f>
        <v>273.6750541010735</v>
      </c>
      <c r="N163" s="163"/>
      <c r="O163" s="163"/>
      <c r="P163" s="166">
        <f t="shared" si="74"/>
        <v>321.3282184137106</v>
      </c>
      <c r="Q163" s="168">
        <f t="shared" si="82"/>
        <v>101.36681300489306</v>
      </c>
      <c r="R163" s="167">
        <f t="shared" si="73"/>
        <v>77.05796143338456</v>
      </c>
    </row>
    <row r="164" spans="1:18" ht="12.75">
      <c r="A164" s="69" t="s">
        <v>210</v>
      </c>
      <c r="B164" s="69"/>
      <c r="C164" s="110" t="s">
        <v>211</v>
      </c>
      <c r="D164" s="178">
        <f>F164+G164+H164+J164</f>
        <v>18</v>
      </c>
      <c r="E164" s="165">
        <f>F164+G164</f>
        <v>18</v>
      </c>
      <c r="F164" s="171"/>
      <c r="G164" s="171">
        <v>18</v>
      </c>
      <c r="H164" s="166"/>
      <c r="I164" s="166">
        <f>E164+H164</f>
        <v>18</v>
      </c>
      <c r="J164" s="167"/>
      <c r="K164" s="167">
        <v>18</v>
      </c>
      <c r="L164" s="168" t="e">
        <f>K164/#REF!*100</f>
        <v>#REF!</v>
      </c>
      <c r="M164" s="168"/>
      <c r="N164" s="163"/>
      <c r="O164" s="163"/>
      <c r="P164" s="166" t="e">
        <f t="shared" si="74"/>
        <v>#DIV/0!</v>
      </c>
      <c r="Q164" s="168">
        <f>K164*100/I164</f>
        <v>100</v>
      </c>
      <c r="R164" s="167">
        <f>K164*100/D164</f>
        <v>100</v>
      </c>
    </row>
    <row r="165" spans="1:18" ht="12.75">
      <c r="A165" s="74"/>
      <c r="B165" s="75"/>
      <c r="C165" s="76" t="s">
        <v>216</v>
      </c>
      <c r="D165" s="164">
        <f aca="true" t="shared" si="84" ref="D165:K165">D162+D153</f>
        <v>29090.600000000002</v>
      </c>
      <c r="E165" s="164">
        <f t="shared" si="84"/>
        <v>14039.1</v>
      </c>
      <c r="F165" s="164">
        <f t="shared" si="84"/>
        <v>5656</v>
      </c>
      <c r="G165" s="164">
        <f t="shared" si="84"/>
        <v>8383.1</v>
      </c>
      <c r="H165" s="164">
        <f t="shared" si="84"/>
        <v>8066.6</v>
      </c>
      <c r="I165" s="164">
        <f t="shared" si="84"/>
        <v>22105.7</v>
      </c>
      <c r="J165" s="164">
        <f t="shared" si="84"/>
        <v>6984.900000000001</v>
      </c>
      <c r="K165" s="164">
        <f t="shared" si="84"/>
        <v>22709.1</v>
      </c>
      <c r="L165" s="162" t="e">
        <f>K165/#REF!*100</f>
        <v>#REF!</v>
      </c>
      <c r="M165" s="162">
        <f>K165/H165*100</f>
        <v>281.52009520739836</v>
      </c>
      <c r="N165" s="163"/>
      <c r="O165" s="173" t="e">
        <f>J165+#REF!+#REF!</f>
        <v>#REF!</v>
      </c>
      <c r="P165" s="170">
        <f t="shared" si="74"/>
        <v>325.1170381823648</v>
      </c>
      <c r="Q165" s="162">
        <f>K165*100/I165</f>
        <v>102.72961272431996</v>
      </c>
      <c r="R165" s="164">
        <f t="shared" si="73"/>
        <v>78.06336067320714</v>
      </c>
    </row>
    <row r="166" spans="1:18" ht="12.75">
      <c r="A166" s="230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2"/>
      <c r="N166" s="102"/>
      <c r="O166" s="102"/>
      <c r="P166" s="111"/>
      <c r="Q166" s="101"/>
      <c r="R166" s="77"/>
    </row>
    <row r="167" spans="1:18" ht="12.75">
      <c r="A167" s="229" t="s">
        <v>226</v>
      </c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101"/>
      <c r="R167" s="77"/>
    </row>
    <row r="168" spans="1:18" ht="12.75">
      <c r="A168" s="99" t="s">
        <v>178</v>
      </c>
      <c r="B168" s="99"/>
      <c r="C168" s="100" t="s">
        <v>179</v>
      </c>
      <c r="D168" s="162">
        <f aca="true" t="shared" si="85" ref="D168:K168">D169+D170+D171+D172+D173+D175+D177+D176+D174</f>
        <v>17474.1</v>
      </c>
      <c r="E168" s="162">
        <f t="shared" si="85"/>
        <v>7191</v>
      </c>
      <c r="F168" s="162">
        <f t="shared" si="85"/>
        <v>3017</v>
      </c>
      <c r="G168" s="162">
        <f t="shared" si="85"/>
        <v>4174</v>
      </c>
      <c r="H168" s="162">
        <f t="shared" si="85"/>
        <v>3948.6</v>
      </c>
      <c r="I168" s="162">
        <f t="shared" si="85"/>
        <v>11139.6</v>
      </c>
      <c r="J168" s="162">
        <f t="shared" si="85"/>
        <v>6334.5</v>
      </c>
      <c r="K168" s="162">
        <f t="shared" si="85"/>
        <v>12783.699999999999</v>
      </c>
      <c r="L168" s="162" t="e">
        <f>K168/#REF!*100</f>
        <v>#REF!</v>
      </c>
      <c r="M168" s="162">
        <f>K168/H168*100</f>
        <v>323.7527224839183</v>
      </c>
      <c r="N168" s="163"/>
      <c r="O168" s="163"/>
      <c r="P168" s="162">
        <f t="shared" si="74"/>
        <v>201.81071907806458</v>
      </c>
      <c r="Q168" s="162">
        <f>K168*100/I168</f>
        <v>114.75905777586269</v>
      </c>
      <c r="R168" s="164">
        <f t="shared" si="73"/>
        <v>73.1579881081143</v>
      </c>
    </row>
    <row r="169" spans="1:18" ht="12.75">
      <c r="A169" s="74" t="s">
        <v>180</v>
      </c>
      <c r="B169" s="74"/>
      <c r="C169" s="103" t="s">
        <v>181</v>
      </c>
      <c r="D169" s="178">
        <f>F169+G169+H169+J169</f>
        <v>13452.7</v>
      </c>
      <c r="E169" s="165">
        <f aca="true" t="shared" si="86" ref="E169:E179">F169+G169</f>
        <v>5839.7</v>
      </c>
      <c r="F169" s="178">
        <v>2600</v>
      </c>
      <c r="G169" s="178">
        <v>3239.7</v>
      </c>
      <c r="H169" s="166">
        <v>2473</v>
      </c>
      <c r="I169" s="166">
        <f>E169+H169</f>
        <v>8312.7</v>
      </c>
      <c r="J169" s="167">
        <f>5200-60</f>
        <v>5140</v>
      </c>
      <c r="K169" s="167">
        <v>9510.2</v>
      </c>
      <c r="L169" s="168" t="e">
        <f>K169/#REF!*100</f>
        <v>#REF!</v>
      </c>
      <c r="M169" s="168">
        <f>K169/H169*100</f>
        <v>384.561261625556</v>
      </c>
      <c r="N169" s="163"/>
      <c r="O169" s="163"/>
      <c r="P169" s="166">
        <f t="shared" si="74"/>
        <v>185.02334630350197</v>
      </c>
      <c r="Q169" s="168">
        <f aca="true" t="shared" si="87" ref="Q169:Q180">K169*100/I169</f>
        <v>114.40566843504517</v>
      </c>
      <c r="R169" s="167">
        <f t="shared" si="73"/>
        <v>70.69361540805936</v>
      </c>
    </row>
    <row r="170" spans="1:18" ht="12.75">
      <c r="A170" s="67" t="s">
        <v>182</v>
      </c>
      <c r="B170" s="67"/>
      <c r="C170" s="103" t="s">
        <v>183</v>
      </c>
      <c r="D170" s="178">
        <f aca="true" t="shared" si="88" ref="D170:D179">F170+G170+H170+J170</f>
        <v>0.3</v>
      </c>
      <c r="E170" s="165">
        <f t="shared" si="86"/>
        <v>0.3</v>
      </c>
      <c r="F170" s="178"/>
      <c r="G170" s="178">
        <v>0.3</v>
      </c>
      <c r="H170" s="166"/>
      <c r="I170" s="166">
        <f aca="true" t="shared" si="89" ref="I170:I179">E170+H170</f>
        <v>0.3</v>
      </c>
      <c r="J170" s="167"/>
      <c r="K170" s="167">
        <v>0.3</v>
      </c>
      <c r="L170" s="168"/>
      <c r="M170" s="168"/>
      <c r="N170" s="163"/>
      <c r="O170" s="163"/>
      <c r="P170" s="166" t="e">
        <f t="shared" si="74"/>
        <v>#DIV/0!</v>
      </c>
      <c r="Q170" s="168">
        <f t="shared" si="87"/>
        <v>100</v>
      </c>
      <c r="R170" s="167">
        <f t="shared" si="73"/>
        <v>100</v>
      </c>
    </row>
    <row r="171" spans="1:18" ht="12.75">
      <c r="A171" s="67" t="s">
        <v>184</v>
      </c>
      <c r="B171" s="67"/>
      <c r="C171" s="103" t="s">
        <v>185</v>
      </c>
      <c r="D171" s="178">
        <f t="shared" si="88"/>
        <v>1909</v>
      </c>
      <c r="E171" s="165">
        <f t="shared" si="86"/>
        <v>523</v>
      </c>
      <c r="F171" s="178">
        <v>154</v>
      </c>
      <c r="G171" s="178">
        <v>369</v>
      </c>
      <c r="H171" s="166">
        <f>404+120</f>
        <v>524</v>
      </c>
      <c r="I171" s="166">
        <f t="shared" si="89"/>
        <v>1047</v>
      </c>
      <c r="J171" s="167">
        <v>862</v>
      </c>
      <c r="K171" s="167">
        <v>1349.4</v>
      </c>
      <c r="L171" s="168" t="e">
        <f>K171/#REF!*100</f>
        <v>#REF!</v>
      </c>
      <c r="M171" s="168">
        <f>K171/H171*100</f>
        <v>257.51908396946567</v>
      </c>
      <c r="N171" s="163"/>
      <c r="O171" s="163"/>
      <c r="P171" s="166">
        <f t="shared" si="74"/>
        <v>156.5429234338747</v>
      </c>
      <c r="Q171" s="168">
        <f t="shared" si="87"/>
        <v>128.88252148997134</v>
      </c>
      <c r="R171" s="167">
        <f t="shared" si="73"/>
        <v>70.6862231534835</v>
      </c>
    </row>
    <row r="172" spans="1:18" ht="12.75">
      <c r="A172" s="67" t="s">
        <v>186</v>
      </c>
      <c r="B172" s="67"/>
      <c r="C172" s="103" t="s">
        <v>187</v>
      </c>
      <c r="D172" s="178">
        <f t="shared" si="88"/>
        <v>189</v>
      </c>
      <c r="E172" s="165">
        <f t="shared" si="86"/>
        <v>100</v>
      </c>
      <c r="F172" s="178">
        <v>50</v>
      </c>
      <c r="G172" s="178">
        <v>50</v>
      </c>
      <c r="H172" s="166">
        <v>40</v>
      </c>
      <c r="I172" s="166">
        <f t="shared" si="89"/>
        <v>140</v>
      </c>
      <c r="J172" s="167">
        <v>49</v>
      </c>
      <c r="K172" s="167">
        <v>145</v>
      </c>
      <c r="L172" s="168" t="e">
        <f>K172/#REF!*100</f>
        <v>#REF!</v>
      </c>
      <c r="M172" s="168">
        <f>K172/H172*100</f>
        <v>362.5</v>
      </c>
      <c r="N172" s="163"/>
      <c r="O172" s="163"/>
      <c r="P172" s="166">
        <f t="shared" si="74"/>
        <v>295.9183673469388</v>
      </c>
      <c r="Q172" s="168">
        <f t="shared" si="87"/>
        <v>103.57142857142857</v>
      </c>
      <c r="R172" s="167">
        <f t="shared" si="73"/>
        <v>76.71957671957672</v>
      </c>
    </row>
    <row r="173" spans="1:18" ht="24">
      <c r="A173" s="68" t="s">
        <v>190</v>
      </c>
      <c r="B173" s="68"/>
      <c r="C173" s="103" t="s">
        <v>191</v>
      </c>
      <c r="D173" s="178">
        <f t="shared" si="88"/>
        <v>1222.5</v>
      </c>
      <c r="E173" s="165">
        <f t="shared" si="86"/>
        <v>540</v>
      </c>
      <c r="F173" s="178">
        <v>130</v>
      </c>
      <c r="G173" s="178">
        <v>410</v>
      </c>
      <c r="H173" s="166">
        <f>110+305</f>
        <v>415</v>
      </c>
      <c r="I173" s="166">
        <f t="shared" si="89"/>
        <v>955</v>
      </c>
      <c r="J173" s="167">
        <v>267.5</v>
      </c>
      <c r="K173" s="167">
        <v>1085.3</v>
      </c>
      <c r="L173" s="168" t="e">
        <f>K173/#REF!*100</f>
        <v>#REF!</v>
      </c>
      <c r="M173" s="168">
        <f>K173/H173*100</f>
        <v>261.51807228915663</v>
      </c>
      <c r="N173" s="163"/>
      <c r="O173" s="163"/>
      <c r="P173" s="166">
        <f t="shared" si="74"/>
        <v>405.7196261682243</v>
      </c>
      <c r="Q173" s="168">
        <f t="shared" si="87"/>
        <v>113.64397905759162</v>
      </c>
      <c r="R173" s="167">
        <f t="shared" si="73"/>
        <v>88.77709611451942</v>
      </c>
    </row>
    <row r="174" spans="1:18" ht="24">
      <c r="A174" s="105" t="s">
        <v>194</v>
      </c>
      <c r="B174" s="105"/>
      <c r="C174" s="103" t="s">
        <v>195</v>
      </c>
      <c r="D174" s="178">
        <f t="shared" si="88"/>
        <v>90</v>
      </c>
      <c r="E174" s="165">
        <f t="shared" si="86"/>
        <v>80</v>
      </c>
      <c r="F174" s="178">
        <v>80</v>
      </c>
      <c r="G174" s="178"/>
      <c r="H174" s="166">
        <v>5</v>
      </c>
      <c r="I174" s="166">
        <f t="shared" si="89"/>
        <v>85</v>
      </c>
      <c r="J174" s="167">
        <v>5</v>
      </c>
      <c r="K174" s="167">
        <v>84.9</v>
      </c>
      <c r="L174" s="168" t="e">
        <f>K174/#REF!*100</f>
        <v>#REF!</v>
      </c>
      <c r="M174" s="168">
        <f>K174/H174*100</f>
        <v>1698</v>
      </c>
      <c r="N174" s="163"/>
      <c r="O174" s="163"/>
      <c r="P174" s="166">
        <f t="shared" si="74"/>
        <v>1698</v>
      </c>
      <c r="Q174" s="168">
        <f t="shared" si="87"/>
        <v>99.88235294117646</v>
      </c>
      <c r="R174" s="167">
        <f t="shared" si="73"/>
        <v>94.33333333333333</v>
      </c>
    </row>
    <row r="175" spans="1:18" ht="24">
      <c r="A175" s="105" t="s">
        <v>196</v>
      </c>
      <c r="B175" s="105"/>
      <c r="C175" s="103" t="s">
        <v>197</v>
      </c>
      <c r="D175" s="178">
        <f t="shared" si="88"/>
        <v>187</v>
      </c>
      <c r="E175" s="165">
        <f t="shared" si="86"/>
        <v>108</v>
      </c>
      <c r="F175" s="178">
        <v>3</v>
      </c>
      <c r="G175" s="178">
        <v>105</v>
      </c>
      <c r="H175" s="166">
        <f>3+65</f>
        <v>68</v>
      </c>
      <c r="I175" s="166">
        <f t="shared" si="89"/>
        <v>176</v>
      </c>
      <c r="J175" s="167">
        <v>11</v>
      </c>
      <c r="K175" s="167">
        <v>183.8</v>
      </c>
      <c r="L175" s="168" t="e">
        <f>K175/#REF!*100</f>
        <v>#REF!</v>
      </c>
      <c r="M175" s="168">
        <f>K175/H175*100</f>
        <v>270.29411764705884</v>
      </c>
      <c r="N175" s="163"/>
      <c r="O175" s="163"/>
      <c r="P175" s="166">
        <f t="shared" si="74"/>
        <v>1670.909090909091</v>
      </c>
      <c r="Q175" s="168">
        <f t="shared" si="87"/>
        <v>104.43181818181819</v>
      </c>
      <c r="R175" s="167">
        <f t="shared" si="73"/>
        <v>98.28877005347593</v>
      </c>
    </row>
    <row r="176" spans="1:18" ht="12.75">
      <c r="A176" s="74" t="s">
        <v>200</v>
      </c>
      <c r="B176" s="74"/>
      <c r="C176" s="103" t="s">
        <v>201</v>
      </c>
      <c r="D176" s="178">
        <f t="shared" si="88"/>
        <v>423.6</v>
      </c>
      <c r="E176" s="165">
        <f t="shared" si="86"/>
        <v>0</v>
      </c>
      <c r="F176" s="178"/>
      <c r="G176" s="178"/>
      <c r="H176" s="166">
        <v>423.6</v>
      </c>
      <c r="I176" s="166">
        <f t="shared" si="89"/>
        <v>423.6</v>
      </c>
      <c r="J176" s="167"/>
      <c r="K176" s="167">
        <v>423.6</v>
      </c>
      <c r="L176" s="168" t="e">
        <f>K176/#REF!*100</f>
        <v>#REF!</v>
      </c>
      <c r="M176" s="168"/>
      <c r="N176" s="163"/>
      <c r="O176" s="163"/>
      <c r="P176" s="166" t="e">
        <f t="shared" si="74"/>
        <v>#DIV/0!</v>
      </c>
      <c r="Q176" s="168">
        <f t="shared" si="87"/>
        <v>100</v>
      </c>
      <c r="R176" s="167">
        <f t="shared" si="73"/>
        <v>100</v>
      </c>
    </row>
    <row r="177" spans="1:18" ht="12.75">
      <c r="A177" s="115" t="s">
        <v>202</v>
      </c>
      <c r="B177" s="107"/>
      <c r="C177" s="71" t="s">
        <v>203</v>
      </c>
      <c r="D177" s="178">
        <f t="shared" si="88"/>
        <v>0</v>
      </c>
      <c r="E177" s="165">
        <f t="shared" si="86"/>
        <v>0</v>
      </c>
      <c r="F177" s="186"/>
      <c r="G177" s="186"/>
      <c r="H177" s="166"/>
      <c r="I177" s="166">
        <f t="shared" si="89"/>
        <v>0</v>
      </c>
      <c r="J177" s="167"/>
      <c r="K177" s="167">
        <v>1.2</v>
      </c>
      <c r="L177" s="168" t="e">
        <f>K177/#REF!*100</f>
        <v>#REF!</v>
      </c>
      <c r="M177" s="168"/>
      <c r="N177" s="163"/>
      <c r="O177" s="163"/>
      <c r="P177" s="166" t="e">
        <f t="shared" si="74"/>
        <v>#DIV/0!</v>
      </c>
      <c r="Q177" s="162"/>
      <c r="R177" s="164"/>
    </row>
    <row r="178" spans="1:18" ht="12.75">
      <c r="A178" s="99" t="s">
        <v>206</v>
      </c>
      <c r="B178" s="99"/>
      <c r="C178" s="108" t="s">
        <v>207</v>
      </c>
      <c r="D178" s="170">
        <f aca="true" t="shared" si="90" ref="D178:K178">D179</f>
        <v>36329.100000000006</v>
      </c>
      <c r="E178" s="170">
        <f t="shared" si="90"/>
        <v>19685</v>
      </c>
      <c r="F178" s="170">
        <f t="shared" si="90"/>
        <v>8757.1</v>
      </c>
      <c r="G178" s="170">
        <f t="shared" si="90"/>
        <v>10927.9</v>
      </c>
      <c r="H178" s="170">
        <f t="shared" si="90"/>
        <v>7724.4</v>
      </c>
      <c r="I178" s="170">
        <f t="shared" si="90"/>
        <v>27409.4</v>
      </c>
      <c r="J178" s="170">
        <f t="shared" si="90"/>
        <v>8919.7</v>
      </c>
      <c r="K178" s="170">
        <f t="shared" si="90"/>
        <v>28818.3</v>
      </c>
      <c r="L178" s="162" t="e">
        <f>K178/#REF!*100</f>
        <v>#REF!</v>
      </c>
      <c r="M178" s="162">
        <f>K178/H178*100</f>
        <v>373.0814043809228</v>
      </c>
      <c r="N178" s="163"/>
      <c r="O178" s="163"/>
      <c r="P178" s="170">
        <f t="shared" si="74"/>
        <v>323.0859782279673</v>
      </c>
      <c r="Q178" s="162">
        <f t="shared" si="87"/>
        <v>105.14020737411252</v>
      </c>
      <c r="R178" s="164">
        <f t="shared" si="73"/>
        <v>79.32566454990626</v>
      </c>
    </row>
    <row r="179" spans="1:18" ht="24">
      <c r="A179" s="69" t="s">
        <v>208</v>
      </c>
      <c r="B179" s="67"/>
      <c r="C179" s="109" t="s">
        <v>209</v>
      </c>
      <c r="D179" s="178">
        <f t="shared" si="88"/>
        <v>36329.100000000006</v>
      </c>
      <c r="E179" s="165">
        <f t="shared" si="86"/>
        <v>19685</v>
      </c>
      <c r="F179" s="178">
        <v>8757.1</v>
      </c>
      <c r="G179" s="178">
        <v>10927.9</v>
      </c>
      <c r="H179" s="166">
        <f>7552.7+65.7+106</f>
        <v>7724.4</v>
      </c>
      <c r="I179" s="166">
        <f t="shared" si="89"/>
        <v>27409.4</v>
      </c>
      <c r="J179" s="167">
        <f>7552.7+1367</f>
        <v>8919.7</v>
      </c>
      <c r="K179" s="167">
        <v>28818.3</v>
      </c>
      <c r="L179" s="168" t="e">
        <f>K179/#REF!*100</f>
        <v>#REF!</v>
      </c>
      <c r="M179" s="168">
        <f>K179/H179*100</f>
        <v>373.0814043809228</v>
      </c>
      <c r="N179" s="163"/>
      <c r="O179" s="163"/>
      <c r="P179" s="166">
        <f t="shared" si="74"/>
        <v>323.0859782279673</v>
      </c>
      <c r="Q179" s="168">
        <f t="shared" si="87"/>
        <v>105.14020737411252</v>
      </c>
      <c r="R179" s="167">
        <f t="shared" si="73"/>
        <v>79.32566454990626</v>
      </c>
    </row>
    <row r="180" spans="1:18" ht="12.75">
      <c r="A180" s="74"/>
      <c r="B180" s="75"/>
      <c r="C180" s="76" t="s">
        <v>216</v>
      </c>
      <c r="D180" s="164">
        <f aca="true" t="shared" si="91" ref="D180:K180">D178+D168</f>
        <v>53803.200000000004</v>
      </c>
      <c r="E180" s="164">
        <f t="shared" si="91"/>
        <v>26876</v>
      </c>
      <c r="F180" s="164">
        <f t="shared" si="91"/>
        <v>11774.1</v>
      </c>
      <c r="G180" s="164">
        <f t="shared" si="91"/>
        <v>15101.9</v>
      </c>
      <c r="H180" s="164">
        <f t="shared" si="91"/>
        <v>11673</v>
      </c>
      <c r="I180" s="164">
        <f t="shared" si="91"/>
        <v>38549</v>
      </c>
      <c r="J180" s="164">
        <f t="shared" si="91"/>
        <v>15254.2</v>
      </c>
      <c r="K180" s="164">
        <f t="shared" si="91"/>
        <v>41602</v>
      </c>
      <c r="L180" s="162" t="e">
        <f>K180/#REF!*100</f>
        <v>#REF!</v>
      </c>
      <c r="M180" s="162">
        <f>K180/H180*100</f>
        <v>356.39509980296407</v>
      </c>
      <c r="N180" s="163"/>
      <c r="O180" s="173" t="e">
        <f>J180+#REF!+#REF!</f>
        <v>#REF!</v>
      </c>
      <c r="P180" s="170">
        <f t="shared" si="74"/>
        <v>272.7248888830617</v>
      </c>
      <c r="Q180" s="162">
        <f t="shared" si="87"/>
        <v>107.91979039663805</v>
      </c>
      <c r="R180" s="164">
        <f t="shared" si="73"/>
        <v>77.32253843637552</v>
      </c>
    </row>
    <row r="181" spans="1:18" ht="12.75">
      <c r="A181" s="230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2"/>
      <c r="N181" s="102"/>
      <c r="O181" s="102"/>
      <c r="P181" s="111"/>
      <c r="Q181" s="101"/>
      <c r="R181" s="77"/>
    </row>
    <row r="182" spans="1:18" ht="12.75">
      <c r="A182" s="229" t="s">
        <v>227</v>
      </c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101"/>
      <c r="R182" s="77"/>
    </row>
    <row r="183" spans="1:18" ht="12.75">
      <c r="A183" s="99" t="s">
        <v>178</v>
      </c>
      <c r="B183" s="99"/>
      <c r="C183" s="100" t="s">
        <v>179</v>
      </c>
      <c r="D183" s="162">
        <f aca="true" t="shared" si="92" ref="D183:K183">D184+D186+D188+D189+D187+D190+D191+D185</f>
        <v>1693.5</v>
      </c>
      <c r="E183" s="162">
        <f t="shared" si="92"/>
        <v>588</v>
      </c>
      <c r="F183" s="162">
        <f t="shared" si="92"/>
        <v>169</v>
      </c>
      <c r="G183" s="162">
        <f t="shared" si="92"/>
        <v>419</v>
      </c>
      <c r="H183" s="162">
        <f t="shared" si="92"/>
        <v>443</v>
      </c>
      <c r="I183" s="162">
        <f t="shared" si="92"/>
        <v>1031</v>
      </c>
      <c r="J183" s="162">
        <f t="shared" si="92"/>
        <v>662.5</v>
      </c>
      <c r="K183" s="162">
        <f t="shared" si="92"/>
        <v>965.3</v>
      </c>
      <c r="L183" s="162" t="e">
        <f>K183/#REF!*100</f>
        <v>#REF!</v>
      </c>
      <c r="M183" s="162">
        <f aca="true" t="shared" si="93" ref="M183:M189">K183/H183*100</f>
        <v>217.90067720090295</v>
      </c>
      <c r="N183" s="163"/>
      <c r="O183" s="163"/>
      <c r="P183" s="162">
        <f t="shared" si="74"/>
        <v>145.7056603773585</v>
      </c>
      <c r="Q183" s="162">
        <f>K183*100/I183</f>
        <v>93.62754607177497</v>
      </c>
      <c r="R183" s="164">
        <f t="shared" si="73"/>
        <v>57.000295246530854</v>
      </c>
    </row>
    <row r="184" spans="1:18" ht="12.75">
      <c r="A184" s="74" t="s">
        <v>180</v>
      </c>
      <c r="B184" s="74"/>
      <c r="C184" s="103" t="s">
        <v>181</v>
      </c>
      <c r="D184" s="178">
        <f>F184+G184+H184+J184</f>
        <v>1155</v>
      </c>
      <c r="E184" s="165">
        <f aca="true" t="shared" si="94" ref="E184:E193">F184+G184</f>
        <v>420</v>
      </c>
      <c r="F184" s="178">
        <v>120</v>
      </c>
      <c r="G184" s="178">
        <v>300</v>
      </c>
      <c r="H184" s="166">
        <v>270</v>
      </c>
      <c r="I184" s="166">
        <f>E184+H184</f>
        <v>690</v>
      </c>
      <c r="J184" s="166">
        <v>465</v>
      </c>
      <c r="K184" s="167">
        <v>713.4</v>
      </c>
      <c r="L184" s="168" t="e">
        <f>K184/#REF!*100</f>
        <v>#REF!</v>
      </c>
      <c r="M184" s="168">
        <f t="shared" si="93"/>
        <v>264.22222222222223</v>
      </c>
      <c r="N184" s="163"/>
      <c r="O184" s="163"/>
      <c r="P184" s="166">
        <f t="shared" si="74"/>
        <v>153.41935483870967</v>
      </c>
      <c r="Q184" s="168">
        <f aca="true" t="shared" si="95" ref="Q184:Q194">K184*100/I184</f>
        <v>103.3913043478261</v>
      </c>
      <c r="R184" s="167">
        <f t="shared" si="73"/>
        <v>61.76623376623377</v>
      </c>
    </row>
    <row r="185" spans="1:18" ht="36">
      <c r="A185" s="67" t="s">
        <v>182</v>
      </c>
      <c r="B185" s="122" t="s">
        <v>228</v>
      </c>
      <c r="C185" s="103" t="s">
        <v>183</v>
      </c>
      <c r="D185" s="178">
        <f aca="true" t="shared" si="96" ref="D185:D193">F185+G185+H185+J185</f>
        <v>7.1</v>
      </c>
      <c r="E185" s="165">
        <f t="shared" si="94"/>
        <v>7.1</v>
      </c>
      <c r="F185" s="178">
        <v>16</v>
      </c>
      <c r="G185" s="178">
        <v>-8.9</v>
      </c>
      <c r="H185" s="166"/>
      <c r="I185" s="166">
        <f aca="true" t="shared" si="97" ref="I185:I190">E185+H185</f>
        <v>7.1</v>
      </c>
      <c r="J185" s="166"/>
      <c r="K185" s="167">
        <v>7.1</v>
      </c>
      <c r="L185" s="168" t="e">
        <f>K185/#REF!*100</f>
        <v>#REF!</v>
      </c>
      <c r="M185" s="168"/>
      <c r="N185" s="163"/>
      <c r="O185" s="163"/>
      <c r="P185" s="166" t="e">
        <f t="shared" si="74"/>
        <v>#DIV/0!</v>
      </c>
      <c r="Q185" s="168">
        <f t="shared" si="95"/>
        <v>100</v>
      </c>
      <c r="R185" s="167">
        <f t="shared" si="73"/>
        <v>100</v>
      </c>
    </row>
    <row r="186" spans="1:18" ht="12.75">
      <c r="A186" s="67" t="s">
        <v>184</v>
      </c>
      <c r="B186" s="67"/>
      <c r="C186" s="103" t="s">
        <v>185</v>
      </c>
      <c r="D186" s="178">
        <f t="shared" si="96"/>
        <v>106</v>
      </c>
      <c r="E186" s="165">
        <f t="shared" si="94"/>
        <v>14</v>
      </c>
      <c r="F186" s="178">
        <v>6.5</v>
      </c>
      <c r="G186" s="178">
        <v>7.5</v>
      </c>
      <c r="H186" s="166">
        <v>46</v>
      </c>
      <c r="I186" s="166">
        <f t="shared" si="97"/>
        <v>60</v>
      </c>
      <c r="J186" s="166">
        <v>46</v>
      </c>
      <c r="K186" s="167">
        <v>40</v>
      </c>
      <c r="L186" s="168" t="e">
        <f>K186/#REF!*100</f>
        <v>#REF!</v>
      </c>
      <c r="M186" s="168">
        <f t="shared" si="93"/>
        <v>86.95652173913044</v>
      </c>
      <c r="N186" s="163"/>
      <c r="O186" s="163"/>
      <c r="P186" s="166">
        <f t="shared" si="74"/>
        <v>86.95652173913044</v>
      </c>
      <c r="Q186" s="168">
        <f t="shared" si="95"/>
        <v>66.66666666666667</v>
      </c>
      <c r="R186" s="167">
        <f t="shared" si="73"/>
        <v>37.735849056603776</v>
      </c>
    </row>
    <row r="187" spans="1:18" ht="12.75">
      <c r="A187" s="67" t="s">
        <v>186</v>
      </c>
      <c r="B187" s="67"/>
      <c r="C187" s="103" t="s">
        <v>187</v>
      </c>
      <c r="D187" s="178">
        <f t="shared" si="96"/>
        <v>28</v>
      </c>
      <c r="E187" s="165">
        <f t="shared" si="94"/>
        <v>9</v>
      </c>
      <c r="F187" s="178">
        <v>3</v>
      </c>
      <c r="G187" s="178">
        <v>6</v>
      </c>
      <c r="H187" s="166">
        <v>7</v>
      </c>
      <c r="I187" s="166">
        <f t="shared" si="97"/>
        <v>16</v>
      </c>
      <c r="J187" s="166">
        <v>12</v>
      </c>
      <c r="K187" s="167">
        <v>19.3</v>
      </c>
      <c r="L187" s="168" t="e">
        <f>K187/#REF!*100</f>
        <v>#REF!</v>
      </c>
      <c r="M187" s="168">
        <f t="shared" si="93"/>
        <v>275.7142857142857</v>
      </c>
      <c r="N187" s="163"/>
      <c r="O187" s="163"/>
      <c r="P187" s="166">
        <f t="shared" si="74"/>
        <v>160.83333333333334</v>
      </c>
      <c r="Q187" s="168">
        <f t="shared" si="95"/>
        <v>120.625</v>
      </c>
      <c r="R187" s="167">
        <f t="shared" si="73"/>
        <v>68.92857142857143</v>
      </c>
    </row>
    <row r="188" spans="1:18" ht="24">
      <c r="A188" s="68" t="s">
        <v>190</v>
      </c>
      <c r="B188" s="68"/>
      <c r="C188" s="103" t="s">
        <v>191</v>
      </c>
      <c r="D188" s="178">
        <f t="shared" si="96"/>
        <v>386.4</v>
      </c>
      <c r="E188" s="165">
        <f t="shared" si="94"/>
        <v>127.9</v>
      </c>
      <c r="F188" s="178">
        <v>23.5</v>
      </c>
      <c r="G188" s="178">
        <v>104.4</v>
      </c>
      <c r="H188" s="166">
        <v>119</v>
      </c>
      <c r="I188" s="166">
        <f t="shared" si="97"/>
        <v>246.9</v>
      </c>
      <c r="J188" s="166">
        <v>139.5</v>
      </c>
      <c r="K188" s="167">
        <v>174.1</v>
      </c>
      <c r="L188" s="168" t="e">
        <f>K188/#REF!*100</f>
        <v>#REF!</v>
      </c>
      <c r="M188" s="168">
        <f t="shared" si="93"/>
        <v>146.30252100840335</v>
      </c>
      <c r="N188" s="163"/>
      <c r="O188" s="163"/>
      <c r="P188" s="166">
        <f t="shared" si="74"/>
        <v>124.80286738351255</v>
      </c>
      <c r="Q188" s="168">
        <f t="shared" si="95"/>
        <v>70.514378290806</v>
      </c>
      <c r="R188" s="167">
        <f t="shared" si="73"/>
        <v>45.05693581780539</v>
      </c>
    </row>
    <row r="189" spans="1:18" ht="24">
      <c r="A189" s="104" t="s">
        <v>196</v>
      </c>
      <c r="B189" s="104"/>
      <c r="C189" s="103" t="s">
        <v>197</v>
      </c>
      <c r="D189" s="178">
        <f t="shared" si="96"/>
        <v>1</v>
      </c>
      <c r="E189" s="165">
        <f t="shared" si="94"/>
        <v>0</v>
      </c>
      <c r="F189" s="178"/>
      <c r="G189" s="178"/>
      <c r="H189" s="166">
        <v>1</v>
      </c>
      <c r="I189" s="166">
        <f t="shared" si="97"/>
        <v>1</v>
      </c>
      <c r="J189" s="166"/>
      <c r="K189" s="167">
        <v>0.6</v>
      </c>
      <c r="L189" s="168" t="e">
        <f>K189/#REF!*100</f>
        <v>#REF!</v>
      </c>
      <c r="M189" s="168">
        <f t="shared" si="93"/>
        <v>60</v>
      </c>
      <c r="N189" s="163"/>
      <c r="O189" s="163"/>
      <c r="P189" s="166" t="e">
        <f t="shared" si="74"/>
        <v>#DIV/0!</v>
      </c>
      <c r="Q189" s="168">
        <f t="shared" si="95"/>
        <v>60</v>
      </c>
      <c r="R189" s="167">
        <f t="shared" si="73"/>
        <v>60</v>
      </c>
    </row>
    <row r="190" spans="1:18" ht="12.75">
      <c r="A190" s="104" t="s">
        <v>200</v>
      </c>
      <c r="B190" s="121"/>
      <c r="C190" s="103" t="s">
        <v>201</v>
      </c>
      <c r="D190" s="178">
        <f t="shared" si="96"/>
        <v>10</v>
      </c>
      <c r="E190" s="165">
        <f t="shared" si="94"/>
        <v>10</v>
      </c>
      <c r="F190" s="178"/>
      <c r="G190" s="178">
        <v>10</v>
      </c>
      <c r="H190" s="166"/>
      <c r="I190" s="166">
        <f t="shared" si="97"/>
        <v>10</v>
      </c>
      <c r="J190" s="166"/>
      <c r="K190" s="167">
        <v>10</v>
      </c>
      <c r="L190" s="168" t="e">
        <f>K190/#REF!*100</f>
        <v>#REF!</v>
      </c>
      <c r="M190" s="168"/>
      <c r="N190" s="163"/>
      <c r="O190" s="163"/>
      <c r="P190" s="166" t="e">
        <f t="shared" si="74"/>
        <v>#DIV/0!</v>
      </c>
      <c r="Q190" s="168">
        <f t="shared" si="95"/>
        <v>100</v>
      </c>
      <c r="R190" s="167">
        <f>K190*100/D190</f>
        <v>100</v>
      </c>
    </row>
    <row r="191" spans="1:18" ht="12.75">
      <c r="A191" s="115" t="s">
        <v>202</v>
      </c>
      <c r="B191" s="107"/>
      <c r="C191" s="71" t="s">
        <v>203</v>
      </c>
      <c r="D191" s="178">
        <f t="shared" si="96"/>
        <v>0</v>
      </c>
      <c r="E191" s="165">
        <f t="shared" si="94"/>
        <v>0</v>
      </c>
      <c r="F191" s="178"/>
      <c r="G191" s="178"/>
      <c r="H191" s="166"/>
      <c r="I191" s="166"/>
      <c r="J191" s="166"/>
      <c r="K191" s="167">
        <v>0.8</v>
      </c>
      <c r="L191" s="168" t="e">
        <f>K191/#REF!*100</f>
        <v>#REF!</v>
      </c>
      <c r="M191" s="168"/>
      <c r="N191" s="163"/>
      <c r="O191" s="163"/>
      <c r="P191" s="166" t="e">
        <f t="shared" si="74"/>
        <v>#DIV/0!</v>
      </c>
      <c r="Q191" s="168"/>
      <c r="R191" s="167"/>
    </row>
    <row r="192" spans="1:18" ht="12.75">
      <c r="A192" s="99" t="s">
        <v>206</v>
      </c>
      <c r="B192" s="99"/>
      <c r="C192" s="108" t="s">
        <v>207</v>
      </c>
      <c r="D192" s="169">
        <f aca="true" t="shared" si="98" ref="D192:K192">D193</f>
        <v>25039.3</v>
      </c>
      <c r="E192" s="169">
        <f t="shared" si="98"/>
        <v>11263.5</v>
      </c>
      <c r="F192" s="169">
        <f t="shared" si="98"/>
        <v>5288.7</v>
      </c>
      <c r="G192" s="169">
        <f t="shared" si="98"/>
        <v>5974.799999999999</v>
      </c>
      <c r="H192" s="169">
        <f t="shared" si="98"/>
        <v>8709.1</v>
      </c>
      <c r="I192" s="169">
        <f t="shared" si="98"/>
        <v>19972.6</v>
      </c>
      <c r="J192" s="169">
        <f t="shared" si="98"/>
        <v>5066.7</v>
      </c>
      <c r="K192" s="169">
        <f t="shared" si="98"/>
        <v>19637.5</v>
      </c>
      <c r="L192" s="162" t="e">
        <f>K192/#REF!*100</f>
        <v>#REF!</v>
      </c>
      <c r="M192" s="162">
        <f>K192/H192*100</f>
        <v>225.48254124995694</v>
      </c>
      <c r="N192" s="163"/>
      <c r="O192" s="163"/>
      <c r="P192" s="170">
        <f t="shared" si="74"/>
        <v>387.5796869757436</v>
      </c>
      <c r="Q192" s="162">
        <f t="shared" si="95"/>
        <v>98.32220141593984</v>
      </c>
      <c r="R192" s="164">
        <f t="shared" si="73"/>
        <v>78.42671320683885</v>
      </c>
    </row>
    <row r="193" spans="1:18" ht="24">
      <c r="A193" s="69" t="s">
        <v>208</v>
      </c>
      <c r="B193" s="67"/>
      <c r="C193" s="109" t="s">
        <v>209</v>
      </c>
      <c r="D193" s="178">
        <f t="shared" si="96"/>
        <v>25039.3</v>
      </c>
      <c r="E193" s="165">
        <f t="shared" si="94"/>
        <v>11263.5</v>
      </c>
      <c r="F193" s="178">
        <f>4207+1081.7</f>
        <v>5288.7</v>
      </c>
      <c r="G193" s="178">
        <f>5569+3.5+197.9+204.4</f>
        <v>5974.799999999999</v>
      </c>
      <c r="H193" s="166">
        <f>6714.1+1942.4+52.6</f>
        <v>8709.1</v>
      </c>
      <c r="I193" s="166">
        <f>E193+H193</f>
        <v>19972.6</v>
      </c>
      <c r="J193" s="166">
        <f>4801.2+265.5</f>
        <v>5066.7</v>
      </c>
      <c r="K193" s="167">
        <v>19637.5</v>
      </c>
      <c r="L193" s="168" t="e">
        <f>K193/#REF!*100</f>
        <v>#REF!</v>
      </c>
      <c r="M193" s="168">
        <f>K193/H193*100</f>
        <v>225.48254124995694</v>
      </c>
      <c r="N193" s="163"/>
      <c r="O193" s="163"/>
      <c r="P193" s="166">
        <f t="shared" si="74"/>
        <v>387.5796869757436</v>
      </c>
      <c r="Q193" s="168">
        <f t="shared" si="95"/>
        <v>98.32220141593984</v>
      </c>
      <c r="R193" s="167">
        <f t="shared" si="73"/>
        <v>78.42671320683885</v>
      </c>
    </row>
    <row r="194" spans="1:18" ht="12.75">
      <c r="A194" s="74"/>
      <c r="B194" s="75"/>
      <c r="C194" s="76" t="s">
        <v>216</v>
      </c>
      <c r="D194" s="164">
        <f aca="true" t="shared" si="99" ref="D194:K194">D192+D183</f>
        <v>26732.8</v>
      </c>
      <c r="E194" s="164">
        <f t="shared" si="99"/>
        <v>11851.5</v>
      </c>
      <c r="F194" s="170">
        <f t="shared" si="99"/>
        <v>5457.7</v>
      </c>
      <c r="G194" s="170">
        <f t="shared" si="99"/>
        <v>6393.799999999999</v>
      </c>
      <c r="H194" s="170">
        <f t="shared" si="99"/>
        <v>9152.1</v>
      </c>
      <c r="I194" s="170">
        <f t="shared" si="99"/>
        <v>21003.6</v>
      </c>
      <c r="J194" s="170">
        <f t="shared" si="99"/>
        <v>5729.2</v>
      </c>
      <c r="K194" s="164">
        <f t="shared" si="99"/>
        <v>20602.8</v>
      </c>
      <c r="L194" s="162" t="e">
        <f>K194/#REF!*100</f>
        <v>#REF!</v>
      </c>
      <c r="M194" s="162">
        <f>K194/H194*100</f>
        <v>225.11554725145047</v>
      </c>
      <c r="N194" s="163"/>
      <c r="O194" s="173" t="e">
        <f>J194+#REF!+#REF!</f>
        <v>#REF!</v>
      </c>
      <c r="P194" s="170">
        <f t="shared" si="74"/>
        <v>359.6104168121204</v>
      </c>
      <c r="Q194" s="162">
        <f t="shared" si="95"/>
        <v>98.09175569902303</v>
      </c>
      <c r="R194" s="164">
        <f t="shared" si="73"/>
        <v>77.06936796744075</v>
      </c>
    </row>
    <row r="195" spans="1:18" ht="12.75">
      <c r="A195" s="230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2"/>
      <c r="N195" s="102"/>
      <c r="O195" s="102"/>
      <c r="P195" s="111"/>
      <c r="Q195" s="101"/>
      <c r="R195" s="77"/>
    </row>
    <row r="196" spans="1:18" ht="12.75">
      <c r="A196" s="239" t="s">
        <v>229</v>
      </c>
      <c r="B196" s="240"/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1"/>
    </row>
    <row r="197" spans="1:18" ht="12.75">
      <c r="A197" s="99" t="s">
        <v>178</v>
      </c>
      <c r="B197" s="123"/>
      <c r="C197" s="100" t="s">
        <v>179</v>
      </c>
      <c r="D197" s="162">
        <f aca="true" t="shared" si="100" ref="D197:K197">D198+D200+D201+D202+D204+D205+D207+D209+D206+D203+D210+D208+D199</f>
        <v>1039081.3</v>
      </c>
      <c r="E197" s="162">
        <f t="shared" si="100"/>
        <v>502082.9</v>
      </c>
      <c r="F197" s="162">
        <f t="shared" si="100"/>
        <v>239675.40000000002</v>
      </c>
      <c r="G197" s="162">
        <f t="shared" si="100"/>
        <v>262407.5</v>
      </c>
      <c r="H197" s="162">
        <f t="shared" si="100"/>
        <v>256444.50000000003</v>
      </c>
      <c r="I197" s="162">
        <f t="shared" si="100"/>
        <v>758527.4</v>
      </c>
      <c r="J197" s="162">
        <f t="shared" si="100"/>
        <v>280553.99999999994</v>
      </c>
      <c r="K197" s="162">
        <f t="shared" si="100"/>
        <v>751901.5</v>
      </c>
      <c r="L197" s="162" t="e">
        <f>K197/#REF!*100</f>
        <v>#REF!</v>
      </c>
      <c r="M197" s="162">
        <f aca="true" t="shared" si="101" ref="M197:M208">K197/H197*100</f>
        <v>293.2024278157652</v>
      </c>
      <c r="N197" s="163"/>
      <c r="O197" s="163"/>
      <c r="P197" s="162">
        <f t="shared" si="74"/>
        <v>268.0059810232612</v>
      </c>
      <c r="Q197" s="162">
        <f>K197*100/I197</f>
        <v>99.12647848976846</v>
      </c>
      <c r="R197" s="164">
        <f t="shared" si="73"/>
        <v>72.36214336645266</v>
      </c>
    </row>
    <row r="198" spans="1:18" ht="36">
      <c r="A198" s="74" t="s">
        <v>180</v>
      </c>
      <c r="B198" s="124" t="s">
        <v>230</v>
      </c>
      <c r="C198" s="103" t="s">
        <v>181</v>
      </c>
      <c r="D198" s="178">
        <f>F198+G198+H198+J198</f>
        <v>792000.7000000001</v>
      </c>
      <c r="E198" s="165">
        <f aca="true" t="shared" si="102" ref="E198:E214">F198+G198</f>
        <v>382277.80000000005</v>
      </c>
      <c r="F198" s="167">
        <f>F9+F31+F45+F61+F77+F94+F108+F123+F138+F154+F169+F184</f>
        <v>180524.7</v>
      </c>
      <c r="G198" s="167">
        <f>G9+G31+G45+G61+G77+G94+G108+G123+G138+G154+G169+G184</f>
        <v>201753.1</v>
      </c>
      <c r="H198" s="167">
        <f>H9+H31+H45+H61+H77+H94+H108+H123+H138+H154+H169+H184</f>
        <v>185105.90000000002</v>
      </c>
      <c r="I198" s="167">
        <f>H198+E198</f>
        <v>567383.7000000001</v>
      </c>
      <c r="J198" s="167">
        <f>J9+J31+J45+J61+J77+J94+J108+J123+J138+J154+J169+J184</f>
        <v>224617</v>
      </c>
      <c r="K198" s="167">
        <f>K9+K31+K45+K61+K77+K94+K108+K123+K138+K154+K169+K184+0.2</f>
        <v>560556.3999999999</v>
      </c>
      <c r="L198" s="168" t="e">
        <f>K198/#REF!*100</f>
        <v>#REF!</v>
      </c>
      <c r="M198" s="168">
        <f t="shared" si="101"/>
        <v>302.83010968315966</v>
      </c>
      <c r="N198" s="163"/>
      <c r="O198" s="163"/>
      <c r="P198" s="166">
        <f t="shared" si="74"/>
        <v>249.56098603400451</v>
      </c>
      <c r="Q198" s="168">
        <f aca="true" t="shared" si="103" ref="Q198:Q215">K198*100/I198</f>
        <v>98.79670494587698</v>
      </c>
      <c r="R198" s="167">
        <f t="shared" si="73"/>
        <v>70.77726067666353</v>
      </c>
    </row>
    <row r="199" spans="1:18" ht="12.75">
      <c r="A199" s="67" t="s">
        <v>278</v>
      </c>
      <c r="B199" s="67"/>
      <c r="C199" s="103" t="s">
        <v>279</v>
      </c>
      <c r="D199" s="178">
        <f aca="true" t="shared" si="104" ref="D199:D214">F199+G199+H199+J199</f>
        <v>35490.4</v>
      </c>
      <c r="E199" s="165">
        <f t="shared" si="102"/>
        <v>18807.4</v>
      </c>
      <c r="F199" s="167">
        <f aca="true" t="shared" si="105" ref="F199:P199">F10</f>
        <v>8828.2</v>
      </c>
      <c r="G199" s="167">
        <f t="shared" si="105"/>
        <v>9979.2</v>
      </c>
      <c r="H199" s="167">
        <f t="shared" si="105"/>
        <v>7979.200000000001</v>
      </c>
      <c r="I199" s="167">
        <f aca="true" t="shared" si="106" ref="I199:I210">H199+E199</f>
        <v>26786.600000000002</v>
      </c>
      <c r="J199" s="167">
        <f t="shared" si="105"/>
        <v>8703.8</v>
      </c>
      <c r="K199" s="167">
        <f>K10</f>
        <v>24693.5</v>
      </c>
      <c r="L199" s="167">
        <f t="shared" si="105"/>
        <v>0</v>
      </c>
      <c r="M199" s="167">
        <f t="shared" si="105"/>
        <v>0</v>
      </c>
      <c r="N199" s="167">
        <f t="shared" si="105"/>
        <v>0</v>
      </c>
      <c r="O199" s="167">
        <f t="shared" si="105"/>
        <v>0</v>
      </c>
      <c r="P199" s="167">
        <f t="shared" si="105"/>
        <v>0</v>
      </c>
      <c r="Q199" s="168">
        <f t="shared" si="103"/>
        <v>92.18601838232549</v>
      </c>
      <c r="R199" s="167">
        <f t="shared" si="73"/>
        <v>69.57797038072268</v>
      </c>
    </row>
    <row r="200" spans="1:18" ht="36">
      <c r="A200" s="67" t="s">
        <v>182</v>
      </c>
      <c r="B200" s="122" t="s">
        <v>228</v>
      </c>
      <c r="C200" s="103" t="s">
        <v>183</v>
      </c>
      <c r="D200" s="178">
        <f>F200+G200+H200+J200-0.1</f>
        <v>34263.399999999994</v>
      </c>
      <c r="E200" s="165">
        <f t="shared" si="102"/>
        <v>17059.299999999996</v>
      </c>
      <c r="F200" s="167">
        <f>F11+F46+F62+F185+F139+F109+F170</f>
        <v>8556</v>
      </c>
      <c r="G200" s="167">
        <f>G11+G46+G62+G185+G139+G109+G170</f>
        <v>8503.299999999997</v>
      </c>
      <c r="H200" s="167">
        <f>H11+H46+H62+H185+H139+H109+H170</f>
        <v>8549.8</v>
      </c>
      <c r="I200" s="167">
        <f t="shared" si="106"/>
        <v>25609.099999999995</v>
      </c>
      <c r="J200" s="167">
        <f>J11+J46+J62+J185+J139+J109+J170</f>
        <v>8654.399999999998</v>
      </c>
      <c r="K200" s="167">
        <f>K11+K46+K62+K185+K139+K109+K170-0.1</f>
        <v>25501.3</v>
      </c>
      <c r="L200" s="168" t="e">
        <f>K200/#REF!*100</f>
        <v>#REF!</v>
      </c>
      <c r="M200" s="168">
        <f t="shared" si="101"/>
        <v>298.267795737912</v>
      </c>
      <c r="N200" s="163"/>
      <c r="O200" s="163"/>
      <c r="P200" s="166">
        <f t="shared" si="74"/>
        <v>294.662830467739</v>
      </c>
      <c r="Q200" s="168">
        <f t="shared" si="103"/>
        <v>99.5790558824793</v>
      </c>
      <c r="R200" s="167">
        <f t="shared" si="73"/>
        <v>74.42723138976285</v>
      </c>
    </row>
    <row r="201" spans="1:18" ht="36">
      <c r="A201" s="67" t="s">
        <v>184</v>
      </c>
      <c r="B201" s="122" t="s">
        <v>231</v>
      </c>
      <c r="C201" s="103" t="s">
        <v>185</v>
      </c>
      <c r="D201" s="178">
        <f t="shared" si="104"/>
        <v>18055</v>
      </c>
      <c r="E201" s="165">
        <f t="shared" si="102"/>
        <v>7934.400000000001</v>
      </c>
      <c r="F201" s="167">
        <f>F12+F32+F47+F63+F79+F95+F110+F124+F140+F155+F171+F186</f>
        <v>3849.9000000000005</v>
      </c>
      <c r="G201" s="167">
        <f>G12+G32+G47+G63+G79+G95+G110+G124+G140+G155+G171+G186+0.1</f>
        <v>4084.5</v>
      </c>
      <c r="H201" s="167">
        <f>H12+H32+H47+H63+H79+H95+H110+H124+H140+H155+H171+H186</f>
        <v>4495.200000000001</v>
      </c>
      <c r="I201" s="167">
        <f t="shared" si="106"/>
        <v>12429.600000000002</v>
      </c>
      <c r="J201" s="167">
        <f>J12+J32+J47+J63+J79+J95+J110+J124+J140+J155+J171+J186-0.1</f>
        <v>5625.399999999999</v>
      </c>
      <c r="K201" s="167">
        <f>K12+K32+K47+K63+K79+K95+K110+K124+K140+K155+K171+K186+0.2</f>
        <v>11208.800000000001</v>
      </c>
      <c r="L201" s="168" t="e">
        <f>K201/#REF!*100</f>
        <v>#REF!</v>
      </c>
      <c r="M201" s="168">
        <f t="shared" si="101"/>
        <v>249.35041822388322</v>
      </c>
      <c r="N201" s="163"/>
      <c r="O201" s="163"/>
      <c r="P201" s="166">
        <f t="shared" si="74"/>
        <v>199.25338642585422</v>
      </c>
      <c r="Q201" s="168">
        <f t="shared" si="103"/>
        <v>90.17828409602882</v>
      </c>
      <c r="R201" s="167">
        <f t="shared" si="73"/>
        <v>62.08141788978122</v>
      </c>
    </row>
    <row r="202" spans="1:18" ht="36">
      <c r="A202" s="67" t="s">
        <v>186</v>
      </c>
      <c r="B202" s="122" t="s">
        <v>232</v>
      </c>
      <c r="C202" s="103" t="s">
        <v>187</v>
      </c>
      <c r="D202" s="178">
        <f t="shared" si="104"/>
        <v>3653.0000000000005</v>
      </c>
      <c r="E202" s="165">
        <f t="shared" si="102"/>
        <v>1931.2000000000003</v>
      </c>
      <c r="F202" s="167">
        <f>F13+F33+F64+F80+F96+F111+F125+F141+F156+F172+F187</f>
        <v>849.8000000000001</v>
      </c>
      <c r="G202" s="167">
        <f>G13+G33+G64+G80+G96+G111+G125+G141+G156+G172+G187</f>
        <v>1081.4</v>
      </c>
      <c r="H202" s="167">
        <f>H13+H33+H64+H80+H96+H111+H125+H141+H156+H172+H187</f>
        <v>1062.2</v>
      </c>
      <c r="I202" s="167">
        <f t="shared" si="106"/>
        <v>2993.4000000000005</v>
      </c>
      <c r="J202" s="167">
        <f>J13+J33+J64+J80+J96+J111+J125+J141+J156+J172+J187</f>
        <v>659.5999999999999</v>
      </c>
      <c r="K202" s="167">
        <f>K13+K33+K48+K64+K80+K96+K111+K125+K141+K156+K172+K187-0.1</f>
        <v>3742.9000000000005</v>
      </c>
      <c r="L202" s="168" t="e">
        <f>K202/#REF!*100</f>
        <v>#REF!</v>
      </c>
      <c r="M202" s="168">
        <f t="shared" si="101"/>
        <v>352.3724345697609</v>
      </c>
      <c r="N202" s="163"/>
      <c r="O202" s="163"/>
      <c r="P202" s="166">
        <f t="shared" si="74"/>
        <v>567.4499696785932</v>
      </c>
      <c r="Q202" s="168">
        <f t="shared" si="103"/>
        <v>125.03841785260907</v>
      </c>
      <c r="R202" s="167">
        <f t="shared" si="73"/>
        <v>102.46099096632905</v>
      </c>
    </row>
    <row r="203" spans="1:18" ht="24">
      <c r="A203" s="67" t="s">
        <v>188</v>
      </c>
      <c r="B203" s="122" t="s">
        <v>233</v>
      </c>
      <c r="C203" s="103" t="s">
        <v>189</v>
      </c>
      <c r="D203" s="178">
        <f t="shared" si="104"/>
        <v>0</v>
      </c>
      <c r="E203" s="165">
        <f t="shared" si="102"/>
        <v>0</v>
      </c>
      <c r="F203" s="188">
        <f>F14</f>
        <v>0</v>
      </c>
      <c r="G203" s="188">
        <f>G14</f>
        <v>0</v>
      </c>
      <c r="H203" s="188">
        <f>H14</f>
        <v>0</v>
      </c>
      <c r="I203" s="167">
        <f t="shared" si="106"/>
        <v>0</v>
      </c>
      <c r="J203" s="188">
        <f>J14</f>
        <v>0</v>
      </c>
      <c r="K203" s="188">
        <f>K14</f>
        <v>0</v>
      </c>
      <c r="L203" s="168" t="e">
        <f>K203/#REF!*100</f>
        <v>#REF!</v>
      </c>
      <c r="M203" s="168"/>
      <c r="N203" s="163"/>
      <c r="O203" s="163"/>
      <c r="P203" s="166" t="e">
        <f t="shared" si="74"/>
        <v>#DIV/0!</v>
      </c>
      <c r="Q203" s="168" t="e">
        <f t="shared" si="103"/>
        <v>#DIV/0!</v>
      </c>
      <c r="R203" s="167"/>
    </row>
    <row r="204" spans="1:18" ht="36">
      <c r="A204" s="68" t="s">
        <v>190</v>
      </c>
      <c r="B204" s="125" t="s">
        <v>234</v>
      </c>
      <c r="C204" s="103" t="s">
        <v>191</v>
      </c>
      <c r="D204" s="178">
        <f t="shared" si="104"/>
        <v>93257.7</v>
      </c>
      <c r="E204" s="165">
        <f t="shared" si="102"/>
        <v>42191.600000000006</v>
      </c>
      <c r="F204" s="167">
        <f>F15+F34+F49+F65+F81+F97+F112+F126+F142+F157+F173+F188</f>
        <v>19825.5</v>
      </c>
      <c r="G204" s="167">
        <f>G15+G34+G49+G65+G81+G97+G112+G126+G142+G157+G173+G188</f>
        <v>22366.100000000002</v>
      </c>
      <c r="H204" s="167">
        <f>H15+H34+H49+H65+H81+H97+H112+H126+H142+H157+H173+H188</f>
        <v>27861.5</v>
      </c>
      <c r="I204" s="167">
        <f t="shared" si="106"/>
        <v>70053.1</v>
      </c>
      <c r="J204" s="167">
        <f>J15+J34+J49+J65+J81+J97+J112+J126+J142+J157+J173+J188</f>
        <v>23204.599999999995</v>
      </c>
      <c r="K204" s="167">
        <f>K15+K34+K49+K65+K81+K97+K112+K126+K142+K157+K173+K188</f>
        <v>71906.09999999999</v>
      </c>
      <c r="L204" s="168" t="e">
        <f>K204/#REF!*100</f>
        <v>#REF!</v>
      </c>
      <c r="M204" s="168">
        <f t="shared" si="101"/>
        <v>258.0840945390592</v>
      </c>
      <c r="N204" s="163"/>
      <c r="O204" s="163"/>
      <c r="P204" s="166">
        <f t="shared" si="74"/>
        <v>309.8786447514717</v>
      </c>
      <c r="Q204" s="168">
        <f t="shared" si="103"/>
        <v>102.64513633229647</v>
      </c>
      <c r="R204" s="167">
        <f aca="true" t="shared" si="107" ref="R204:R215">K204*100/D204</f>
        <v>77.10473237062462</v>
      </c>
    </row>
    <row r="205" spans="1:18" ht="12.75">
      <c r="A205" s="104" t="s">
        <v>192</v>
      </c>
      <c r="B205" s="126" t="s">
        <v>235</v>
      </c>
      <c r="C205" s="103" t="s">
        <v>193</v>
      </c>
      <c r="D205" s="178">
        <f t="shared" si="104"/>
        <v>16479</v>
      </c>
      <c r="E205" s="165">
        <f t="shared" si="102"/>
        <v>12316.6</v>
      </c>
      <c r="F205" s="167">
        <f>F16</f>
        <v>10236.2</v>
      </c>
      <c r="G205" s="167">
        <f>G16</f>
        <v>2080.4</v>
      </c>
      <c r="H205" s="167">
        <f>H16</f>
        <v>2080.4</v>
      </c>
      <c r="I205" s="167">
        <f t="shared" si="106"/>
        <v>14397</v>
      </c>
      <c r="J205" s="167">
        <f>J16</f>
        <v>2082</v>
      </c>
      <c r="K205" s="167">
        <f>K16</f>
        <v>13755.1</v>
      </c>
      <c r="L205" s="168" t="e">
        <f>K205/#REF!*100</f>
        <v>#REF!</v>
      </c>
      <c r="M205" s="168">
        <f t="shared" si="101"/>
        <v>661.1757354354932</v>
      </c>
      <c r="N205" s="163"/>
      <c r="O205" s="163"/>
      <c r="P205" s="166">
        <f t="shared" si="74"/>
        <v>660.6676272814601</v>
      </c>
      <c r="Q205" s="168">
        <f t="shared" si="103"/>
        <v>95.54143224282836</v>
      </c>
      <c r="R205" s="167">
        <f t="shared" si="107"/>
        <v>83.47047757752291</v>
      </c>
    </row>
    <row r="206" spans="1:18" ht="24">
      <c r="A206" s="105" t="s">
        <v>194</v>
      </c>
      <c r="B206" s="127" t="s">
        <v>236</v>
      </c>
      <c r="C206" s="103" t="s">
        <v>195</v>
      </c>
      <c r="D206" s="178">
        <f t="shared" si="104"/>
        <v>10990.5</v>
      </c>
      <c r="E206" s="165">
        <f t="shared" si="102"/>
        <v>5379.599999999999</v>
      </c>
      <c r="F206" s="189">
        <f>F17+F82+F98+F127+F143+F158+F174+F113+F66+F35</f>
        <v>2787.6</v>
      </c>
      <c r="G206" s="189">
        <f>G17+G82+G98+G127+G143+G158+G174+G113+G66+G35</f>
        <v>2591.9999999999995</v>
      </c>
      <c r="H206" s="189">
        <f>H17+H82+H98+H127+H143+H158+H174+H113+H66+H35</f>
        <v>4237.4</v>
      </c>
      <c r="I206" s="167">
        <f t="shared" si="106"/>
        <v>9617</v>
      </c>
      <c r="J206" s="189">
        <f>J17+J82+J98+J127+J143+J158+J174+J113+J66+J35</f>
        <v>1373.5000000000002</v>
      </c>
      <c r="K206" s="189">
        <f>K17+K82+K98+K127+K143+K158+K174+K113+K66+K35-0.1</f>
        <v>9961.699999999999</v>
      </c>
      <c r="L206" s="168" t="e">
        <f>K206/#REF!*100</f>
        <v>#REF!</v>
      </c>
      <c r="M206" s="168">
        <f t="shared" si="101"/>
        <v>235.08991362628024</v>
      </c>
      <c r="N206" s="163"/>
      <c r="O206" s="163"/>
      <c r="P206" s="166">
        <f t="shared" si="74"/>
        <v>725.2784856206769</v>
      </c>
      <c r="Q206" s="168">
        <f t="shared" si="103"/>
        <v>103.58427784132265</v>
      </c>
      <c r="R206" s="167">
        <f t="shared" si="107"/>
        <v>90.63918838997314</v>
      </c>
    </row>
    <row r="207" spans="1:18" ht="24">
      <c r="A207" s="105" t="s">
        <v>196</v>
      </c>
      <c r="B207" s="127" t="s">
        <v>237</v>
      </c>
      <c r="C207" s="103" t="s">
        <v>197</v>
      </c>
      <c r="D207" s="178">
        <f t="shared" si="104"/>
        <v>21432.5</v>
      </c>
      <c r="E207" s="165">
        <f t="shared" si="102"/>
        <v>8169.4</v>
      </c>
      <c r="F207" s="167">
        <f>F18+F36+F50+F67+F83+F99+F114+F144+F159+F175+F189+F128</f>
        <v>2792.2</v>
      </c>
      <c r="G207" s="167">
        <f>G18+G36+G50+G67+G83+G99+G114+G144+G159+G175+G189+G128</f>
        <v>5377.2</v>
      </c>
      <c r="H207" s="167">
        <f>H18+H36+H50+H67+H83+H99+H114+H144+H159+H175+H189+H128</f>
        <v>8794.000000000002</v>
      </c>
      <c r="I207" s="167">
        <f t="shared" si="106"/>
        <v>16963.4</v>
      </c>
      <c r="J207" s="167">
        <f>J18+J36+J50+J67+J83+J99+J114+J144+J159+J175+J189+J128</f>
        <v>4469.099999999999</v>
      </c>
      <c r="K207" s="167">
        <f>K18+K36+K50+K67+K83+K99+K114+K144+K159+K175+K189+K128</f>
        <v>17146.4</v>
      </c>
      <c r="L207" s="168" t="e">
        <f>K207/#REF!*100</f>
        <v>#REF!</v>
      </c>
      <c r="M207" s="168">
        <f t="shared" si="101"/>
        <v>194.97839435979074</v>
      </c>
      <c r="N207" s="163"/>
      <c r="O207" s="163"/>
      <c r="P207" s="166">
        <f aca="true" t="shared" si="108" ref="P207:P215">K207*100/J207</f>
        <v>383.66561500078325</v>
      </c>
      <c r="Q207" s="168">
        <f t="shared" si="103"/>
        <v>101.07879316646428</v>
      </c>
      <c r="R207" s="167">
        <f t="shared" si="107"/>
        <v>80.00186632450719</v>
      </c>
    </row>
    <row r="208" spans="1:18" ht="12.75">
      <c r="A208" s="105" t="s">
        <v>198</v>
      </c>
      <c r="B208" s="105"/>
      <c r="C208" s="103" t="s">
        <v>199</v>
      </c>
      <c r="D208" s="178">
        <f t="shared" si="104"/>
        <v>6</v>
      </c>
      <c r="E208" s="165">
        <f t="shared" si="102"/>
        <v>6</v>
      </c>
      <c r="F208" s="167">
        <f>F19</f>
        <v>2</v>
      </c>
      <c r="G208" s="167">
        <f>G19</f>
        <v>4</v>
      </c>
      <c r="H208" s="167">
        <f>H19</f>
        <v>0</v>
      </c>
      <c r="I208" s="167">
        <f t="shared" si="106"/>
        <v>6</v>
      </c>
      <c r="J208" s="167">
        <f>J19</f>
        <v>0</v>
      </c>
      <c r="K208" s="167">
        <f>K19</f>
        <v>5.3</v>
      </c>
      <c r="L208" s="168" t="e">
        <f>K208/#REF!*100</f>
        <v>#REF!</v>
      </c>
      <c r="M208" s="168" t="e">
        <f t="shared" si="101"/>
        <v>#DIV/0!</v>
      </c>
      <c r="N208" s="163"/>
      <c r="O208" s="163"/>
      <c r="P208" s="166" t="e">
        <f t="shared" si="108"/>
        <v>#DIV/0!</v>
      </c>
      <c r="Q208" s="168">
        <f t="shared" si="103"/>
        <v>88.33333333333333</v>
      </c>
      <c r="R208" s="167">
        <f t="shared" si="107"/>
        <v>88.33333333333333</v>
      </c>
    </row>
    <row r="209" spans="1:18" ht="36">
      <c r="A209" s="74" t="s">
        <v>200</v>
      </c>
      <c r="B209" s="124" t="s">
        <v>238</v>
      </c>
      <c r="C209" s="103" t="s">
        <v>201</v>
      </c>
      <c r="D209" s="178">
        <f t="shared" si="104"/>
        <v>13453.1</v>
      </c>
      <c r="E209" s="165">
        <f t="shared" si="102"/>
        <v>6009.6</v>
      </c>
      <c r="F209" s="167">
        <f aca="true" t="shared" si="109" ref="F209:P209">F20+F176+F190+F68+F129+F51+F145+F84</f>
        <v>1423.3</v>
      </c>
      <c r="G209" s="167">
        <f t="shared" si="109"/>
        <v>4586.3</v>
      </c>
      <c r="H209" s="167">
        <f t="shared" si="109"/>
        <v>6278.9</v>
      </c>
      <c r="I209" s="167">
        <f t="shared" si="106"/>
        <v>12288.5</v>
      </c>
      <c r="J209" s="167">
        <f t="shared" si="109"/>
        <v>1164.6</v>
      </c>
      <c r="K209" s="167">
        <f>K20+K176+K190+K68+K129+K51+K145+K84+0.1</f>
        <v>12642</v>
      </c>
      <c r="L209" s="167" t="e">
        <f t="shared" si="109"/>
        <v>#REF!</v>
      </c>
      <c r="M209" s="167">
        <f t="shared" si="109"/>
        <v>583.8091268566142</v>
      </c>
      <c r="N209" s="167">
        <f t="shared" si="109"/>
        <v>0</v>
      </c>
      <c r="O209" s="167">
        <f t="shared" si="109"/>
        <v>0</v>
      </c>
      <c r="P209" s="167" t="e">
        <f t="shared" si="109"/>
        <v>#DIV/0!</v>
      </c>
      <c r="Q209" s="168">
        <f t="shared" si="103"/>
        <v>102.8766733124466</v>
      </c>
      <c r="R209" s="167">
        <f t="shared" si="107"/>
        <v>93.97090633385614</v>
      </c>
    </row>
    <row r="210" spans="1:18" ht="24">
      <c r="A210" s="106" t="s">
        <v>202</v>
      </c>
      <c r="B210" s="128" t="s">
        <v>233</v>
      </c>
      <c r="C210" s="71" t="s">
        <v>203</v>
      </c>
      <c r="D210" s="178">
        <f t="shared" si="104"/>
        <v>0</v>
      </c>
      <c r="E210" s="165">
        <f t="shared" si="102"/>
        <v>0</v>
      </c>
      <c r="F210" s="167">
        <f>F21+F37+F52+F69+F85+F100+F116+F130+F146+F161+F177+F191</f>
        <v>0</v>
      </c>
      <c r="G210" s="167">
        <f>G21+G37+G52+G69+G85+G100+G116+G130+G146+G161+G177+G191</f>
        <v>0</v>
      </c>
      <c r="H210" s="167">
        <f>H21+H37+H52+H69+H85+H100+H116+H130+H146+H161+H177+H191</f>
        <v>0</v>
      </c>
      <c r="I210" s="167">
        <f t="shared" si="106"/>
        <v>0</v>
      </c>
      <c r="J210" s="167">
        <f>J21+J37+J52+J69+J85+J100+J116+J130+J146+J161+J177+J191</f>
        <v>0</v>
      </c>
      <c r="K210" s="167">
        <f>K21+K37+K52+K69+K85+K100+K116+K130+K146+K161+K177+K191</f>
        <v>781.9999999999999</v>
      </c>
      <c r="L210" s="168"/>
      <c r="M210" s="168"/>
      <c r="N210" s="163"/>
      <c r="O210" s="163"/>
      <c r="P210" s="166" t="e">
        <f t="shared" si="108"/>
        <v>#DIV/0!</v>
      </c>
      <c r="Q210" s="168"/>
      <c r="R210" s="167"/>
    </row>
    <row r="211" spans="1:18" ht="12.75">
      <c r="A211" s="99" t="s">
        <v>206</v>
      </c>
      <c r="B211" s="123"/>
      <c r="C211" s="108" t="s">
        <v>207</v>
      </c>
      <c r="D211" s="169">
        <f aca="true" t="shared" si="110" ref="D211:K211">D212+D213+D214</f>
        <v>3041530.5999999996</v>
      </c>
      <c r="E211" s="169">
        <f t="shared" si="110"/>
        <v>999410.5999999999</v>
      </c>
      <c r="F211" s="169">
        <f t="shared" si="110"/>
        <v>245825.60000000003</v>
      </c>
      <c r="G211" s="169">
        <f t="shared" si="110"/>
        <v>753585</v>
      </c>
      <c r="H211" s="169">
        <f t="shared" si="110"/>
        <v>845488.6</v>
      </c>
      <c r="I211" s="169">
        <f t="shared" si="110"/>
        <v>1844899.1999999997</v>
      </c>
      <c r="J211" s="169">
        <f t="shared" si="110"/>
        <v>1196631.4</v>
      </c>
      <c r="K211" s="169">
        <f t="shared" si="110"/>
        <v>2080620.4999999998</v>
      </c>
      <c r="L211" s="162" t="e">
        <f>K211/#REF!*100</f>
        <v>#REF!</v>
      </c>
      <c r="M211" s="162">
        <f>K211/H211*100</f>
        <v>246.0849856520833</v>
      </c>
      <c r="N211" s="163"/>
      <c r="O211" s="163"/>
      <c r="P211" s="170">
        <f t="shared" si="108"/>
        <v>173.87313252852965</v>
      </c>
      <c r="Q211" s="162">
        <f t="shared" si="103"/>
        <v>112.77692027835451</v>
      </c>
      <c r="R211" s="164">
        <f t="shared" si="107"/>
        <v>68.40702178041542</v>
      </c>
    </row>
    <row r="212" spans="1:18" ht="36">
      <c r="A212" s="69" t="s">
        <v>208</v>
      </c>
      <c r="B212" s="122" t="s">
        <v>239</v>
      </c>
      <c r="C212" s="109" t="s">
        <v>209</v>
      </c>
      <c r="D212" s="178">
        <f t="shared" si="104"/>
        <v>3117884.6999999997</v>
      </c>
      <c r="E212" s="165">
        <f t="shared" si="102"/>
        <v>1077481.9</v>
      </c>
      <c r="F212" s="166">
        <f>F23</f>
        <v>330882.4</v>
      </c>
      <c r="G212" s="166">
        <f>G23</f>
        <v>746599.5</v>
      </c>
      <c r="H212" s="166">
        <f>H23-16000</f>
        <v>858277.2999999999</v>
      </c>
      <c r="I212" s="166">
        <f>E212+H212</f>
        <v>1935759.1999999997</v>
      </c>
      <c r="J212" s="166">
        <f>J23-741</f>
        <v>1182125.5</v>
      </c>
      <c r="K212" s="166">
        <f>K23-15939.6</f>
        <v>2222162.5</v>
      </c>
      <c r="L212" s="168" t="e">
        <f>K212/#REF!*100</f>
        <v>#REF!</v>
      </c>
      <c r="M212" s="168">
        <f>K212/H212*100</f>
        <v>258.90962046881583</v>
      </c>
      <c r="N212" s="163"/>
      <c r="O212" s="163"/>
      <c r="P212" s="166">
        <f t="shared" si="108"/>
        <v>187.98025251971978</v>
      </c>
      <c r="Q212" s="168">
        <f t="shared" si="103"/>
        <v>114.79539913848791</v>
      </c>
      <c r="R212" s="167">
        <f t="shared" si="107"/>
        <v>71.27147774258619</v>
      </c>
    </row>
    <row r="213" spans="1:18" ht="36">
      <c r="A213" s="69" t="s">
        <v>210</v>
      </c>
      <c r="B213" s="69" t="s">
        <v>240</v>
      </c>
      <c r="C213" s="110" t="s">
        <v>211</v>
      </c>
      <c r="D213" s="178">
        <f t="shared" si="104"/>
        <v>37131</v>
      </c>
      <c r="E213" s="165">
        <f t="shared" si="102"/>
        <v>14360.7</v>
      </c>
      <c r="F213" s="167">
        <f>F24+F89+F103+F164+F133+F55+F40+F149</f>
        <v>7375.2</v>
      </c>
      <c r="G213" s="167">
        <f>G24+G89+G103+G164+G133+G55+G40+G149</f>
        <v>6985.5</v>
      </c>
      <c r="H213" s="167">
        <f>H24+H89+H103+H164+H133+H55+H40+H149+H72</f>
        <v>8264.4</v>
      </c>
      <c r="I213" s="167">
        <f>I24+I89+I103+I164+I133+I55+I40+I149+I72</f>
        <v>22625.100000000002</v>
      </c>
      <c r="J213" s="167">
        <f>J24+J89+J103+J164+J133+J55+J40+J149+J72+0.1</f>
        <v>14505.9</v>
      </c>
      <c r="K213" s="167">
        <f>K24+K89+K103+K164+K133+K55+K40+K149+K72</f>
        <v>21409.3</v>
      </c>
      <c r="L213" s="168" t="e">
        <f>K213/#REF!*100</f>
        <v>#REF!</v>
      </c>
      <c r="M213" s="168">
        <f>K213/H213*100</f>
        <v>259.054498814191</v>
      </c>
      <c r="N213" s="163"/>
      <c r="O213" s="163"/>
      <c r="P213" s="166">
        <f t="shared" si="108"/>
        <v>147.59029084717253</v>
      </c>
      <c r="Q213" s="168">
        <f t="shared" si="103"/>
        <v>94.626322093604</v>
      </c>
      <c r="R213" s="167">
        <f t="shared" si="107"/>
        <v>57.65882954943309</v>
      </c>
    </row>
    <row r="214" spans="1:18" ht="36">
      <c r="A214" s="69" t="s">
        <v>214</v>
      </c>
      <c r="B214" s="70"/>
      <c r="C214" s="73" t="s">
        <v>215</v>
      </c>
      <c r="D214" s="178">
        <f t="shared" si="104"/>
        <v>-113485.1</v>
      </c>
      <c r="E214" s="165">
        <f t="shared" si="102"/>
        <v>-92432</v>
      </c>
      <c r="F214" s="167">
        <f>F26</f>
        <v>-92432</v>
      </c>
      <c r="G214" s="167">
        <f>G26</f>
        <v>0</v>
      </c>
      <c r="H214" s="167">
        <f>H26</f>
        <v>-21053.1</v>
      </c>
      <c r="I214" s="166">
        <f>E214+H214</f>
        <v>-113485.1</v>
      </c>
      <c r="J214" s="167">
        <f>J26</f>
        <v>0</v>
      </c>
      <c r="K214" s="167">
        <f>K26</f>
        <v>-162951.3</v>
      </c>
      <c r="L214" s="168" t="e">
        <f>K214/#REF!*100</f>
        <v>#REF!</v>
      </c>
      <c r="M214" s="168"/>
      <c r="N214" s="163"/>
      <c r="O214" s="163"/>
      <c r="P214" s="166" t="e">
        <f t="shared" si="108"/>
        <v>#DIV/0!</v>
      </c>
      <c r="Q214" s="168">
        <f t="shared" si="103"/>
        <v>143.58827722758315</v>
      </c>
      <c r="R214" s="167">
        <f t="shared" si="107"/>
        <v>143.58827722758315</v>
      </c>
    </row>
    <row r="215" spans="1:18" ht="12.75">
      <c r="A215" s="74"/>
      <c r="B215" s="75"/>
      <c r="C215" s="76" t="s">
        <v>216</v>
      </c>
      <c r="D215" s="164">
        <f aca="true" t="shared" si="111" ref="D215:K215">D211+D197</f>
        <v>4080611.8999999994</v>
      </c>
      <c r="E215" s="164">
        <f t="shared" si="111"/>
        <v>1501493.5</v>
      </c>
      <c r="F215" s="164">
        <f t="shared" si="111"/>
        <v>485501.00000000006</v>
      </c>
      <c r="G215" s="164">
        <f t="shared" si="111"/>
        <v>1015992.5</v>
      </c>
      <c r="H215" s="164">
        <f t="shared" si="111"/>
        <v>1101933.1</v>
      </c>
      <c r="I215" s="164">
        <f t="shared" si="111"/>
        <v>2603426.5999999996</v>
      </c>
      <c r="J215" s="164">
        <f t="shared" si="111"/>
        <v>1477185.4</v>
      </c>
      <c r="K215" s="164">
        <f t="shared" si="111"/>
        <v>2832522</v>
      </c>
      <c r="L215" s="162" t="e">
        <f>K215/#REF!*100</f>
        <v>#REF!</v>
      </c>
      <c r="M215" s="162">
        <f>K215/H215*100</f>
        <v>257.05026920418305</v>
      </c>
      <c r="N215" s="163"/>
      <c r="O215" s="173" t="e">
        <f>J215+#REF!+#REF!</f>
        <v>#REF!</v>
      </c>
      <c r="P215" s="170">
        <f t="shared" si="108"/>
        <v>191.75128592524678</v>
      </c>
      <c r="Q215" s="162">
        <f t="shared" si="103"/>
        <v>108.79976412624809</v>
      </c>
      <c r="R215" s="164">
        <f t="shared" si="107"/>
        <v>69.4141484025962</v>
      </c>
    </row>
  </sheetData>
  <sheetProtection/>
  <mergeCells count="42">
    <mergeCell ref="A121:P121"/>
    <mergeCell ref="A135:M135"/>
    <mergeCell ref="A195:M195"/>
    <mergeCell ref="A196:R196"/>
    <mergeCell ref="A151:M151"/>
    <mergeCell ref="A152:P152"/>
    <mergeCell ref="A166:M166"/>
    <mergeCell ref="A167:P167"/>
    <mergeCell ref="A181:M181"/>
    <mergeCell ref="A182:P182"/>
    <mergeCell ref="A74:M74"/>
    <mergeCell ref="A75:P75"/>
    <mergeCell ref="A92:P92"/>
    <mergeCell ref="A105:M105"/>
    <mergeCell ref="A106:P106"/>
    <mergeCell ref="A120:M120"/>
    <mergeCell ref="E4:E6"/>
    <mergeCell ref="F4:F6"/>
    <mergeCell ref="C42:M42"/>
    <mergeCell ref="A43:P43"/>
    <mergeCell ref="A58:M58"/>
    <mergeCell ref="A59:P59"/>
    <mergeCell ref="N4:N6"/>
    <mergeCell ref="P4:P6"/>
    <mergeCell ref="A136:P136"/>
    <mergeCell ref="A91:M91"/>
    <mergeCell ref="L4:L6"/>
    <mergeCell ref="G4:G6"/>
    <mergeCell ref="A7:P7"/>
    <mergeCell ref="A28:M28"/>
    <mergeCell ref="A29:P29"/>
    <mergeCell ref="D4:D6"/>
    <mergeCell ref="A1:R1"/>
    <mergeCell ref="A2:M2"/>
    <mergeCell ref="R4:R6"/>
    <mergeCell ref="Q4:Q6"/>
    <mergeCell ref="H4:H6"/>
    <mergeCell ref="I4:I6"/>
    <mergeCell ref="J4:J6"/>
    <mergeCell ref="K4:K6"/>
    <mergeCell ref="O4:O6"/>
    <mergeCell ref="M4:M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zoomScalePageLayoutView="0" workbookViewId="0" topLeftCell="A112">
      <selection activeCell="A1" sqref="A1:K132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56" t="s">
        <v>322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57" t="s">
        <v>98</v>
      </c>
      <c r="B3" s="259" t="s">
        <v>97</v>
      </c>
      <c r="C3" s="261" t="s">
        <v>113</v>
      </c>
      <c r="D3" s="261"/>
      <c r="E3" s="261"/>
      <c r="F3" s="262" t="s">
        <v>112</v>
      </c>
      <c r="G3" s="262"/>
      <c r="H3" s="262"/>
      <c r="I3" s="250" t="s">
        <v>111</v>
      </c>
      <c r="J3" s="250"/>
      <c r="K3" s="251"/>
    </row>
    <row r="4" spans="1:11" ht="16.5" customHeight="1">
      <c r="A4" s="258"/>
      <c r="B4" s="260"/>
      <c r="C4" s="247" t="s">
        <v>78</v>
      </c>
      <c r="D4" s="247" t="s">
        <v>323</v>
      </c>
      <c r="E4" s="247" t="s">
        <v>77</v>
      </c>
      <c r="F4" s="247" t="s">
        <v>78</v>
      </c>
      <c r="G4" s="252" t="s">
        <v>323</v>
      </c>
      <c r="H4" s="252" t="s">
        <v>77</v>
      </c>
      <c r="I4" s="254" t="s">
        <v>78</v>
      </c>
      <c r="J4" s="267" t="s">
        <v>324</v>
      </c>
      <c r="K4" s="263" t="s">
        <v>77</v>
      </c>
    </row>
    <row r="5" spans="1:11" ht="31.5" customHeight="1">
      <c r="A5" s="258"/>
      <c r="B5" s="260"/>
      <c r="C5" s="248"/>
      <c r="D5" s="247"/>
      <c r="E5" s="253"/>
      <c r="F5" s="248"/>
      <c r="G5" s="252"/>
      <c r="H5" s="248"/>
      <c r="I5" s="255"/>
      <c r="J5" s="267"/>
      <c r="K5" s="264"/>
    </row>
    <row r="6" spans="1:11" ht="12.75" customHeight="1">
      <c r="A6" s="258"/>
      <c r="B6" s="265" t="s">
        <v>0</v>
      </c>
      <c r="C6" s="265"/>
      <c r="D6" s="265"/>
      <c r="E6" s="265"/>
      <c r="F6" s="265"/>
      <c r="G6" s="265"/>
      <c r="H6" s="265"/>
      <c r="I6" s="265"/>
      <c r="J6" s="265"/>
      <c r="K6" s="266"/>
    </row>
    <row r="7" spans="1:11" ht="12.75" customHeight="1">
      <c r="A7" s="258"/>
      <c r="B7" s="265"/>
      <c r="C7" s="265"/>
      <c r="D7" s="265"/>
      <c r="E7" s="265"/>
      <c r="F7" s="265"/>
      <c r="G7" s="265"/>
      <c r="H7" s="265"/>
      <c r="I7" s="265"/>
      <c r="J7" s="265"/>
      <c r="K7" s="266"/>
    </row>
    <row r="8" spans="1:11" ht="12.75" customHeight="1">
      <c r="A8" s="258"/>
      <c r="B8" s="265"/>
      <c r="C8" s="265"/>
      <c r="D8" s="265"/>
      <c r="E8" s="265"/>
      <c r="F8" s="265"/>
      <c r="G8" s="265"/>
      <c r="H8" s="265"/>
      <c r="I8" s="265"/>
      <c r="J8" s="265"/>
      <c r="K8" s="266"/>
    </row>
    <row r="9" spans="1:11" ht="15">
      <c r="A9" s="132" t="s">
        <v>1</v>
      </c>
      <c r="B9" s="133" t="s">
        <v>2</v>
      </c>
      <c r="C9" s="134">
        <f>SUM(C10:C17)</f>
        <v>249594.69999999998</v>
      </c>
      <c r="D9" s="134">
        <f>SUM(D10:D17)</f>
        <v>188641.4</v>
      </c>
      <c r="E9" s="134">
        <f>D9/C9*100</f>
        <v>75.57908881879302</v>
      </c>
      <c r="F9" s="134">
        <f>F10+F11+F12+F13+F14+F16+F17+F15</f>
        <v>188327.3</v>
      </c>
      <c r="G9" s="134">
        <f>SUM(G10:G17)</f>
        <v>135375.2</v>
      </c>
      <c r="H9" s="135">
        <f>G9/F9*100</f>
        <v>71.88293996674939</v>
      </c>
      <c r="I9" s="134">
        <f>SUM(I10:I17)</f>
        <v>437619</v>
      </c>
      <c r="J9" s="134">
        <f>SUM(J10:J17)</f>
        <v>323713.60000000003</v>
      </c>
      <c r="K9" s="136">
        <f>J9/I9*100</f>
        <v>73.97155973575188</v>
      </c>
    </row>
    <row r="10" spans="1:11" ht="30">
      <c r="A10" s="137" t="s">
        <v>3</v>
      </c>
      <c r="B10" s="138" t="s">
        <v>4</v>
      </c>
      <c r="C10" s="129">
        <v>13561.1</v>
      </c>
      <c r="D10" s="129">
        <v>11171</v>
      </c>
      <c r="E10" s="129">
        <f>D10/C10*100</f>
        <v>82.37532353570138</v>
      </c>
      <c r="F10" s="139">
        <v>37390.2</v>
      </c>
      <c r="G10" s="139">
        <v>27317.5</v>
      </c>
      <c r="H10" s="139">
        <f>G10/F10*100</f>
        <v>73.06058806853133</v>
      </c>
      <c r="I10" s="140">
        <f aca="true" t="shared" si="0" ref="I10:J83">C10+F10</f>
        <v>50951.299999999996</v>
      </c>
      <c r="J10" s="131">
        <f t="shared" si="0"/>
        <v>38488.5</v>
      </c>
      <c r="K10" s="141">
        <f aca="true" t="shared" si="1" ref="K10:K85">J10/I10*100</f>
        <v>75.5397801429993</v>
      </c>
    </row>
    <row r="11" spans="1:11" ht="30">
      <c r="A11" s="137" t="s">
        <v>5</v>
      </c>
      <c r="B11" s="138" t="s">
        <v>89</v>
      </c>
      <c r="C11" s="129">
        <v>24430.9</v>
      </c>
      <c r="D11" s="129">
        <v>18037.3</v>
      </c>
      <c r="E11" s="129">
        <f aca="true" t="shared" si="2" ref="E11:E19">D11/C11*100</f>
        <v>73.82986300136302</v>
      </c>
      <c r="F11" s="139">
        <v>0</v>
      </c>
      <c r="G11" s="139">
        <v>0</v>
      </c>
      <c r="H11" s="139">
        <v>0</v>
      </c>
      <c r="I11" s="140">
        <f t="shared" si="0"/>
        <v>24430.9</v>
      </c>
      <c r="J11" s="131">
        <f t="shared" si="0"/>
        <v>18037.3</v>
      </c>
      <c r="K11" s="141">
        <f t="shared" si="1"/>
        <v>73.82986300136302</v>
      </c>
    </row>
    <row r="12" spans="1:11" ht="30">
      <c r="A12" s="137" t="s">
        <v>6</v>
      </c>
      <c r="B12" s="138" t="s">
        <v>7</v>
      </c>
      <c r="C12" s="129">
        <v>116645.1</v>
      </c>
      <c r="D12" s="129">
        <v>91946.5</v>
      </c>
      <c r="E12" s="129">
        <f t="shared" si="2"/>
        <v>78.82585723703781</v>
      </c>
      <c r="F12" s="139">
        <v>114991.7</v>
      </c>
      <c r="G12" s="139">
        <v>85526.6</v>
      </c>
      <c r="H12" s="139">
        <f aca="true" t="shared" si="3" ref="H12:H19">G12/F12*100</f>
        <v>74.37632455211985</v>
      </c>
      <c r="I12" s="140">
        <f t="shared" si="0"/>
        <v>231636.8</v>
      </c>
      <c r="J12" s="131">
        <f t="shared" si="0"/>
        <v>177473.1</v>
      </c>
      <c r="K12" s="141">
        <f t="shared" si="1"/>
        <v>76.61697105123193</v>
      </c>
    </row>
    <row r="13" spans="1:11" ht="15">
      <c r="A13" s="137" t="s">
        <v>8</v>
      </c>
      <c r="B13" s="138" t="s">
        <v>9</v>
      </c>
      <c r="C13" s="129">
        <v>6.4</v>
      </c>
      <c r="D13" s="129">
        <v>6.4</v>
      </c>
      <c r="E13" s="129">
        <f t="shared" si="2"/>
        <v>100</v>
      </c>
      <c r="F13" s="139">
        <v>0</v>
      </c>
      <c r="G13" s="139">
        <v>0</v>
      </c>
      <c r="H13" s="139">
        <v>0</v>
      </c>
      <c r="I13" s="140">
        <f t="shared" si="0"/>
        <v>6.4</v>
      </c>
      <c r="J13" s="131">
        <f t="shared" si="0"/>
        <v>6.4</v>
      </c>
      <c r="K13" s="141"/>
    </row>
    <row r="14" spans="1:11" ht="30">
      <c r="A14" s="137" t="s">
        <v>10</v>
      </c>
      <c r="B14" s="138" t="s">
        <v>11</v>
      </c>
      <c r="C14" s="129">
        <v>28913.8</v>
      </c>
      <c r="D14" s="129">
        <v>23886.2</v>
      </c>
      <c r="E14" s="129">
        <f t="shared" si="2"/>
        <v>82.61176324108212</v>
      </c>
      <c r="F14" s="139">
        <v>267.8</v>
      </c>
      <c r="G14" s="139">
        <v>267.8</v>
      </c>
      <c r="H14" s="139">
        <f t="shared" si="3"/>
        <v>100</v>
      </c>
      <c r="I14" s="140">
        <f>C14+F14</f>
        <v>29181.6</v>
      </c>
      <c r="J14" s="131">
        <f>D14+G14</f>
        <v>24154</v>
      </c>
      <c r="K14" s="141">
        <f t="shared" si="1"/>
        <v>82.77133536200894</v>
      </c>
    </row>
    <row r="15" spans="1:11" ht="30">
      <c r="A15" s="142" t="s">
        <v>12</v>
      </c>
      <c r="B15" s="138" t="s">
        <v>169</v>
      </c>
      <c r="C15" s="129"/>
      <c r="D15" s="129"/>
      <c r="E15" s="129"/>
      <c r="F15" s="139">
        <v>170</v>
      </c>
      <c r="G15" s="139">
        <v>170</v>
      </c>
      <c r="H15" s="139">
        <f t="shared" si="3"/>
        <v>100</v>
      </c>
      <c r="I15" s="140">
        <f>C15+F15</f>
        <v>170</v>
      </c>
      <c r="J15" s="131">
        <f t="shared" si="0"/>
        <v>170</v>
      </c>
      <c r="K15" s="141">
        <f t="shared" si="1"/>
        <v>100</v>
      </c>
    </row>
    <row r="16" spans="1:11" ht="15">
      <c r="A16" s="142" t="s">
        <v>13</v>
      </c>
      <c r="B16" s="138" t="s">
        <v>14</v>
      </c>
      <c r="C16" s="129">
        <v>2505.5</v>
      </c>
      <c r="D16" s="129">
        <v>0</v>
      </c>
      <c r="E16" s="129">
        <f t="shared" si="2"/>
        <v>0</v>
      </c>
      <c r="F16" s="139">
        <v>996</v>
      </c>
      <c r="G16" s="139">
        <v>0</v>
      </c>
      <c r="H16" s="139">
        <f t="shared" si="3"/>
        <v>0</v>
      </c>
      <c r="I16" s="140">
        <f t="shared" si="0"/>
        <v>3501.5</v>
      </c>
      <c r="J16" s="131">
        <f t="shared" si="0"/>
        <v>0</v>
      </c>
      <c r="K16" s="141">
        <f t="shared" si="1"/>
        <v>0</v>
      </c>
    </row>
    <row r="17" spans="1:11" ht="15">
      <c r="A17" s="137" t="s">
        <v>80</v>
      </c>
      <c r="B17" s="138" t="s">
        <v>15</v>
      </c>
      <c r="C17" s="129">
        <v>63531.9</v>
      </c>
      <c r="D17" s="129">
        <v>43594</v>
      </c>
      <c r="E17" s="129">
        <f t="shared" si="2"/>
        <v>68.61749766652659</v>
      </c>
      <c r="F17" s="139">
        <v>34511.6</v>
      </c>
      <c r="G17" s="139">
        <v>22093.3</v>
      </c>
      <c r="H17" s="139">
        <f t="shared" si="3"/>
        <v>64.01702615932035</v>
      </c>
      <c r="I17" s="140">
        <f>C17+F17-303</f>
        <v>97740.5</v>
      </c>
      <c r="J17" s="131">
        <f>D17+G17-303</f>
        <v>65384.3</v>
      </c>
      <c r="K17" s="141">
        <f t="shared" si="1"/>
        <v>66.89581084606688</v>
      </c>
    </row>
    <row r="18" spans="1:11" ht="15">
      <c r="A18" s="132" t="s">
        <v>16</v>
      </c>
      <c r="B18" s="133" t="s">
        <v>17</v>
      </c>
      <c r="C18" s="134">
        <f aca="true" t="shared" si="4" ref="C18:J18">C19</f>
        <v>4782</v>
      </c>
      <c r="D18" s="134">
        <f t="shared" si="4"/>
        <v>4782</v>
      </c>
      <c r="E18" s="134">
        <f t="shared" si="4"/>
        <v>100</v>
      </c>
      <c r="F18" s="134">
        <f t="shared" si="4"/>
        <v>4782</v>
      </c>
      <c r="G18" s="134">
        <f t="shared" si="4"/>
        <v>2519.8</v>
      </c>
      <c r="H18" s="143">
        <f t="shared" si="4"/>
        <v>52.69343370974489</v>
      </c>
      <c r="I18" s="134">
        <f t="shared" si="4"/>
        <v>4782</v>
      </c>
      <c r="J18" s="134">
        <f t="shared" si="4"/>
        <v>2519.8</v>
      </c>
      <c r="K18" s="144">
        <f t="shared" si="1"/>
        <v>52.69343370974489</v>
      </c>
    </row>
    <row r="19" spans="1:11" ht="15">
      <c r="A19" s="137" t="s">
        <v>18</v>
      </c>
      <c r="B19" s="138" t="s">
        <v>19</v>
      </c>
      <c r="C19" s="129">
        <v>4782</v>
      </c>
      <c r="D19" s="129">
        <v>4782</v>
      </c>
      <c r="E19" s="129">
        <f t="shared" si="2"/>
        <v>100</v>
      </c>
      <c r="F19" s="139">
        <v>4782</v>
      </c>
      <c r="G19" s="130">
        <v>2519.8</v>
      </c>
      <c r="H19" s="139">
        <f t="shared" si="3"/>
        <v>52.69343370974489</v>
      </c>
      <c r="I19" s="140">
        <f>C19+F19-4782</f>
        <v>4782</v>
      </c>
      <c r="J19" s="131">
        <f>D19+G19-4782</f>
        <v>2519.8</v>
      </c>
      <c r="K19" s="141">
        <f t="shared" si="1"/>
        <v>52.69343370974489</v>
      </c>
    </row>
    <row r="20" spans="1:11" ht="12.75" customHeight="1">
      <c r="A20" s="268" t="s">
        <v>20</v>
      </c>
      <c r="B20" s="269" t="s">
        <v>291</v>
      </c>
      <c r="C20" s="249">
        <f>C23+C24+C22</f>
        <v>46849.5</v>
      </c>
      <c r="D20" s="249">
        <f>D23+D24+D22</f>
        <v>28507.600000000002</v>
      </c>
      <c r="E20" s="249">
        <f>D20/C20*100</f>
        <v>60.84931536088967</v>
      </c>
      <c r="F20" s="249">
        <f>F23+F24+F22</f>
        <v>8501.4</v>
      </c>
      <c r="G20" s="249">
        <f>G23+G24+G22</f>
        <v>4964.299999999999</v>
      </c>
      <c r="H20" s="249">
        <f>G20/F20*100</f>
        <v>58.39391159103206</v>
      </c>
      <c r="I20" s="249">
        <f>I23+I24+I22</f>
        <v>53727.899999999994</v>
      </c>
      <c r="J20" s="249">
        <f>SUM(J22:J24)</f>
        <v>32310.9</v>
      </c>
      <c r="K20" s="249">
        <f>J20/I20*100</f>
        <v>60.138028845348515</v>
      </c>
    </row>
    <row r="21" spans="1:11" ht="12.75" customHeight="1">
      <c r="A21" s="268"/>
      <c r="B21" s="269"/>
      <c r="C21" s="249"/>
      <c r="D21" s="249"/>
      <c r="E21" s="249"/>
      <c r="F21" s="249"/>
      <c r="G21" s="249"/>
      <c r="H21" s="249"/>
      <c r="I21" s="249"/>
      <c r="J21" s="249"/>
      <c r="K21" s="249"/>
    </row>
    <row r="22" spans="1:11" ht="15">
      <c r="A22" s="142" t="s">
        <v>116</v>
      </c>
      <c r="B22" s="138" t="s">
        <v>241</v>
      </c>
      <c r="C22" s="129">
        <v>5428.2</v>
      </c>
      <c r="D22" s="129">
        <v>3498.8</v>
      </c>
      <c r="E22" s="129">
        <f aca="true" t="shared" si="5" ref="E22:E103">D22/C22*100</f>
        <v>64.45598909399065</v>
      </c>
      <c r="F22" s="139">
        <v>761</v>
      </c>
      <c r="G22" s="139">
        <v>325.9</v>
      </c>
      <c r="H22" s="139">
        <f>G22/F22*100</f>
        <v>42.825229960578184</v>
      </c>
      <c r="I22" s="140">
        <f>C22+F22-761</f>
        <v>5428.2</v>
      </c>
      <c r="J22" s="131">
        <f>D22+G22-761</f>
        <v>3063.7000000000003</v>
      </c>
      <c r="K22" s="141">
        <f>J22/I22*100</f>
        <v>56.4404406617295</v>
      </c>
    </row>
    <row r="23" spans="1:11" ht="30">
      <c r="A23" s="137" t="s">
        <v>21</v>
      </c>
      <c r="B23" s="138" t="s">
        <v>117</v>
      </c>
      <c r="C23" s="129">
        <v>10792.5</v>
      </c>
      <c r="D23" s="129">
        <v>9512.6</v>
      </c>
      <c r="E23" s="129">
        <f t="shared" si="5"/>
        <v>88.14083854528609</v>
      </c>
      <c r="F23" s="139">
        <v>7641</v>
      </c>
      <c r="G23" s="139">
        <v>4638.4</v>
      </c>
      <c r="H23" s="139">
        <f>G23/F23*100</f>
        <v>60.70409632247088</v>
      </c>
      <c r="I23" s="140">
        <f>C23+F23-762.6</f>
        <v>17670.9</v>
      </c>
      <c r="J23" s="131">
        <f>D23+G23-400</f>
        <v>13751</v>
      </c>
      <c r="K23" s="141">
        <f>J23/I23*100</f>
        <v>77.81720229303544</v>
      </c>
    </row>
    <row r="24" spans="1:11" ht="30">
      <c r="A24" s="142" t="s">
        <v>107</v>
      </c>
      <c r="B24" s="138" t="s">
        <v>108</v>
      </c>
      <c r="C24" s="129">
        <v>30628.8</v>
      </c>
      <c r="D24" s="129">
        <v>15496.2</v>
      </c>
      <c r="E24" s="129">
        <f t="shared" si="5"/>
        <v>50.59355900329102</v>
      </c>
      <c r="F24" s="139">
        <v>99.4</v>
      </c>
      <c r="G24" s="139">
        <v>0</v>
      </c>
      <c r="H24" s="139">
        <v>0</v>
      </c>
      <c r="I24" s="140">
        <f>C24+F24-99.4</f>
        <v>30628.8</v>
      </c>
      <c r="J24" s="131">
        <f>D24+G24</f>
        <v>15496.2</v>
      </c>
      <c r="K24" s="141">
        <f>J24/I24*100</f>
        <v>50.59355900329102</v>
      </c>
    </row>
    <row r="25" spans="1:11" ht="15">
      <c r="A25" s="132" t="s">
        <v>22</v>
      </c>
      <c r="B25" s="133" t="s">
        <v>23</v>
      </c>
      <c r="C25" s="134">
        <f>SUM(C26:C47)</f>
        <v>202687.89999999997</v>
      </c>
      <c r="D25" s="134">
        <f>SUM(D26:D47)</f>
        <v>119858.60000000003</v>
      </c>
      <c r="E25" s="134">
        <f>D25/C25*100</f>
        <v>59.134561066546176</v>
      </c>
      <c r="F25" s="134">
        <f>SUM(F26:F46)</f>
        <v>75810.4</v>
      </c>
      <c r="G25" s="134">
        <f>SUM(G26:G46)</f>
        <v>44887.7</v>
      </c>
      <c r="H25" s="135">
        <f>G25/F25*100</f>
        <v>59.21047771809672</v>
      </c>
      <c r="I25" s="134">
        <f>SUM(I26:I47)</f>
        <v>253035.4</v>
      </c>
      <c r="J25" s="134">
        <f>SUM(J26:J47)</f>
        <v>148499.10000000006</v>
      </c>
      <c r="K25" s="136">
        <f t="shared" si="1"/>
        <v>58.687084890098404</v>
      </c>
    </row>
    <row r="26" spans="1:11" ht="45">
      <c r="A26" s="142" t="s">
        <v>24</v>
      </c>
      <c r="B26" s="145" t="s">
        <v>242</v>
      </c>
      <c r="C26" s="129">
        <v>12878.2</v>
      </c>
      <c r="D26" s="129">
        <v>10280.1</v>
      </c>
      <c r="E26" s="129">
        <f t="shared" si="5"/>
        <v>79.82559674488671</v>
      </c>
      <c r="F26" s="129">
        <v>10861.3</v>
      </c>
      <c r="G26" s="139">
        <v>10218.9</v>
      </c>
      <c r="H26" s="139">
        <f>G26/F26*100</f>
        <v>94.08542255531106</v>
      </c>
      <c r="I26" s="140">
        <f>C26+F26-8708.9</f>
        <v>15030.6</v>
      </c>
      <c r="J26" s="140">
        <f>D26+G26-8708.9</f>
        <v>11790.1</v>
      </c>
      <c r="K26" s="141">
        <f t="shared" si="1"/>
        <v>78.44064774526632</v>
      </c>
    </row>
    <row r="27" spans="1:11" ht="15">
      <c r="A27" s="137" t="s">
        <v>25</v>
      </c>
      <c r="B27" s="138" t="s">
        <v>26</v>
      </c>
      <c r="C27" s="129">
        <v>45565.2</v>
      </c>
      <c r="D27" s="129">
        <v>28697.7</v>
      </c>
      <c r="E27" s="129">
        <f t="shared" si="5"/>
        <v>62.98161755023571</v>
      </c>
      <c r="F27" s="139">
        <v>0</v>
      </c>
      <c r="G27" s="139">
        <v>0</v>
      </c>
      <c r="H27" s="139">
        <v>0</v>
      </c>
      <c r="I27" s="140">
        <f t="shared" si="0"/>
        <v>45565.2</v>
      </c>
      <c r="J27" s="131">
        <f t="shared" si="0"/>
        <v>28697.7</v>
      </c>
      <c r="K27" s="141">
        <f t="shared" si="1"/>
        <v>62.98161755023571</v>
      </c>
    </row>
    <row r="28" spans="1:11" ht="15">
      <c r="A28" s="137" t="s">
        <v>27</v>
      </c>
      <c r="B28" s="138" t="s">
        <v>243</v>
      </c>
      <c r="C28" s="129">
        <v>9650</v>
      </c>
      <c r="D28" s="129">
        <v>7817</v>
      </c>
      <c r="E28" s="129">
        <f t="shared" si="5"/>
        <v>81.00518134715026</v>
      </c>
      <c r="F28" s="139">
        <v>0</v>
      </c>
      <c r="G28" s="139">
        <v>0</v>
      </c>
      <c r="H28" s="139">
        <v>0</v>
      </c>
      <c r="I28" s="140">
        <f t="shared" si="0"/>
        <v>9650</v>
      </c>
      <c r="J28" s="131">
        <f t="shared" si="0"/>
        <v>7817</v>
      </c>
      <c r="K28" s="141">
        <f t="shared" si="1"/>
        <v>81.00518134715026</v>
      </c>
    </row>
    <row r="29" spans="1:11" ht="15">
      <c r="A29" s="137" t="s">
        <v>27</v>
      </c>
      <c r="B29" s="138" t="s">
        <v>244</v>
      </c>
      <c r="C29" s="129">
        <v>16896</v>
      </c>
      <c r="D29" s="129">
        <v>15488</v>
      </c>
      <c r="E29" s="129">
        <f t="shared" si="5"/>
        <v>91.66666666666666</v>
      </c>
      <c r="F29" s="139">
        <v>12392</v>
      </c>
      <c r="G29" s="139">
        <v>8143.4</v>
      </c>
      <c r="H29" s="139">
        <f>G29/F29*100</f>
        <v>65.71497740477727</v>
      </c>
      <c r="I29" s="140">
        <f t="shared" si="0"/>
        <v>29288</v>
      </c>
      <c r="J29" s="131">
        <f t="shared" si="0"/>
        <v>23631.4</v>
      </c>
      <c r="K29" s="141">
        <f t="shared" si="1"/>
        <v>80.68628789948103</v>
      </c>
    </row>
    <row r="30" spans="1:11" ht="15">
      <c r="A30" s="137" t="s">
        <v>27</v>
      </c>
      <c r="B30" s="138" t="s">
        <v>245</v>
      </c>
      <c r="C30" s="129">
        <v>9831</v>
      </c>
      <c r="D30" s="129">
        <v>8832.6</v>
      </c>
      <c r="E30" s="129">
        <f t="shared" si="5"/>
        <v>89.84436985047299</v>
      </c>
      <c r="F30" s="139">
        <v>0</v>
      </c>
      <c r="G30" s="139">
        <v>0</v>
      </c>
      <c r="H30" s="139">
        <v>0</v>
      </c>
      <c r="I30" s="140">
        <f t="shared" si="0"/>
        <v>9831</v>
      </c>
      <c r="J30" s="131">
        <f t="shared" si="0"/>
        <v>8832.6</v>
      </c>
      <c r="K30" s="141">
        <f t="shared" si="1"/>
        <v>89.84436985047299</v>
      </c>
    </row>
    <row r="31" spans="1:11" ht="60">
      <c r="A31" s="137" t="s">
        <v>74</v>
      </c>
      <c r="B31" s="148" t="s">
        <v>246</v>
      </c>
      <c r="C31" s="129">
        <v>1963</v>
      </c>
      <c r="D31" s="129">
        <v>780.1</v>
      </c>
      <c r="E31" s="129">
        <f t="shared" si="5"/>
        <v>39.74019358125319</v>
      </c>
      <c r="F31" s="139">
        <v>0</v>
      </c>
      <c r="G31" s="139">
        <v>0</v>
      </c>
      <c r="H31" s="139">
        <v>0</v>
      </c>
      <c r="I31" s="140">
        <f t="shared" si="0"/>
        <v>1963</v>
      </c>
      <c r="J31" s="131">
        <f t="shared" si="0"/>
        <v>780.1</v>
      </c>
      <c r="K31" s="141">
        <f t="shared" si="1"/>
        <v>39.74019358125319</v>
      </c>
    </row>
    <row r="32" spans="1:11" ht="60">
      <c r="A32" s="142" t="s">
        <v>74</v>
      </c>
      <c r="B32" s="148" t="s">
        <v>292</v>
      </c>
      <c r="C32" s="129">
        <v>62164.1</v>
      </c>
      <c r="D32" s="129">
        <v>18365.9</v>
      </c>
      <c r="E32" s="129">
        <f t="shared" si="5"/>
        <v>29.54422246923868</v>
      </c>
      <c r="F32" s="139">
        <v>14254</v>
      </c>
      <c r="G32" s="139">
        <v>3951</v>
      </c>
      <c r="H32" s="139">
        <f aca="true" t="shared" si="6" ref="H32:H37">G32/F32*100</f>
        <v>27.71853514802862</v>
      </c>
      <c r="I32" s="140">
        <f>C32+F32-14254</f>
        <v>62164.100000000006</v>
      </c>
      <c r="J32" s="131">
        <f>D32+G32-5038.3</f>
        <v>17278.600000000002</v>
      </c>
      <c r="K32" s="141">
        <f>J32/I32*100</f>
        <v>27.79514221230582</v>
      </c>
    </row>
    <row r="33" spans="1:11" ht="60">
      <c r="A33" s="142" t="s">
        <v>74</v>
      </c>
      <c r="B33" s="148" t="s">
        <v>293</v>
      </c>
      <c r="C33" s="129">
        <v>3343.9</v>
      </c>
      <c r="D33" s="129">
        <v>701.5</v>
      </c>
      <c r="E33" s="129">
        <f t="shared" si="5"/>
        <v>20.978498160830167</v>
      </c>
      <c r="F33" s="139">
        <v>3183.3</v>
      </c>
      <c r="G33" s="139">
        <v>1205.1</v>
      </c>
      <c r="H33" s="139">
        <f t="shared" si="6"/>
        <v>37.85694091037602</v>
      </c>
      <c r="I33" s="140">
        <f>C33+F33</f>
        <v>6527.200000000001</v>
      </c>
      <c r="J33" s="131">
        <f>D33+G33</f>
        <v>1906.6</v>
      </c>
      <c r="K33" s="141">
        <f>J33/I33*100</f>
        <v>29.21007476406422</v>
      </c>
    </row>
    <row r="34" spans="1:11" ht="105">
      <c r="A34" s="142" t="s">
        <v>74</v>
      </c>
      <c r="B34" s="138" t="s">
        <v>294</v>
      </c>
      <c r="C34" s="146">
        <v>2500</v>
      </c>
      <c r="D34" s="129">
        <v>2500</v>
      </c>
      <c r="E34" s="129">
        <f t="shared" si="5"/>
        <v>100</v>
      </c>
      <c r="F34" s="139">
        <v>2500</v>
      </c>
      <c r="G34" s="139">
        <v>2500</v>
      </c>
      <c r="H34" s="139">
        <f t="shared" si="6"/>
        <v>100</v>
      </c>
      <c r="I34" s="140">
        <f>C34+F34-2500</f>
        <v>2500</v>
      </c>
      <c r="J34" s="131">
        <f>D34+G34-2500</f>
        <v>2500</v>
      </c>
      <c r="K34" s="141">
        <f>J34/I34*100</f>
        <v>100</v>
      </c>
    </row>
    <row r="35" spans="1:11" ht="30">
      <c r="A35" s="142" t="s">
        <v>74</v>
      </c>
      <c r="B35" s="138" t="s">
        <v>247</v>
      </c>
      <c r="C35" s="129"/>
      <c r="D35" s="129"/>
      <c r="E35" s="129"/>
      <c r="F35" s="139">
        <v>28829.4</v>
      </c>
      <c r="G35" s="139">
        <v>16276.3</v>
      </c>
      <c r="H35" s="139">
        <f t="shared" si="6"/>
        <v>56.45729706480191</v>
      </c>
      <c r="I35" s="140">
        <f>C35+F35</f>
        <v>28829.4</v>
      </c>
      <c r="J35" s="131">
        <f>D35+G35</f>
        <v>16276.3</v>
      </c>
      <c r="K35" s="141">
        <f>J35/I35*100</f>
        <v>56.45729706480191</v>
      </c>
    </row>
    <row r="36" spans="1:11" ht="15">
      <c r="A36" s="137" t="s">
        <v>67</v>
      </c>
      <c r="B36" s="138" t="s">
        <v>68</v>
      </c>
      <c r="C36" s="129">
        <v>5478.3</v>
      </c>
      <c r="D36" s="129">
        <v>4137.3</v>
      </c>
      <c r="E36" s="129">
        <f t="shared" si="5"/>
        <v>75.52160341711846</v>
      </c>
      <c r="F36" s="139">
        <v>3290.4</v>
      </c>
      <c r="G36" s="139">
        <v>2489.7</v>
      </c>
      <c r="H36" s="139">
        <f t="shared" si="6"/>
        <v>75.66557257476293</v>
      </c>
      <c r="I36" s="140">
        <f t="shared" si="0"/>
        <v>8768.7</v>
      </c>
      <c r="J36" s="131">
        <f t="shared" si="0"/>
        <v>6627</v>
      </c>
      <c r="K36" s="141">
        <f t="shared" si="1"/>
        <v>75.57562694584146</v>
      </c>
    </row>
    <row r="37" spans="1:11" ht="30">
      <c r="A37" s="137" t="s">
        <v>28</v>
      </c>
      <c r="B37" s="138" t="s">
        <v>295</v>
      </c>
      <c r="C37" s="146">
        <v>0</v>
      </c>
      <c r="D37" s="129">
        <v>0</v>
      </c>
      <c r="E37" s="146">
        <v>0</v>
      </c>
      <c r="F37" s="139">
        <v>500</v>
      </c>
      <c r="G37" s="139">
        <v>103.3</v>
      </c>
      <c r="H37" s="139">
        <f t="shared" si="6"/>
        <v>20.66</v>
      </c>
      <c r="I37" s="140">
        <f t="shared" si="0"/>
        <v>500</v>
      </c>
      <c r="J37" s="131">
        <f t="shared" si="0"/>
        <v>103.3</v>
      </c>
      <c r="K37" s="141">
        <f t="shared" si="1"/>
        <v>20.66</v>
      </c>
    </row>
    <row r="38" spans="1:11" ht="60">
      <c r="A38" s="137" t="s">
        <v>28</v>
      </c>
      <c r="B38" s="148" t="s">
        <v>296</v>
      </c>
      <c r="C38" s="146">
        <v>4532</v>
      </c>
      <c r="D38" s="146">
        <v>3253.9</v>
      </c>
      <c r="E38" s="146">
        <f t="shared" si="5"/>
        <v>71.79832303618711</v>
      </c>
      <c r="F38" s="139">
        <v>0</v>
      </c>
      <c r="G38" s="139">
        <v>0</v>
      </c>
      <c r="H38" s="139">
        <v>0</v>
      </c>
      <c r="I38" s="140">
        <f t="shared" si="0"/>
        <v>4532</v>
      </c>
      <c r="J38" s="131">
        <f t="shared" si="0"/>
        <v>3253.9</v>
      </c>
      <c r="K38" s="141">
        <f t="shared" si="1"/>
        <v>71.79832303618711</v>
      </c>
    </row>
    <row r="39" spans="1:11" ht="60">
      <c r="A39" s="137" t="s">
        <v>28</v>
      </c>
      <c r="B39" s="148" t="s">
        <v>248</v>
      </c>
      <c r="C39" s="146">
        <v>4500</v>
      </c>
      <c r="D39" s="147">
        <v>4105.1</v>
      </c>
      <c r="E39" s="146">
        <f t="shared" si="5"/>
        <v>91.22444444444446</v>
      </c>
      <c r="F39" s="139">
        <v>0</v>
      </c>
      <c r="G39" s="139">
        <v>0</v>
      </c>
      <c r="H39" s="139">
        <v>0</v>
      </c>
      <c r="I39" s="140">
        <f t="shared" si="0"/>
        <v>4500</v>
      </c>
      <c r="J39" s="131">
        <f t="shared" si="0"/>
        <v>4105.1</v>
      </c>
      <c r="K39" s="141">
        <f t="shared" si="1"/>
        <v>91.22444444444446</v>
      </c>
    </row>
    <row r="40" spans="1:11" ht="75">
      <c r="A40" s="142" t="s">
        <v>28</v>
      </c>
      <c r="B40" s="148" t="s">
        <v>280</v>
      </c>
      <c r="C40" s="146">
        <v>13799.8</v>
      </c>
      <c r="D40" s="147">
        <v>9729.6</v>
      </c>
      <c r="E40" s="146">
        <f t="shared" si="5"/>
        <v>70.5053696430383</v>
      </c>
      <c r="F40" s="139"/>
      <c r="G40" s="139"/>
      <c r="H40" s="139"/>
      <c r="I40" s="140">
        <f t="shared" si="0"/>
        <v>13799.8</v>
      </c>
      <c r="J40" s="131">
        <f t="shared" si="0"/>
        <v>9729.6</v>
      </c>
      <c r="K40" s="141">
        <f t="shared" si="1"/>
        <v>70.5053696430383</v>
      </c>
    </row>
    <row r="41" spans="1:11" ht="45">
      <c r="A41" s="142" t="s">
        <v>28</v>
      </c>
      <c r="B41" s="148" t="s">
        <v>249</v>
      </c>
      <c r="C41" s="146">
        <v>1416.8</v>
      </c>
      <c r="D41" s="147">
        <v>731.6</v>
      </c>
      <c r="E41" s="146">
        <f t="shared" si="5"/>
        <v>51.63749294184077</v>
      </c>
      <c r="F41" s="139">
        <v>0</v>
      </c>
      <c r="G41" s="139">
        <v>0</v>
      </c>
      <c r="H41" s="139">
        <v>0</v>
      </c>
      <c r="I41" s="140">
        <f t="shared" si="0"/>
        <v>1416.8</v>
      </c>
      <c r="J41" s="131">
        <f t="shared" si="0"/>
        <v>731.6</v>
      </c>
      <c r="K41" s="141">
        <f t="shared" si="1"/>
        <v>51.63749294184077</v>
      </c>
    </row>
    <row r="42" spans="1:11" ht="90">
      <c r="A42" s="142" t="s">
        <v>28</v>
      </c>
      <c r="B42" s="148" t="s">
        <v>302</v>
      </c>
      <c r="C42" s="146">
        <v>703</v>
      </c>
      <c r="D42" s="147">
        <v>703</v>
      </c>
      <c r="E42" s="146">
        <f t="shared" si="5"/>
        <v>100</v>
      </c>
      <c r="F42" s="139">
        <v>0</v>
      </c>
      <c r="G42" s="139">
        <v>0</v>
      </c>
      <c r="H42" s="139"/>
      <c r="I42" s="140">
        <f t="shared" si="0"/>
        <v>703</v>
      </c>
      <c r="J42" s="131">
        <f t="shared" si="0"/>
        <v>703</v>
      </c>
      <c r="K42" s="141">
        <f t="shared" si="1"/>
        <v>100</v>
      </c>
    </row>
    <row r="43" spans="1:11" ht="105">
      <c r="A43" s="142" t="s">
        <v>28</v>
      </c>
      <c r="B43" s="148" t="s">
        <v>303</v>
      </c>
      <c r="C43" s="146">
        <v>61</v>
      </c>
      <c r="D43" s="147">
        <v>61</v>
      </c>
      <c r="E43" s="146">
        <f t="shared" si="5"/>
        <v>100</v>
      </c>
      <c r="F43" s="139"/>
      <c r="G43" s="139"/>
      <c r="H43" s="139"/>
      <c r="I43" s="140">
        <f t="shared" si="0"/>
        <v>61</v>
      </c>
      <c r="J43" s="131">
        <f t="shared" si="0"/>
        <v>61</v>
      </c>
      <c r="K43" s="141">
        <f t="shared" si="1"/>
        <v>100</v>
      </c>
    </row>
    <row r="44" spans="1:11" ht="75">
      <c r="A44" s="142" t="s">
        <v>28</v>
      </c>
      <c r="B44" s="148" t="s">
        <v>250</v>
      </c>
      <c r="C44" s="146">
        <v>5547.5</v>
      </c>
      <c r="D44" s="147">
        <v>2814.9</v>
      </c>
      <c r="E44" s="146">
        <f t="shared" si="5"/>
        <v>50.741775574583144</v>
      </c>
      <c r="F44" s="139"/>
      <c r="G44" s="139"/>
      <c r="H44" s="139"/>
      <c r="I44" s="140">
        <f t="shared" si="0"/>
        <v>5547.5</v>
      </c>
      <c r="J44" s="131">
        <f t="shared" si="0"/>
        <v>2814.9</v>
      </c>
      <c r="K44" s="141">
        <f t="shared" si="1"/>
        <v>50.741775574583144</v>
      </c>
    </row>
    <row r="45" spans="1:11" ht="60">
      <c r="A45" s="142" t="s">
        <v>28</v>
      </c>
      <c r="B45" s="148" t="s">
        <v>304</v>
      </c>
      <c r="C45" s="146">
        <v>245.1</v>
      </c>
      <c r="D45" s="147">
        <v>245.1</v>
      </c>
      <c r="E45" s="146">
        <f t="shared" si="5"/>
        <v>100</v>
      </c>
      <c r="F45" s="139"/>
      <c r="G45" s="139"/>
      <c r="H45" s="139"/>
      <c r="I45" s="140">
        <f t="shared" si="0"/>
        <v>245.1</v>
      </c>
      <c r="J45" s="131">
        <f t="shared" si="0"/>
        <v>245.1</v>
      </c>
      <c r="K45" s="141">
        <f t="shared" si="1"/>
        <v>100</v>
      </c>
    </row>
    <row r="46" spans="1:11" ht="75">
      <c r="A46" s="142" t="s">
        <v>28</v>
      </c>
      <c r="B46" s="148" t="s">
        <v>281</v>
      </c>
      <c r="C46" s="146">
        <v>1013</v>
      </c>
      <c r="D46" s="147">
        <v>614.2</v>
      </c>
      <c r="E46" s="146">
        <f t="shared" si="5"/>
        <v>60.63178677196447</v>
      </c>
      <c r="F46" s="139"/>
      <c r="G46" s="139"/>
      <c r="H46" s="139"/>
      <c r="I46" s="140">
        <f t="shared" si="0"/>
        <v>1013</v>
      </c>
      <c r="J46" s="131">
        <f t="shared" si="0"/>
        <v>614.2</v>
      </c>
      <c r="K46" s="141">
        <f t="shared" si="1"/>
        <v>60.63178677196447</v>
      </c>
    </row>
    <row r="47" spans="1:11" ht="60">
      <c r="A47" s="142" t="s">
        <v>28</v>
      </c>
      <c r="B47" s="148" t="s">
        <v>309</v>
      </c>
      <c r="C47" s="146">
        <v>600</v>
      </c>
      <c r="D47" s="139">
        <v>0</v>
      </c>
      <c r="E47" s="146">
        <f t="shared" si="5"/>
        <v>0</v>
      </c>
      <c r="F47" s="139"/>
      <c r="G47" s="139"/>
      <c r="H47" s="139"/>
      <c r="I47" s="140">
        <f t="shared" si="0"/>
        <v>600</v>
      </c>
      <c r="J47" s="131">
        <f t="shared" si="0"/>
        <v>0</v>
      </c>
      <c r="K47" s="141">
        <f t="shared" si="1"/>
        <v>0</v>
      </c>
    </row>
    <row r="48" spans="1:11" ht="14.25">
      <c r="A48" s="132" t="s">
        <v>29</v>
      </c>
      <c r="B48" s="133" t="s">
        <v>30</v>
      </c>
      <c r="C48" s="161">
        <f>SUM(C49:C74)</f>
        <v>456293.05000000005</v>
      </c>
      <c r="D48" s="161">
        <f>SUM(D49:D74)</f>
        <v>308632.20000000007</v>
      </c>
      <c r="E48" s="134">
        <f t="shared" si="5"/>
        <v>67.6390315390515</v>
      </c>
      <c r="F48" s="149">
        <f>SUM(F49:F74)</f>
        <v>104494.1</v>
      </c>
      <c r="G48" s="149">
        <f>SUM(G49:G74)</f>
        <v>61153.19999999999</v>
      </c>
      <c r="H48" s="149">
        <f>G48/F48*100</f>
        <v>58.52311278818612</v>
      </c>
      <c r="I48" s="161">
        <f>SUM(I49:I74)</f>
        <v>547202.5500000002</v>
      </c>
      <c r="J48" s="161">
        <f>SUM(J49:J74)</f>
        <v>363473.5</v>
      </c>
      <c r="K48" s="136">
        <f t="shared" si="1"/>
        <v>66.42394118960154</v>
      </c>
    </row>
    <row r="49" spans="1:11" ht="15">
      <c r="A49" s="150" t="s">
        <v>31</v>
      </c>
      <c r="B49" s="151" t="s">
        <v>251</v>
      </c>
      <c r="C49" s="146">
        <v>1921.3</v>
      </c>
      <c r="D49" s="129">
        <v>1120.7</v>
      </c>
      <c r="E49" s="146">
        <f t="shared" si="5"/>
        <v>58.330297194607816</v>
      </c>
      <c r="F49" s="139">
        <v>35594.4</v>
      </c>
      <c r="G49" s="139">
        <v>17201.5</v>
      </c>
      <c r="H49" s="139">
        <f>G49/F49*100</f>
        <v>48.3264221338188</v>
      </c>
      <c r="I49" s="140">
        <f t="shared" si="0"/>
        <v>37515.700000000004</v>
      </c>
      <c r="J49" s="131">
        <f t="shared" si="0"/>
        <v>18322.2</v>
      </c>
      <c r="K49" s="141">
        <f t="shared" si="1"/>
        <v>48.83875284214342</v>
      </c>
    </row>
    <row r="50" spans="1:11" ht="90">
      <c r="A50" s="137" t="s">
        <v>31</v>
      </c>
      <c r="B50" s="138" t="s">
        <v>252</v>
      </c>
      <c r="C50" s="146">
        <v>265814.5</v>
      </c>
      <c r="D50" s="129">
        <v>218449.5</v>
      </c>
      <c r="E50" s="146">
        <f t="shared" si="5"/>
        <v>82.18118274210022</v>
      </c>
      <c r="F50" s="139">
        <v>0</v>
      </c>
      <c r="G50" s="139">
        <v>0</v>
      </c>
      <c r="H50" s="139">
        <v>0</v>
      </c>
      <c r="I50" s="140">
        <f t="shared" si="0"/>
        <v>265814.5</v>
      </c>
      <c r="J50" s="131">
        <f t="shared" si="0"/>
        <v>218449.5</v>
      </c>
      <c r="K50" s="141">
        <f t="shared" si="1"/>
        <v>82.18118274210022</v>
      </c>
    </row>
    <row r="51" spans="1:11" ht="120">
      <c r="A51" s="137" t="s">
        <v>31</v>
      </c>
      <c r="B51" s="138" t="s">
        <v>310</v>
      </c>
      <c r="C51" s="146">
        <v>2666.8</v>
      </c>
      <c r="D51" s="129">
        <v>0</v>
      </c>
      <c r="E51" s="146">
        <f t="shared" si="5"/>
        <v>0</v>
      </c>
      <c r="F51" s="139"/>
      <c r="G51" s="139"/>
      <c r="H51" s="139"/>
      <c r="I51" s="140">
        <f t="shared" si="0"/>
        <v>2666.8</v>
      </c>
      <c r="J51" s="131">
        <f t="shared" si="0"/>
        <v>0</v>
      </c>
      <c r="K51" s="141">
        <f t="shared" si="1"/>
        <v>0</v>
      </c>
    </row>
    <row r="52" spans="1:11" ht="75">
      <c r="A52" s="142" t="s">
        <v>31</v>
      </c>
      <c r="B52" s="138" t="s">
        <v>253</v>
      </c>
      <c r="C52" s="146">
        <v>2050</v>
      </c>
      <c r="D52" s="129">
        <v>2050</v>
      </c>
      <c r="E52" s="146">
        <f t="shared" si="5"/>
        <v>100</v>
      </c>
      <c r="F52" s="139">
        <v>2157.4</v>
      </c>
      <c r="G52" s="139">
        <v>919.6</v>
      </c>
      <c r="H52" s="139">
        <f>G52/F52*100</f>
        <v>42.62538240474645</v>
      </c>
      <c r="I52" s="140">
        <f>C52+F52-2050</f>
        <v>2157.3999999999996</v>
      </c>
      <c r="J52" s="131">
        <f>D52+G52-2050</f>
        <v>919.5999999999999</v>
      </c>
      <c r="K52" s="141">
        <f t="shared" si="1"/>
        <v>42.62538240474646</v>
      </c>
    </row>
    <row r="53" spans="1:11" ht="40.5" customHeight="1">
      <c r="A53" s="137" t="s">
        <v>32</v>
      </c>
      <c r="B53" s="138" t="s">
        <v>282</v>
      </c>
      <c r="C53" s="146">
        <v>5040.4</v>
      </c>
      <c r="D53" s="129">
        <v>4094.9</v>
      </c>
      <c r="E53" s="146">
        <f t="shared" si="5"/>
        <v>81.24156812951354</v>
      </c>
      <c r="F53" s="139"/>
      <c r="G53" s="139"/>
      <c r="H53" s="139"/>
      <c r="I53" s="140">
        <f t="shared" si="0"/>
        <v>5040.4</v>
      </c>
      <c r="J53" s="131">
        <f t="shared" si="0"/>
        <v>4094.9</v>
      </c>
      <c r="K53" s="141">
        <f t="shared" si="1"/>
        <v>81.24156812951354</v>
      </c>
    </row>
    <row r="54" spans="1:11" ht="135">
      <c r="A54" s="137" t="s">
        <v>32</v>
      </c>
      <c r="B54" s="138" t="s">
        <v>283</v>
      </c>
      <c r="C54" s="146">
        <v>10545.4</v>
      </c>
      <c r="D54" s="160">
        <v>7855.4</v>
      </c>
      <c r="E54" s="146">
        <f t="shared" si="5"/>
        <v>74.49124736852087</v>
      </c>
      <c r="F54" s="139"/>
      <c r="G54" s="139"/>
      <c r="H54" s="139"/>
      <c r="I54" s="140">
        <f t="shared" si="0"/>
        <v>10545.4</v>
      </c>
      <c r="J54" s="131">
        <f t="shared" si="0"/>
        <v>7855.4</v>
      </c>
      <c r="K54" s="141">
        <f t="shared" si="1"/>
        <v>74.49124736852087</v>
      </c>
    </row>
    <row r="55" spans="1:11" ht="135">
      <c r="A55" s="137" t="s">
        <v>32</v>
      </c>
      <c r="B55" s="138" t="s">
        <v>297</v>
      </c>
      <c r="C55" s="146">
        <v>9131.1</v>
      </c>
      <c r="D55" s="160">
        <v>3572.7</v>
      </c>
      <c r="E55" s="146">
        <f>D55/C55*100</f>
        <v>39.12672076748694</v>
      </c>
      <c r="F55" s="139"/>
      <c r="G55" s="139"/>
      <c r="H55" s="139"/>
      <c r="I55" s="140">
        <f>C55+F55</f>
        <v>9131.1</v>
      </c>
      <c r="J55" s="131">
        <f>D55+G55</f>
        <v>3572.7</v>
      </c>
      <c r="K55" s="141">
        <f>J55/I55*100</f>
        <v>39.12672076748694</v>
      </c>
    </row>
    <row r="56" spans="1:11" ht="135">
      <c r="A56" s="137" t="s">
        <v>32</v>
      </c>
      <c r="B56" s="138" t="s">
        <v>284</v>
      </c>
      <c r="C56" s="146">
        <v>3928.5</v>
      </c>
      <c r="D56" s="160">
        <v>2381.8</v>
      </c>
      <c r="E56" s="146">
        <f>D56/C56*100</f>
        <v>60.62873870434008</v>
      </c>
      <c r="F56" s="139"/>
      <c r="G56" s="139"/>
      <c r="H56" s="139"/>
      <c r="I56" s="140">
        <f>C56+F56</f>
        <v>3928.5</v>
      </c>
      <c r="J56" s="131">
        <f>D56+G56</f>
        <v>2381.8</v>
      </c>
      <c r="K56" s="141">
        <f>J56/I56*100</f>
        <v>60.62873870434008</v>
      </c>
    </row>
    <row r="57" spans="1:11" ht="135">
      <c r="A57" s="137" t="s">
        <v>32</v>
      </c>
      <c r="B57" s="138" t="s">
        <v>311</v>
      </c>
      <c r="C57" s="146">
        <v>38951.6</v>
      </c>
      <c r="D57" s="160">
        <v>3940.1</v>
      </c>
      <c r="E57" s="146">
        <f t="shared" si="5"/>
        <v>10.115373951262592</v>
      </c>
      <c r="F57" s="139"/>
      <c r="G57" s="139"/>
      <c r="H57" s="139">
        <v>0</v>
      </c>
      <c r="I57" s="140">
        <f t="shared" si="0"/>
        <v>38951.6</v>
      </c>
      <c r="J57" s="131">
        <f t="shared" si="0"/>
        <v>3940.1</v>
      </c>
      <c r="K57" s="141">
        <f t="shared" si="1"/>
        <v>10.115373951262592</v>
      </c>
    </row>
    <row r="58" spans="1:11" ht="120">
      <c r="A58" s="137" t="s">
        <v>32</v>
      </c>
      <c r="B58" s="138" t="s">
        <v>305</v>
      </c>
      <c r="C58" s="146">
        <v>3142.75</v>
      </c>
      <c r="D58" s="160">
        <v>1002.7</v>
      </c>
      <c r="E58" s="146">
        <f t="shared" si="5"/>
        <v>31.905178585633603</v>
      </c>
      <c r="F58" s="139"/>
      <c r="G58" s="139"/>
      <c r="H58" s="139"/>
      <c r="I58" s="140">
        <f t="shared" si="0"/>
        <v>3142.75</v>
      </c>
      <c r="J58" s="131">
        <f t="shared" si="0"/>
        <v>1002.7</v>
      </c>
      <c r="K58" s="141">
        <f t="shared" si="1"/>
        <v>31.905178585633603</v>
      </c>
    </row>
    <row r="59" spans="1:11" ht="105">
      <c r="A59" s="137" t="s">
        <v>32</v>
      </c>
      <c r="B59" s="148" t="s">
        <v>306</v>
      </c>
      <c r="C59" s="146">
        <v>28417.1</v>
      </c>
      <c r="D59" s="129">
        <v>10939.5</v>
      </c>
      <c r="E59" s="146">
        <f t="shared" si="5"/>
        <v>38.49618715491729</v>
      </c>
      <c r="F59" s="139"/>
      <c r="G59" s="139"/>
      <c r="H59" s="139">
        <v>0</v>
      </c>
      <c r="I59" s="140">
        <f t="shared" si="0"/>
        <v>28417.1</v>
      </c>
      <c r="J59" s="131">
        <f t="shared" si="0"/>
        <v>10939.5</v>
      </c>
      <c r="K59" s="141">
        <f t="shared" si="1"/>
        <v>38.49618715491729</v>
      </c>
    </row>
    <row r="60" spans="1:11" ht="120">
      <c r="A60" s="142" t="s">
        <v>32</v>
      </c>
      <c r="B60" s="148" t="s">
        <v>285</v>
      </c>
      <c r="C60" s="146">
        <v>33079.4</v>
      </c>
      <c r="D60" s="160">
        <v>19347</v>
      </c>
      <c r="E60" s="146">
        <f t="shared" si="5"/>
        <v>58.48655054202918</v>
      </c>
      <c r="F60" s="139"/>
      <c r="G60" s="139"/>
      <c r="H60" s="139">
        <v>0</v>
      </c>
      <c r="I60" s="140">
        <f t="shared" si="0"/>
        <v>33079.4</v>
      </c>
      <c r="J60" s="131">
        <f t="shared" si="0"/>
        <v>19347</v>
      </c>
      <c r="K60" s="141">
        <f t="shared" si="1"/>
        <v>58.48655054202918</v>
      </c>
    </row>
    <row r="61" spans="1:11" ht="120">
      <c r="A61" s="142" t="s">
        <v>32</v>
      </c>
      <c r="B61" s="148" t="s">
        <v>286</v>
      </c>
      <c r="C61" s="146">
        <v>12928.9</v>
      </c>
      <c r="D61" s="160">
        <v>6412.8</v>
      </c>
      <c r="E61" s="146">
        <f t="shared" si="5"/>
        <v>49.600507390419914</v>
      </c>
      <c r="F61" s="139"/>
      <c r="G61" s="139"/>
      <c r="H61" s="139"/>
      <c r="I61" s="140">
        <f t="shared" si="0"/>
        <v>12928.9</v>
      </c>
      <c r="J61" s="131">
        <f t="shared" si="0"/>
        <v>6412.8</v>
      </c>
      <c r="K61" s="141">
        <f t="shared" si="1"/>
        <v>49.600507390419914</v>
      </c>
    </row>
    <row r="62" spans="1:11" ht="120">
      <c r="A62" s="142" t="s">
        <v>32</v>
      </c>
      <c r="B62" s="148" t="s">
        <v>312</v>
      </c>
      <c r="C62" s="146">
        <v>2697.8</v>
      </c>
      <c r="D62" s="160">
        <v>2597.8</v>
      </c>
      <c r="E62" s="146">
        <f t="shared" si="5"/>
        <v>96.29327600266883</v>
      </c>
      <c r="F62" s="139"/>
      <c r="G62" s="139"/>
      <c r="H62" s="139"/>
      <c r="I62" s="140">
        <f t="shared" si="0"/>
        <v>2697.8</v>
      </c>
      <c r="J62" s="131">
        <f t="shared" si="0"/>
        <v>2597.8</v>
      </c>
      <c r="K62" s="141">
        <f t="shared" si="1"/>
        <v>96.29327600266883</v>
      </c>
    </row>
    <row r="63" spans="1:11" ht="120">
      <c r="A63" s="142" t="s">
        <v>32</v>
      </c>
      <c r="B63" s="148" t="s">
        <v>313</v>
      </c>
      <c r="C63" s="146">
        <v>5200</v>
      </c>
      <c r="D63" s="160">
        <v>752</v>
      </c>
      <c r="E63" s="146">
        <f t="shared" si="5"/>
        <v>14.461538461538462</v>
      </c>
      <c r="F63" s="139">
        <v>4394.8</v>
      </c>
      <c r="G63" s="139">
        <v>791.6</v>
      </c>
      <c r="H63" s="139">
        <f>G63/F63*100</f>
        <v>18.01219623191044</v>
      </c>
      <c r="I63" s="140">
        <f>C63+F63-5200</f>
        <v>4394.799999999999</v>
      </c>
      <c r="J63" s="131">
        <f>D63+G63-752</f>
        <v>791.5999999999999</v>
      </c>
      <c r="K63" s="141">
        <f t="shared" si="1"/>
        <v>18.01219623191044</v>
      </c>
    </row>
    <row r="64" spans="1:11" ht="105">
      <c r="A64" s="142" t="s">
        <v>32</v>
      </c>
      <c r="B64" s="148" t="s">
        <v>325</v>
      </c>
      <c r="C64" s="146">
        <v>300.9</v>
      </c>
      <c r="D64" s="160"/>
      <c r="E64" s="146"/>
      <c r="F64" s="139"/>
      <c r="G64" s="139"/>
      <c r="H64" s="139"/>
      <c r="I64" s="140">
        <f>C64+F64</f>
        <v>300.9</v>
      </c>
      <c r="J64" s="131"/>
      <c r="K64" s="141"/>
    </row>
    <row r="65" spans="1:11" ht="45">
      <c r="A65" s="142" t="s">
        <v>32</v>
      </c>
      <c r="B65" s="148" t="s">
        <v>314</v>
      </c>
      <c r="C65" s="146">
        <v>13535.4</v>
      </c>
      <c r="D65" s="160">
        <v>13520.6</v>
      </c>
      <c r="E65" s="146">
        <f t="shared" si="5"/>
        <v>99.89065709177417</v>
      </c>
      <c r="F65" s="139"/>
      <c r="G65" s="139"/>
      <c r="H65" s="139"/>
      <c r="I65" s="140">
        <f>C65+F65</f>
        <v>13535.4</v>
      </c>
      <c r="J65" s="131">
        <f>D65+G65</f>
        <v>13520.6</v>
      </c>
      <c r="K65" s="141">
        <f t="shared" si="1"/>
        <v>99.89065709177417</v>
      </c>
    </row>
    <row r="66" spans="1:11" ht="60">
      <c r="A66" s="142" t="s">
        <v>32</v>
      </c>
      <c r="B66" s="148" t="s">
        <v>287</v>
      </c>
      <c r="C66" s="129"/>
      <c r="D66" s="160"/>
      <c r="E66" s="146"/>
      <c r="F66" s="139">
        <v>5799.4</v>
      </c>
      <c r="G66" s="139">
        <v>5709.4</v>
      </c>
      <c r="H66" s="139">
        <f>G66/F66*100</f>
        <v>98.44811532227472</v>
      </c>
      <c r="I66" s="140">
        <f t="shared" si="0"/>
        <v>5799.4</v>
      </c>
      <c r="J66" s="131">
        <f>D66+G66</f>
        <v>5709.4</v>
      </c>
      <c r="K66" s="141">
        <f t="shared" si="1"/>
        <v>98.44811532227472</v>
      </c>
    </row>
    <row r="67" spans="1:11" ht="45">
      <c r="A67" s="142" t="s">
        <v>32</v>
      </c>
      <c r="B67" s="148" t="s">
        <v>315</v>
      </c>
      <c r="C67" s="129"/>
      <c r="D67" s="160"/>
      <c r="E67" s="146"/>
      <c r="F67" s="139">
        <v>657.9</v>
      </c>
      <c r="G67" s="139">
        <v>657.8</v>
      </c>
      <c r="H67" s="139">
        <f>G67/F67*100</f>
        <v>99.98480012159902</v>
      </c>
      <c r="I67" s="140">
        <f t="shared" si="0"/>
        <v>657.9</v>
      </c>
      <c r="J67" s="131">
        <f>D67+G67</f>
        <v>657.8</v>
      </c>
      <c r="K67" s="141">
        <f t="shared" si="1"/>
        <v>99.98480012159902</v>
      </c>
    </row>
    <row r="68" spans="1:11" ht="30">
      <c r="A68" s="142" t="s">
        <v>32</v>
      </c>
      <c r="B68" s="148" t="s">
        <v>288</v>
      </c>
      <c r="C68" s="129"/>
      <c r="D68" s="160"/>
      <c r="E68" s="146"/>
      <c r="F68" s="139">
        <v>15657.9</v>
      </c>
      <c r="G68" s="139">
        <v>11585</v>
      </c>
      <c r="H68" s="139">
        <f>G68/F68*100</f>
        <v>73.98821042413095</v>
      </c>
      <c r="I68" s="140">
        <f t="shared" si="0"/>
        <v>15657.9</v>
      </c>
      <c r="J68" s="131">
        <f>D68+G68</f>
        <v>11585</v>
      </c>
      <c r="K68" s="141">
        <f t="shared" si="1"/>
        <v>73.98821042413095</v>
      </c>
    </row>
    <row r="69" spans="1:11" ht="60">
      <c r="A69" s="142" t="s">
        <v>33</v>
      </c>
      <c r="B69" s="148" t="s">
        <v>254</v>
      </c>
      <c r="C69" s="129">
        <v>11344</v>
      </c>
      <c r="D69" s="160">
        <v>6551.9</v>
      </c>
      <c r="E69" s="146">
        <f>D69/C69*100</f>
        <v>57.75652327221439</v>
      </c>
      <c r="F69" s="139">
        <v>1324.6</v>
      </c>
      <c r="G69" s="139"/>
      <c r="H69" s="139"/>
      <c r="I69" s="140">
        <f>C69+F69-1324.6</f>
        <v>11344</v>
      </c>
      <c r="J69" s="131">
        <f>D69+G69</f>
        <v>6551.9</v>
      </c>
      <c r="K69" s="141">
        <f t="shared" si="1"/>
        <v>57.75652327221439</v>
      </c>
    </row>
    <row r="70" spans="1:11" ht="45">
      <c r="A70" s="142" t="s">
        <v>33</v>
      </c>
      <c r="B70" s="148" t="s">
        <v>255</v>
      </c>
      <c r="C70" s="129">
        <v>3153.8</v>
      </c>
      <c r="D70" s="160">
        <v>3153.7</v>
      </c>
      <c r="E70" s="146">
        <f>D70/C70*100</f>
        <v>99.99682922189103</v>
      </c>
      <c r="F70" s="139">
        <v>3153.8</v>
      </c>
      <c r="G70" s="139">
        <v>2743.7</v>
      </c>
      <c r="H70" s="139">
        <f>G70/F70*100</f>
        <v>86.9966389752045</v>
      </c>
      <c r="I70" s="140">
        <f>C70+F70-3153.8</f>
        <v>3153.8</v>
      </c>
      <c r="J70" s="131">
        <f>D70+G70-3153.7</f>
        <v>2743.7</v>
      </c>
      <c r="K70" s="141">
        <f t="shared" si="1"/>
        <v>86.9966389752045</v>
      </c>
    </row>
    <row r="71" spans="1:11" ht="150">
      <c r="A71" s="137" t="s">
        <v>33</v>
      </c>
      <c r="B71" s="138" t="s">
        <v>316</v>
      </c>
      <c r="C71" s="129"/>
      <c r="D71" s="129">
        <v>0</v>
      </c>
      <c r="E71" s="146">
        <v>0</v>
      </c>
      <c r="F71" s="129">
        <v>1919.2</v>
      </c>
      <c r="G71" s="139">
        <v>1547.5</v>
      </c>
      <c r="H71" s="139">
        <f>G71/F71*100</f>
        <v>80.63255523134639</v>
      </c>
      <c r="I71" s="140">
        <f t="shared" si="0"/>
        <v>1919.2</v>
      </c>
      <c r="J71" s="131">
        <f t="shared" si="0"/>
        <v>1547.5</v>
      </c>
      <c r="K71" s="141">
        <f t="shared" si="1"/>
        <v>80.63255523134639</v>
      </c>
    </row>
    <row r="72" spans="1:11" ht="75">
      <c r="A72" s="142" t="s">
        <v>33</v>
      </c>
      <c r="B72" s="138" t="s">
        <v>256</v>
      </c>
      <c r="C72" s="129">
        <v>1500</v>
      </c>
      <c r="D72" s="129">
        <v>0</v>
      </c>
      <c r="E72" s="146">
        <f t="shared" si="5"/>
        <v>0</v>
      </c>
      <c r="F72" s="129">
        <v>1500</v>
      </c>
      <c r="G72" s="139">
        <v>0</v>
      </c>
      <c r="H72" s="139">
        <f>G72/F72*100</f>
        <v>0</v>
      </c>
      <c r="I72" s="140">
        <f>C72+F72-1500</f>
        <v>1500</v>
      </c>
      <c r="J72" s="131">
        <f>D72+G72</f>
        <v>0</v>
      </c>
      <c r="K72" s="141">
        <f t="shared" si="1"/>
        <v>0</v>
      </c>
    </row>
    <row r="73" spans="1:11" ht="15">
      <c r="A73" s="137" t="s">
        <v>33</v>
      </c>
      <c r="B73" s="138" t="s">
        <v>257</v>
      </c>
      <c r="C73" s="129">
        <v>532.9</v>
      </c>
      <c r="D73" s="129">
        <v>532.9</v>
      </c>
      <c r="E73" s="146">
        <f>D73/C73*100</f>
        <v>100</v>
      </c>
      <c r="F73" s="129">
        <v>31978.5</v>
      </c>
      <c r="G73" s="139">
        <v>19873.9</v>
      </c>
      <c r="H73" s="139">
        <f>G73/F73*100</f>
        <v>62.14769298122176</v>
      </c>
      <c r="I73" s="140">
        <f>C73+F73</f>
        <v>32511.4</v>
      </c>
      <c r="J73" s="131">
        <f>D73+G73</f>
        <v>20406.800000000003</v>
      </c>
      <c r="K73" s="141">
        <f t="shared" si="1"/>
        <v>62.76813671512147</v>
      </c>
    </row>
    <row r="74" spans="1:11" ht="30">
      <c r="A74" s="142" t="s">
        <v>138</v>
      </c>
      <c r="B74" s="138" t="s">
        <v>139</v>
      </c>
      <c r="C74" s="129">
        <v>410.5</v>
      </c>
      <c r="D74" s="129">
        <v>356.2</v>
      </c>
      <c r="E74" s="146">
        <v>0</v>
      </c>
      <c r="F74" s="129">
        <v>356.2</v>
      </c>
      <c r="G74" s="139">
        <v>123.2</v>
      </c>
      <c r="H74" s="139">
        <f>G74/F74*100</f>
        <v>34.58731049971926</v>
      </c>
      <c r="I74" s="140">
        <f>C74+F74-356.2</f>
        <v>410.50000000000006</v>
      </c>
      <c r="J74" s="131">
        <f>D74+G74-356.2</f>
        <v>123.19999999999999</v>
      </c>
      <c r="K74" s="141">
        <f t="shared" si="1"/>
        <v>30.01218026796589</v>
      </c>
    </row>
    <row r="75" spans="1:11" ht="15">
      <c r="A75" s="152" t="s">
        <v>34</v>
      </c>
      <c r="B75" s="153" t="s">
        <v>35</v>
      </c>
      <c r="C75" s="149">
        <f aca="true" t="shared" si="7" ref="C75:H75">C76</f>
        <v>0</v>
      </c>
      <c r="D75" s="149">
        <f t="shared" si="7"/>
        <v>0</v>
      </c>
      <c r="E75" s="134">
        <v>0</v>
      </c>
      <c r="F75" s="149">
        <f t="shared" si="7"/>
        <v>0</v>
      </c>
      <c r="G75" s="149">
        <f t="shared" si="7"/>
        <v>0</v>
      </c>
      <c r="H75" s="135">
        <f t="shared" si="7"/>
        <v>0</v>
      </c>
      <c r="I75" s="149">
        <f t="shared" si="0"/>
        <v>0</v>
      </c>
      <c r="J75" s="149">
        <f t="shared" si="0"/>
        <v>0</v>
      </c>
      <c r="K75" s="136">
        <v>0</v>
      </c>
    </row>
    <row r="76" spans="1:11" ht="30">
      <c r="A76" s="142" t="s">
        <v>36</v>
      </c>
      <c r="B76" s="154" t="s">
        <v>37</v>
      </c>
      <c r="C76" s="147">
        <v>0</v>
      </c>
      <c r="D76" s="139">
        <v>0</v>
      </c>
      <c r="E76" s="129">
        <v>0</v>
      </c>
      <c r="F76" s="139">
        <v>0</v>
      </c>
      <c r="G76" s="139">
        <v>0</v>
      </c>
      <c r="H76" s="139">
        <v>0</v>
      </c>
      <c r="I76" s="140">
        <f t="shared" si="0"/>
        <v>0</v>
      </c>
      <c r="J76" s="131">
        <f t="shared" si="0"/>
        <v>0</v>
      </c>
      <c r="K76" s="141">
        <v>0</v>
      </c>
    </row>
    <row r="77" spans="1:11" ht="15">
      <c r="A77" s="132" t="s">
        <v>38</v>
      </c>
      <c r="B77" s="133" t="s">
        <v>39</v>
      </c>
      <c r="C77" s="134">
        <f>SUM(C78:C83)</f>
        <v>2485653.6</v>
      </c>
      <c r="D77" s="134">
        <f>SUM(D78:D83)</f>
        <v>1511395.5000000002</v>
      </c>
      <c r="E77" s="134">
        <f>D77/C77*100</f>
        <v>60.804751716007424</v>
      </c>
      <c r="F77" s="149">
        <f>F78+F79+F80+F82+F83</f>
        <v>0</v>
      </c>
      <c r="G77" s="149">
        <f>SUM(G78:G83)</f>
        <v>0</v>
      </c>
      <c r="H77" s="135">
        <v>0</v>
      </c>
      <c r="I77" s="134">
        <f>SUM(I78:I83)</f>
        <v>2485653.6</v>
      </c>
      <c r="J77" s="134">
        <f>SUM(J78:J83)</f>
        <v>1511395.5000000002</v>
      </c>
      <c r="K77" s="136">
        <f t="shared" si="1"/>
        <v>60.804751716007424</v>
      </c>
    </row>
    <row r="78" spans="1:11" ht="15">
      <c r="A78" s="137" t="s">
        <v>40</v>
      </c>
      <c r="B78" s="138" t="s">
        <v>41</v>
      </c>
      <c r="C78" s="129">
        <v>531793.2</v>
      </c>
      <c r="D78" s="129">
        <v>288452.7</v>
      </c>
      <c r="E78" s="129">
        <f t="shared" si="5"/>
        <v>54.2415171912691</v>
      </c>
      <c r="F78" s="139">
        <v>0</v>
      </c>
      <c r="G78" s="139">
        <v>0</v>
      </c>
      <c r="H78" s="139">
        <v>0</v>
      </c>
      <c r="I78" s="140">
        <f t="shared" si="0"/>
        <v>531793.2</v>
      </c>
      <c r="J78" s="131">
        <f t="shared" si="0"/>
        <v>288452.7</v>
      </c>
      <c r="K78" s="141">
        <f t="shared" si="1"/>
        <v>54.2415171912691</v>
      </c>
    </row>
    <row r="79" spans="1:11" ht="15">
      <c r="A79" s="137" t="s">
        <v>42</v>
      </c>
      <c r="B79" s="138" t="s">
        <v>43</v>
      </c>
      <c r="C79" s="129">
        <f>1877891.2-C80-C81</f>
        <v>1100050.6</v>
      </c>
      <c r="D79" s="129">
        <f>1164509.4-D80-D81</f>
        <v>702870.1999999998</v>
      </c>
      <c r="E79" s="129">
        <f t="shared" si="5"/>
        <v>63.894351768909516</v>
      </c>
      <c r="F79" s="139">
        <v>0</v>
      </c>
      <c r="G79" s="139">
        <v>0</v>
      </c>
      <c r="H79" s="139">
        <v>0</v>
      </c>
      <c r="I79" s="140">
        <f t="shared" si="0"/>
        <v>1100050.6</v>
      </c>
      <c r="J79" s="131">
        <f t="shared" si="0"/>
        <v>702870.1999999998</v>
      </c>
      <c r="K79" s="141">
        <f t="shared" si="1"/>
        <v>63.894351768909516</v>
      </c>
    </row>
    <row r="80" spans="1:11" ht="15">
      <c r="A80" s="137" t="s">
        <v>42</v>
      </c>
      <c r="B80" s="138" t="s">
        <v>258</v>
      </c>
      <c r="C80" s="129">
        <v>43771</v>
      </c>
      <c r="D80" s="129">
        <v>21619.3</v>
      </c>
      <c r="E80" s="129">
        <f t="shared" si="5"/>
        <v>49.39183477645016</v>
      </c>
      <c r="F80" s="139">
        <v>0</v>
      </c>
      <c r="G80" s="139">
        <v>0</v>
      </c>
      <c r="H80" s="139">
        <v>0</v>
      </c>
      <c r="I80" s="140">
        <f t="shared" si="0"/>
        <v>43771</v>
      </c>
      <c r="J80" s="131">
        <f t="shared" si="0"/>
        <v>21619.3</v>
      </c>
      <c r="K80" s="141">
        <f t="shared" si="1"/>
        <v>49.39183477645016</v>
      </c>
    </row>
    <row r="81" spans="1:11" ht="105">
      <c r="A81" s="137" t="s">
        <v>42</v>
      </c>
      <c r="B81" s="138" t="s">
        <v>259</v>
      </c>
      <c r="C81" s="129">
        <v>734069.6</v>
      </c>
      <c r="D81" s="129">
        <v>440019.9</v>
      </c>
      <c r="E81" s="129">
        <f t="shared" si="5"/>
        <v>59.94253133490341</v>
      </c>
      <c r="F81" s="139">
        <v>0</v>
      </c>
      <c r="G81" s="139">
        <v>0</v>
      </c>
      <c r="H81" s="139">
        <v>0</v>
      </c>
      <c r="I81" s="140">
        <f t="shared" si="0"/>
        <v>734069.6</v>
      </c>
      <c r="J81" s="131">
        <f t="shared" si="0"/>
        <v>440019.9</v>
      </c>
      <c r="K81" s="141">
        <f t="shared" si="1"/>
        <v>59.94253133490341</v>
      </c>
    </row>
    <row r="82" spans="1:11" ht="15">
      <c r="A82" s="137" t="s">
        <v>44</v>
      </c>
      <c r="B82" s="138" t="s">
        <v>45</v>
      </c>
      <c r="C82" s="129">
        <v>22095.1</v>
      </c>
      <c r="D82" s="129">
        <v>19364.8</v>
      </c>
      <c r="E82" s="129">
        <f t="shared" si="5"/>
        <v>87.6429615616132</v>
      </c>
      <c r="F82" s="139">
        <v>0</v>
      </c>
      <c r="G82" s="139">
        <v>0</v>
      </c>
      <c r="H82" s="139">
        <v>0</v>
      </c>
      <c r="I82" s="140">
        <f t="shared" si="0"/>
        <v>22095.1</v>
      </c>
      <c r="J82" s="131">
        <f t="shared" si="0"/>
        <v>19364.8</v>
      </c>
      <c r="K82" s="141">
        <f t="shared" si="1"/>
        <v>87.6429615616132</v>
      </c>
    </row>
    <row r="83" spans="1:11" ht="15">
      <c r="A83" s="137" t="s">
        <v>46</v>
      </c>
      <c r="B83" s="138" t="s">
        <v>47</v>
      </c>
      <c r="C83" s="129">
        <v>53874.1</v>
      </c>
      <c r="D83" s="129">
        <v>39068.6</v>
      </c>
      <c r="E83" s="129">
        <f t="shared" si="5"/>
        <v>72.51833441301108</v>
      </c>
      <c r="F83" s="139">
        <v>0</v>
      </c>
      <c r="G83" s="139">
        <v>0</v>
      </c>
      <c r="H83" s="139">
        <v>0</v>
      </c>
      <c r="I83" s="140">
        <f t="shared" si="0"/>
        <v>53874.1</v>
      </c>
      <c r="J83" s="131">
        <f t="shared" si="0"/>
        <v>39068.6</v>
      </c>
      <c r="K83" s="141">
        <f t="shared" si="1"/>
        <v>72.51833441301108</v>
      </c>
    </row>
    <row r="84" spans="1:11" ht="15">
      <c r="A84" s="132" t="s">
        <v>48</v>
      </c>
      <c r="B84" s="133" t="s">
        <v>49</v>
      </c>
      <c r="C84" s="134">
        <f>SUM(C85:C90)</f>
        <v>242898.4</v>
      </c>
      <c r="D84" s="134">
        <f>SUM(D85:D90)</f>
        <v>156423.69999999998</v>
      </c>
      <c r="E84" s="134">
        <f>D84/C84*100</f>
        <v>64.39881860069889</v>
      </c>
      <c r="F84" s="149">
        <f>SUM(F85:F90)</f>
        <v>93197.7</v>
      </c>
      <c r="G84" s="149">
        <f>SUM(G85:G90)</f>
        <v>55056.2</v>
      </c>
      <c r="H84" s="135">
        <f>G84/F84*100</f>
        <v>59.074633816070566</v>
      </c>
      <c r="I84" s="149">
        <f>SUM(I85:I90)</f>
        <v>334221.3</v>
      </c>
      <c r="J84" s="149">
        <f>SUM(J85:J90)</f>
        <v>209615.09999999998</v>
      </c>
      <c r="K84" s="136">
        <f t="shared" si="1"/>
        <v>62.71745696638724</v>
      </c>
    </row>
    <row r="85" spans="1:11" ht="15">
      <c r="A85" s="137" t="s">
        <v>50</v>
      </c>
      <c r="B85" s="138" t="s">
        <v>90</v>
      </c>
      <c r="C85" s="129">
        <f>234528.6-C86-C87</f>
        <v>57242.30000000002</v>
      </c>
      <c r="D85" s="129">
        <f>149731.8-D86-D87</f>
        <v>34347.69999999998</v>
      </c>
      <c r="E85" s="129">
        <f t="shared" si="5"/>
        <v>60.004052946859176</v>
      </c>
      <c r="F85" s="139">
        <f>91965.2-F87-F88</f>
        <v>90107.09999999999</v>
      </c>
      <c r="G85" s="139">
        <f>54590.1-G86-G87-G88</f>
        <v>53665.799999999996</v>
      </c>
      <c r="H85" s="139">
        <f>G85/F85*100</f>
        <v>59.55779289312385</v>
      </c>
      <c r="I85" s="140">
        <f>C85+F85-348.3</f>
        <v>147001.10000000003</v>
      </c>
      <c r="J85" s="131">
        <f>D85+G85-348.3</f>
        <v>87665.19999999997</v>
      </c>
      <c r="K85" s="141">
        <f t="shared" si="1"/>
        <v>59.63574422232211</v>
      </c>
    </row>
    <row r="86" spans="1:11" ht="75">
      <c r="A86" s="155" t="s">
        <v>50</v>
      </c>
      <c r="B86" s="156" t="s">
        <v>298</v>
      </c>
      <c r="C86" s="129">
        <v>176304.8</v>
      </c>
      <c r="D86" s="129">
        <v>114402.6</v>
      </c>
      <c r="E86" s="129">
        <f t="shared" si="5"/>
        <v>64.88910114755811</v>
      </c>
      <c r="F86" s="139">
        <v>0</v>
      </c>
      <c r="G86" s="139">
        <v>0</v>
      </c>
      <c r="H86" s="139">
        <v>0</v>
      </c>
      <c r="I86" s="140">
        <f aca="true" t="shared" si="8" ref="I86:J106">C86+F86</f>
        <v>176304.8</v>
      </c>
      <c r="J86" s="131">
        <f t="shared" si="8"/>
        <v>114402.6</v>
      </c>
      <c r="K86" s="141">
        <f>J86/I86*100</f>
        <v>64.88910114755811</v>
      </c>
    </row>
    <row r="87" spans="1:11" ht="15">
      <c r="A87" s="155" t="s">
        <v>50</v>
      </c>
      <c r="B87" s="156" t="s">
        <v>317</v>
      </c>
      <c r="C87" s="129">
        <v>981.5</v>
      </c>
      <c r="D87" s="129">
        <v>981.5</v>
      </c>
      <c r="E87" s="129">
        <f t="shared" si="5"/>
        <v>100</v>
      </c>
      <c r="F87" s="139">
        <v>1038.1</v>
      </c>
      <c r="G87" s="139">
        <v>425.3</v>
      </c>
      <c r="H87" s="139">
        <f>G87/F87*100</f>
        <v>40.96907812349485</v>
      </c>
      <c r="I87" s="140">
        <f>C87+F87-981.5</f>
        <v>1038.1</v>
      </c>
      <c r="J87" s="131">
        <f>D87+G87-981.5</f>
        <v>425.29999999999995</v>
      </c>
      <c r="K87" s="141">
        <f>J87/I87*100</f>
        <v>40.969078123494846</v>
      </c>
    </row>
    <row r="88" spans="1:11" ht="150">
      <c r="A88" s="155" t="s">
        <v>50</v>
      </c>
      <c r="B88" s="138" t="s">
        <v>289</v>
      </c>
      <c r="C88" s="129">
        <v>0</v>
      </c>
      <c r="D88" s="129">
        <v>0</v>
      </c>
      <c r="E88" s="129">
        <v>0</v>
      </c>
      <c r="F88" s="139">
        <v>820</v>
      </c>
      <c r="G88" s="139">
        <v>499</v>
      </c>
      <c r="H88" s="139">
        <f>G88/F88*100</f>
        <v>60.853658536585364</v>
      </c>
      <c r="I88" s="140">
        <f t="shared" si="8"/>
        <v>820</v>
      </c>
      <c r="J88" s="131">
        <f t="shared" si="8"/>
        <v>499</v>
      </c>
      <c r="K88" s="141">
        <v>0</v>
      </c>
    </row>
    <row r="89" spans="1:11" ht="15">
      <c r="A89" s="137" t="s">
        <v>51</v>
      </c>
      <c r="B89" s="138" t="s">
        <v>52</v>
      </c>
      <c r="C89" s="129">
        <v>350</v>
      </c>
      <c r="D89" s="129">
        <v>281</v>
      </c>
      <c r="E89" s="129">
        <f t="shared" si="5"/>
        <v>80.28571428571428</v>
      </c>
      <c r="F89" s="139">
        <v>697.5</v>
      </c>
      <c r="G89" s="139">
        <v>194.2</v>
      </c>
      <c r="H89" s="139">
        <f>G89/F89*100</f>
        <v>27.842293906810035</v>
      </c>
      <c r="I89" s="140">
        <f t="shared" si="8"/>
        <v>1047.5</v>
      </c>
      <c r="J89" s="131">
        <f t="shared" si="8"/>
        <v>475.2</v>
      </c>
      <c r="K89" s="141">
        <f aca="true" t="shared" si="9" ref="K89:K121">J89/I89*100</f>
        <v>45.36515513126492</v>
      </c>
    </row>
    <row r="90" spans="1:11" ht="30">
      <c r="A90" s="137" t="s">
        <v>53</v>
      </c>
      <c r="B90" s="138" t="s">
        <v>91</v>
      </c>
      <c r="C90" s="129">
        <v>8019.8</v>
      </c>
      <c r="D90" s="129">
        <v>6410.9</v>
      </c>
      <c r="E90" s="129">
        <f t="shared" si="5"/>
        <v>79.93840245392653</v>
      </c>
      <c r="F90" s="139">
        <v>535</v>
      </c>
      <c r="G90" s="139">
        <v>271.9</v>
      </c>
      <c r="H90" s="139">
        <f>G90/F90*100</f>
        <v>50.822429906542055</v>
      </c>
      <c r="I90" s="140">
        <f>C90+F90-545</f>
        <v>8009.799999999999</v>
      </c>
      <c r="J90" s="131">
        <f>D90+G90-535</f>
        <v>6147.799999999999</v>
      </c>
      <c r="K90" s="141">
        <f t="shared" si="9"/>
        <v>76.75347699068641</v>
      </c>
    </row>
    <row r="91" spans="1:11" ht="15">
      <c r="A91" s="132" t="s">
        <v>54</v>
      </c>
      <c r="B91" s="133" t="s">
        <v>92</v>
      </c>
      <c r="C91" s="134">
        <f>C92+C93</f>
        <v>113266.09999999999</v>
      </c>
      <c r="D91" s="134">
        <f>D92+D93</f>
        <v>113.5</v>
      </c>
      <c r="E91" s="134">
        <f>D91/C91*100</f>
        <v>0.1002065048589119</v>
      </c>
      <c r="F91" s="149">
        <v>0</v>
      </c>
      <c r="G91" s="149">
        <v>0</v>
      </c>
      <c r="H91" s="135"/>
      <c r="I91" s="149">
        <f>C91+F91</f>
        <v>113266.09999999999</v>
      </c>
      <c r="J91" s="149">
        <f t="shared" si="8"/>
        <v>113.5</v>
      </c>
      <c r="K91" s="136">
        <f t="shared" si="9"/>
        <v>0.1002065048589119</v>
      </c>
    </row>
    <row r="92" spans="1:11" ht="15">
      <c r="A92" s="142" t="s">
        <v>104</v>
      </c>
      <c r="B92" s="138" t="s">
        <v>260</v>
      </c>
      <c r="C92" s="129">
        <v>166.7</v>
      </c>
      <c r="D92" s="129">
        <v>113.5</v>
      </c>
      <c r="E92" s="129">
        <f t="shared" si="5"/>
        <v>68.08638272345532</v>
      </c>
      <c r="F92" s="140"/>
      <c r="G92" s="140"/>
      <c r="H92" s="139"/>
      <c r="I92" s="140">
        <v>166.7</v>
      </c>
      <c r="J92" s="131">
        <f t="shared" si="8"/>
        <v>113.5</v>
      </c>
      <c r="K92" s="141">
        <f t="shared" si="9"/>
        <v>68.08638272345532</v>
      </c>
    </row>
    <row r="93" spans="1:11" ht="45">
      <c r="A93" s="142" t="s">
        <v>104</v>
      </c>
      <c r="B93" s="156" t="s">
        <v>132</v>
      </c>
      <c r="C93" s="129">
        <v>113099.4</v>
      </c>
      <c r="D93" s="139">
        <v>0</v>
      </c>
      <c r="E93" s="129">
        <f t="shared" si="5"/>
        <v>0</v>
      </c>
      <c r="F93" s="139">
        <v>0</v>
      </c>
      <c r="G93" s="139">
        <v>0</v>
      </c>
      <c r="H93" s="139">
        <v>0</v>
      </c>
      <c r="I93" s="140">
        <f t="shared" si="8"/>
        <v>113099.4</v>
      </c>
      <c r="J93" s="131">
        <f t="shared" si="8"/>
        <v>0</v>
      </c>
      <c r="K93" s="141">
        <f t="shared" si="9"/>
        <v>0</v>
      </c>
    </row>
    <row r="94" spans="1:11" ht="15">
      <c r="A94" s="132">
        <v>10</v>
      </c>
      <c r="B94" s="133" t="s">
        <v>60</v>
      </c>
      <c r="C94" s="134">
        <f>SUM(C95:C108)</f>
        <v>168917.7</v>
      </c>
      <c r="D94" s="134">
        <f>SUM(D95:D108)</f>
        <v>116423.5</v>
      </c>
      <c r="E94" s="134">
        <f>D94/C94*100</f>
        <v>68.92320934987866</v>
      </c>
      <c r="F94" s="134">
        <f>SUM(F95:F106)</f>
        <v>353.6</v>
      </c>
      <c r="G94" s="134">
        <f>SUM(G95:G106)</f>
        <v>211.4</v>
      </c>
      <c r="H94" s="135">
        <f>G94/F94*100</f>
        <v>59.78506787330316</v>
      </c>
      <c r="I94" s="134">
        <f>SUM(I95:I108)</f>
        <v>169271.3</v>
      </c>
      <c r="J94" s="134">
        <f>SUM(J95:J108)</f>
        <v>116634.90000000001</v>
      </c>
      <c r="K94" s="136">
        <f t="shared" si="9"/>
        <v>68.90412019048712</v>
      </c>
    </row>
    <row r="95" spans="1:11" ht="15">
      <c r="A95" s="142">
        <v>1001</v>
      </c>
      <c r="B95" s="138" t="s">
        <v>61</v>
      </c>
      <c r="C95" s="129">
        <v>3425</v>
      </c>
      <c r="D95" s="129">
        <v>2529.8</v>
      </c>
      <c r="E95" s="129">
        <f t="shared" si="5"/>
        <v>73.86277372262774</v>
      </c>
      <c r="F95" s="139">
        <v>353.6</v>
      </c>
      <c r="G95" s="139">
        <v>211.4</v>
      </c>
      <c r="H95" s="139">
        <f>G95/F95*100</f>
        <v>59.78506787330316</v>
      </c>
      <c r="I95" s="140">
        <f t="shared" si="8"/>
        <v>3778.6</v>
      </c>
      <c r="J95" s="131">
        <f t="shared" si="8"/>
        <v>2741.2000000000003</v>
      </c>
      <c r="K95" s="141">
        <f t="shared" si="9"/>
        <v>72.5453871804372</v>
      </c>
    </row>
    <row r="96" spans="1:11" ht="60">
      <c r="A96" s="142">
        <v>1003</v>
      </c>
      <c r="B96" s="138" t="s">
        <v>261</v>
      </c>
      <c r="C96" s="146">
        <v>1414.8</v>
      </c>
      <c r="D96" s="129">
        <v>0</v>
      </c>
      <c r="E96" s="129">
        <f t="shared" si="5"/>
        <v>0</v>
      </c>
      <c r="F96" s="139">
        <v>0</v>
      </c>
      <c r="G96" s="139">
        <v>0</v>
      </c>
      <c r="H96" s="139">
        <v>0</v>
      </c>
      <c r="I96" s="140">
        <f t="shared" si="8"/>
        <v>1414.8</v>
      </c>
      <c r="J96" s="131">
        <f t="shared" si="8"/>
        <v>0</v>
      </c>
      <c r="K96" s="141">
        <f t="shared" si="9"/>
        <v>0</v>
      </c>
    </row>
    <row r="97" spans="1:11" ht="135">
      <c r="A97" s="142">
        <v>1003</v>
      </c>
      <c r="B97" s="138" t="s">
        <v>299</v>
      </c>
      <c r="C97" s="146">
        <v>90</v>
      </c>
      <c r="D97" s="129">
        <v>0</v>
      </c>
      <c r="E97" s="129">
        <f t="shared" si="5"/>
        <v>0</v>
      </c>
      <c r="F97" s="139">
        <v>0</v>
      </c>
      <c r="G97" s="139">
        <v>0</v>
      </c>
      <c r="H97" s="139">
        <v>0</v>
      </c>
      <c r="I97" s="140">
        <f t="shared" si="8"/>
        <v>90</v>
      </c>
      <c r="J97" s="131">
        <f t="shared" si="8"/>
        <v>0</v>
      </c>
      <c r="K97" s="141">
        <f t="shared" si="9"/>
        <v>0</v>
      </c>
    </row>
    <row r="98" spans="1:11" ht="150">
      <c r="A98" s="142">
        <v>1003</v>
      </c>
      <c r="B98" s="138" t="s">
        <v>318</v>
      </c>
      <c r="C98" s="146">
        <v>973.6</v>
      </c>
      <c r="D98" s="129">
        <v>115.1</v>
      </c>
      <c r="E98" s="129">
        <f t="shared" si="5"/>
        <v>11.822103533278552</v>
      </c>
      <c r="F98" s="139"/>
      <c r="G98" s="139"/>
      <c r="H98" s="139"/>
      <c r="I98" s="140">
        <f t="shared" si="8"/>
        <v>973.6</v>
      </c>
      <c r="J98" s="131">
        <f t="shared" si="8"/>
        <v>115.1</v>
      </c>
      <c r="K98" s="141">
        <f t="shared" si="9"/>
        <v>11.822103533278552</v>
      </c>
    </row>
    <row r="99" spans="1:11" ht="60">
      <c r="A99" s="142">
        <v>1003</v>
      </c>
      <c r="B99" s="138" t="s">
        <v>326</v>
      </c>
      <c r="C99" s="146">
        <v>5875.6</v>
      </c>
      <c r="D99" s="129">
        <v>5125.6</v>
      </c>
      <c r="E99" s="129">
        <f t="shared" si="5"/>
        <v>87.23534617741167</v>
      </c>
      <c r="F99" s="139">
        <v>0</v>
      </c>
      <c r="G99" s="139">
        <v>0</v>
      </c>
      <c r="H99" s="139">
        <v>0</v>
      </c>
      <c r="I99" s="140">
        <f t="shared" si="8"/>
        <v>5875.6</v>
      </c>
      <c r="J99" s="131">
        <f t="shared" si="8"/>
        <v>5125.6</v>
      </c>
      <c r="K99" s="141">
        <f t="shared" si="9"/>
        <v>87.23534617741167</v>
      </c>
    </row>
    <row r="100" spans="1:11" ht="60">
      <c r="A100" s="142" t="s">
        <v>168</v>
      </c>
      <c r="B100" s="138" t="s">
        <v>290</v>
      </c>
      <c r="C100" s="146">
        <v>7805.2</v>
      </c>
      <c r="D100" s="129">
        <v>1036.5</v>
      </c>
      <c r="E100" s="129">
        <f t="shared" si="5"/>
        <v>13.279608466150773</v>
      </c>
      <c r="F100" s="139"/>
      <c r="G100" s="139"/>
      <c r="H100" s="139"/>
      <c r="I100" s="140">
        <f t="shared" si="8"/>
        <v>7805.2</v>
      </c>
      <c r="J100" s="131">
        <f t="shared" si="8"/>
        <v>1036.5</v>
      </c>
      <c r="K100" s="141">
        <f t="shared" si="9"/>
        <v>13.279608466150773</v>
      </c>
    </row>
    <row r="101" spans="1:11" ht="165">
      <c r="A101" s="142" t="s">
        <v>168</v>
      </c>
      <c r="B101" s="138" t="s">
        <v>327</v>
      </c>
      <c r="C101" s="146">
        <v>180</v>
      </c>
      <c r="D101" s="129"/>
      <c r="E101" s="129"/>
      <c r="F101" s="139"/>
      <c r="G101" s="139"/>
      <c r="H101" s="139"/>
      <c r="I101" s="140">
        <f t="shared" si="8"/>
        <v>180</v>
      </c>
      <c r="J101" s="131"/>
      <c r="K101" s="141"/>
    </row>
    <row r="102" spans="1:11" ht="165">
      <c r="A102" s="142" t="s">
        <v>168</v>
      </c>
      <c r="B102" s="138" t="s">
        <v>319</v>
      </c>
      <c r="C102" s="146">
        <v>1529.4</v>
      </c>
      <c r="D102" s="129"/>
      <c r="E102" s="129">
        <f t="shared" si="5"/>
        <v>0</v>
      </c>
      <c r="F102" s="139"/>
      <c r="G102" s="139"/>
      <c r="H102" s="139"/>
      <c r="I102" s="140">
        <f t="shared" si="8"/>
        <v>1529.4</v>
      </c>
      <c r="J102" s="131">
        <f t="shared" si="8"/>
        <v>0</v>
      </c>
      <c r="K102" s="141">
        <f t="shared" si="9"/>
        <v>0</v>
      </c>
    </row>
    <row r="103" spans="1:11" ht="75">
      <c r="A103" s="142">
        <v>1004</v>
      </c>
      <c r="B103" s="138" t="s">
        <v>262</v>
      </c>
      <c r="C103" s="146">
        <v>16641</v>
      </c>
      <c r="D103" s="129">
        <v>9474.4</v>
      </c>
      <c r="E103" s="129">
        <f t="shared" si="5"/>
        <v>56.93407848086053</v>
      </c>
      <c r="F103" s="139">
        <v>0</v>
      </c>
      <c r="G103" s="139">
        <v>0</v>
      </c>
      <c r="H103" s="139">
        <v>0</v>
      </c>
      <c r="I103" s="140">
        <f t="shared" si="8"/>
        <v>16641</v>
      </c>
      <c r="J103" s="131">
        <f t="shared" si="8"/>
        <v>9474.4</v>
      </c>
      <c r="K103" s="141">
        <f t="shared" si="9"/>
        <v>56.93407848086053</v>
      </c>
    </row>
    <row r="104" spans="1:11" ht="45">
      <c r="A104" s="142">
        <v>1004</v>
      </c>
      <c r="B104" s="138" t="s">
        <v>263</v>
      </c>
      <c r="C104" s="146">
        <v>656</v>
      </c>
      <c r="D104" s="129">
        <v>656</v>
      </c>
      <c r="E104" s="129">
        <f aca="true" t="shared" si="10" ref="E104:E120">D104/C104*100</f>
        <v>100</v>
      </c>
      <c r="F104" s="139">
        <v>0</v>
      </c>
      <c r="G104" s="139">
        <v>0</v>
      </c>
      <c r="H104" s="139">
        <v>0</v>
      </c>
      <c r="I104" s="140">
        <f t="shared" si="8"/>
        <v>656</v>
      </c>
      <c r="J104" s="140">
        <f t="shared" si="8"/>
        <v>656</v>
      </c>
      <c r="K104" s="141">
        <f t="shared" si="9"/>
        <v>100</v>
      </c>
    </row>
    <row r="105" spans="1:11" ht="165">
      <c r="A105" s="142">
        <v>1004</v>
      </c>
      <c r="B105" s="138" t="s">
        <v>264</v>
      </c>
      <c r="C105" s="146">
        <v>82820</v>
      </c>
      <c r="D105" s="129">
        <v>78471</v>
      </c>
      <c r="E105" s="129">
        <f t="shared" si="10"/>
        <v>94.7488529340739</v>
      </c>
      <c r="F105" s="139">
        <v>0</v>
      </c>
      <c r="G105" s="139">
        <v>0</v>
      </c>
      <c r="H105" s="139">
        <v>0</v>
      </c>
      <c r="I105" s="140">
        <f t="shared" si="8"/>
        <v>82820</v>
      </c>
      <c r="J105" s="131">
        <f t="shared" si="8"/>
        <v>78471</v>
      </c>
      <c r="K105" s="141">
        <f t="shared" si="9"/>
        <v>94.7488529340739</v>
      </c>
    </row>
    <row r="106" spans="1:11" ht="39" customHeight="1">
      <c r="A106" s="142">
        <v>1004</v>
      </c>
      <c r="B106" s="138" t="s">
        <v>265</v>
      </c>
      <c r="C106" s="146">
        <v>159</v>
      </c>
      <c r="D106" s="129">
        <v>0</v>
      </c>
      <c r="E106" s="129">
        <f t="shared" si="10"/>
        <v>0</v>
      </c>
      <c r="F106" s="139">
        <v>0</v>
      </c>
      <c r="G106" s="139">
        <v>0</v>
      </c>
      <c r="H106" s="139">
        <v>0</v>
      </c>
      <c r="I106" s="140">
        <f t="shared" si="8"/>
        <v>159</v>
      </c>
      <c r="J106" s="131">
        <f t="shared" si="8"/>
        <v>0</v>
      </c>
      <c r="K106" s="141">
        <f t="shared" si="9"/>
        <v>0</v>
      </c>
    </row>
    <row r="107" spans="1:11" ht="150">
      <c r="A107" s="142" t="s">
        <v>110</v>
      </c>
      <c r="B107" s="138" t="s">
        <v>300</v>
      </c>
      <c r="C107" s="146">
        <v>32664.2</v>
      </c>
      <c r="D107" s="129">
        <v>10286.3</v>
      </c>
      <c r="E107" s="129">
        <f>D107/C107*100</f>
        <v>31.49105136510308</v>
      </c>
      <c r="F107" s="139">
        <v>0</v>
      </c>
      <c r="G107" s="139">
        <v>0</v>
      </c>
      <c r="H107" s="139">
        <v>0</v>
      </c>
      <c r="I107" s="140">
        <f>C107+F107</f>
        <v>32664.2</v>
      </c>
      <c r="J107" s="131">
        <f>D107+G107</f>
        <v>10286.3</v>
      </c>
      <c r="K107" s="141">
        <f>J107/I107*100</f>
        <v>31.49105136510308</v>
      </c>
    </row>
    <row r="108" spans="1:11" ht="13.5" customHeight="1">
      <c r="A108" s="142">
        <v>1006</v>
      </c>
      <c r="B108" s="138" t="s">
        <v>63</v>
      </c>
      <c r="C108" s="129">
        <v>14683.9</v>
      </c>
      <c r="D108" s="129">
        <v>8728.8</v>
      </c>
      <c r="E108" s="129">
        <f t="shared" si="10"/>
        <v>59.444697934472444</v>
      </c>
      <c r="F108" s="139">
        <v>0</v>
      </c>
      <c r="G108" s="139">
        <v>0</v>
      </c>
      <c r="H108" s="139">
        <v>0</v>
      </c>
      <c r="I108" s="140">
        <f>C108+F108</f>
        <v>14683.9</v>
      </c>
      <c r="J108" s="131">
        <f>D108+G108</f>
        <v>8728.8</v>
      </c>
      <c r="K108" s="141">
        <f t="shared" si="9"/>
        <v>59.444697934472444</v>
      </c>
    </row>
    <row r="109" spans="1:11" ht="15">
      <c r="A109" s="152">
        <v>1100</v>
      </c>
      <c r="B109" s="133" t="s">
        <v>59</v>
      </c>
      <c r="C109" s="134">
        <f>SUM(C110:C111)</f>
        <v>85361.4</v>
      </c>
      <c r="D109" s="134">
        <f>SUM(D110:D111)</f>
        <v>45457.9</v>
      </c>
      <c r="E109" s="134">
        <f>D109/C109*100</f>
        <v>53.25346116628828</v>
      </c>
      <c r="F109" s="149">
        <f>F110+F111</f>
        <v>20433</v>
      </c>
      <c r="G109" s="149">
        <f>G110+G111</f>
        <v>11952.2</v>
      </c>
      <c r="H109" s="135">
        <f>G109/F109*100</f>
        <v>58.49459208143689</v>
      </c>
      <c r="I109" s="149">
        <f>SUM(I110:I111)</f>
        <v>105569.4</v>
      </c>
      <c r="J109" s="149">
        <f>SUM(J110:J111)</f>
        <v>57305.1</v>
      </c>
      <c r="K109" s="136">
        <f t="shared" si="9"/>
        <v>54.281922602572344</v>
      </c>
    </row>
    <row r="110" spans="1:11" ht="15">
      <c r="A110" s="142">
        <v>1101</v>
      </c>
      <c r="B110" s="138" t="s">
        <v>83</v>
      </c>
      <c r="C110" s="129">
        <v>12123</v>
      </c>
      <c r="D110" s="129">
        <v>8116</v>
      </c>
      <c r="E110" s="129">
        <f t="shared" si="10"/>
        <v>66.9471252990184</v>
      </c>
      <c r="F110" s="139">
        <v>20365</v>
      </c>
      <c r="G110" s="139">
        <v>11915.1</v>
      </c>
      <c r="H110" s="139">
        <f>G110/F110*100</f>
        <v>58.50773385710778</v>
      </c>
      <c r="I110" s="140">
        <f>C110+F110-225</f>
        <v>32263</v>
      </c>
      <c r="J110" s="140">
        <f>D110+G110-105</f>
        <v>19926.1</v>
      </c>
      <c r="K110" s="141">
        <f t="shared" si="9"/>
        <v>61.76146049654403</v>
      </c>
    </row>
    <row r="111" spans="1:11" ht="15">
      <c r="A111" s="142">
        <v>1102</v>
      </c>
      <c r="B111" s="138" t="s">
        <v>84</v>
      </c>
      <c r="C111" s="129">
        <v>73238.4</v>
      </c>
      <c r="D111" s="129">
        <v>37341.9</v>
      </c>
      <c r="E111" s="129">
        <f t="shared" si="10"/>
        <v>50.986777428234376</v>
      </c>
      <c r="F111" s="139">
        <v>68</v>
      </c>
      <c r="G111" s="139">
        <v>37.1</v>
      </c>
      <c r="H111" s="139">
        <f>G111/F111*100</f>
        <v>54.55882352941177</v>
      </c>
      <c r="I111" s="140">
        <f>C111+F111</f>
        <v>73306.4</v>
      </c>
      <c r="J111" s="140">
        <f>D111+G111</f>
        <v>37379</v>
      </c>
      <c r="K111" s="141">
        <f t="shared" si="9"/>
        <v>50.99009090611462</v>
      </c>
    </row>
    <row r="112" spans="1:11" ht="12.75" customHeight="1">
      <c r="A112" s="152">
        <v>1200</v>
      </c>
      <c r="B112" s="133" t="s">
        <v>85</v>
      </c>
      <c r="C112" s="134">
        <f>C114+C113</f>
        <v>9403</v>
      </c>
      <c r="D112" s="134">
        <f>D114+D113</f>
        <v>7639.599999999999</v>
      </c>
      <c r="E112" s="134">
        <f>E114</f>
        <v>77.53333333333333</v>
      </c>
      <c r="F112" s="134">
        <f>F114+F113</f>
        <v>0</v>
      </c>
      <c r="G112" s="134">
        <f>G114+G113</f>
        <v>0</v>
      </c>
      <c r="H112" s="143">
        <f>H114</f>
        <v>0</v>
      </c>
      <c r="I112" s="134">
        <f aca="true" t="shared" si="11" ref="I112:J116">C112+F112</f>
        <v>9403</v>
      </c>
      <c r="J112" s="134">
        <f t="shared" si="11"/>
        <v>7639.599999999999</v>
      </c>
      <c r="K112" s="144">
        <f t="shared" si="9"/>
        <v>81.24641071998298</v>
      </c>
    </row>
    <row r="113" spans="1:11" ht="12.75" customHeight="1">
      <c r="A113" s="142" t="s">
        <v>114</v>
      </c>
      <c r="B113" s="138" t="s">
        <v>115</v>
      </c>
      <c r="C113" s="129">
        <v>3703</v>
      </c>
      <c r="D113" s="129">
        <v>3220.2</v>
      </c>
      <c r="E113" s="129">
        <f>D113/C113*100</f>
        <v>86.96192276532541</v>
      </c>
      <c r="F113" s="139">
        <v>0</v>
      </c>
      <c r="G113" s="139">
        <v>0</v>
      </c>
      <c r="H113" s="139">
        <v>0</v>
      </c>
      <c r="I113" s="140">
        <f t="shared" si="11"/>
        <v>3703</v>
      </c>
      <c r="J113" s="140">
        <f t="shared" si="11"/>
        <v>3220.2</v>
      </c>
      <c r="K113" s="141">
        <f>J113/I113*100</f>
        <v>86.96192276532541</v>
      </c>
    </row>
    <row r="114" spans="1:11" ht="15" customHeight="1">
      <c r="A114" s="142">
        <v>1202</v>
      </c>
      <c r="B114" s="138" t="s">
        <v>101</v>
      </c>
      <c r="C114" s="129">
        <v>5700</v>
      </c>
      <c r="D114" s="129">
        <v>4419.4</v>
      </c>
      <c r="E114" s="129">
        <f t="shared" si="10"/>
        <v>77.53333333333333</v>
      </c>
      <c r="F114" s="139">
        <v>0</v>
      </c>
      <c r="G114" s="139">
        <v>0</v>
      </c>
      <c r="H114" s="139">
        <v>0</v>
      </c>
      <c r="I114" s="140">
        <f t="shared" si="11"/>
        <v>5700</v>
      </c>
      <c r="J114" s="140">
        <f t="shared" si="11"/>
        <v>4419.4</v>
      </c>
      <c r="K114" s="141">
        <f t="shared" si="9"/>
        <v>77.53333333333333</v>
      </c>
    </row>
    <row r="115" spans="1:11" ht="12.75" customHeight="1">
      <c r="A115" s="152">
        <v>1300</v>
      </c>
      <c r="B115" s="133" t="s">
        <v>86</v>
      </c>
      <c r="C115" s="134">
        <f aca="true" t="shared" si="12" ref="C115:H115">C116</f>
        <v>370</v>
      </c>
      <c r="D115" s="134">
        <f t="shared" si="12"/>
        <v>93.7</v>
      </c>
      <c r="E115" s="134">
        <f t="shared" si="12"/>
        <v>25.324324324324326</v>
      </c>
      <c r="F115" s="134">
        <f t="shared" si="12"/>
        <v>0</v>
      </c>
      <c r="G115" s="134">
        <f t="shared" si="12"/>
        <v>0</v>
      </c>
      <c r="H115" s="143">
        <f t="shared" si="12"/>
        <v>0</v>
      </c>
      <c r="I115" s="134">
        <f t="shared" si="11"/>
        <v>370</v>
      </c>
      <c r="J115" s="134">
        <f t="shared" si="11"/>
        <v>93.7</v>
      </c>
      <c r="K115" s="144">
        <f t="shared" si="9"/>
        <v>25.324324324324326</v>
      </c>
    </row>
    <row r="116" spans="1:11" ht="15" customHeight="1">
      <c r="A116" s="142">
        <v>1301</v>
      </c>
      <c r="B116" s="138" t="s">
        <v>87</v>
      </c>
      <c r="C116" s="129">
        <v>370</v>
      </c>
      <c r="D116" s="129">
        <v>93.7</v>
      </c>
      <c r="E116" s="129">
        <f t="shared" si="10"/>
        <v>25.324324324324326</v>
      </c>
      <c r="F116" s="139"/>
      <c r="G116" s="139">
        <v>0</v>
      </c>
      <c r="H116" s="139">
        <v>0</v>
      </c>
      <c r="I116" s="140">
        <f t="shared" si="11"/>
        <v>370</v>
      </c>
      <c r="J116" s="140">
        <f t="shared" si="11"/>
        <v>93.7</v>
      </c>
      <c r="K116" s="141">
        <f t="shared" si="9"/>
        <v>25.324324324324326</v>
      </c>
    </row>
    <row r="117" spans="1:11" ht="12.75" customHeight="1">
      <c r="A117" s="152">
        <v>1400</v>
      </c>
      <c r="B117" s="133" t="s">
        <v>64</v>
      </c>
      <c r="C117" s="134">
        <f>SUM(C118:C120)</f>
        <v>306798.3</v>
      </c>
      <c r="D117" s="134">
        <f>SUM(D118:D120)</f>
        <v>252856.5</v>
      </c>
      <c r="E117" s="134">
        <f>D117/C117*100</f>
        <v>82.41782956424466</v>
      </c>
      <c r="F117" s="149">
        <f>F118+F119+F120</f>
        <v>16741</v>
      </c>
      <c r="G117" s="149">
        <f>SUM(G118:G120)</f>
        <v>15939.6</v>
      </c>
      <c r="H117" s="149">
        <f>G117/F117*100</f>
        <v>95.21295024192104</v>
      </c>
      <c r="I117" s="149">
        <v>0</v>
      </c>
      <c r="J117" s="149">
        <v>0</v>
      </c>
      <c r="K117" s="136">
        <v>0</v>
      </c>
    </row>
    <row r="118" spans="1:11" ht="12.75" customHeight="1">
      <c r="A118" s="142">
        <v>1401</v>
      </c>
      <c r="B118" s="138" t="s">
        <v>81</v>
      </c>
      <c r="C118" s="129">
        <v>118984.4</v>
      </c>
      <c r="D118" s="129">
        <v>95187.5</v>
      </c>
      <c r="E118" s="129">
        <f t="shared" si="10"/>
        <v>79.99998319107378</v>
      </c>
      <c r="F118" s="139">
        <v>0</v>
      </c>
      <c r="G118" s="139">
        <v>0</v>
      </c>
      <c r="H118" s="139">
        <v>0</v>
      </c>
      <c r="I118" s="140">
        <v>0</v>
      </c>
      <c r="J118" s="131">
        <v>0</v>
      </c>
      <c r="K118" s="141">
        <v>0</v>
      </c>
    </row>
    <row r="119" spans="1:11" ht="12.75" customHeight="1">
      <c r="A119" s="142">
        <v>1402</v>
      </c>
      <c r="B119" s="138" t="s">
        <v>82</v>
      </c>
      <c r="C119" s="129">
        <v>185113.9</v>
      </c>
      <c r="D119" s="129">
        <v>154969</v>
      </c>
      <c r="E119" s="129">
        <f t="shared" si="10"/>
        <v>83.71548543896488</v>
      </c>
      <c r="F119" s="139">
        <v>0</v>
      </c>
      <c r="G119" s="139">
        <v>0</v>
      </c>
      <c r="H119" s="139">
        <v>0</v>
      </c>
      <c r="I119" s="140">
        <v>0</v>
      </c>
      <c r="J119" s="131">
        <v>0</v>
      </c>
      <c r="K119" s="141">
        <v>0</v>
      </c>
    </row>
    <row r="120" spans="1:11" ht="12.75" customHeight="1">
      <c r="A120" s="142">
        <v>1403</v>
      </c>
      <c r="B120" s="138" t="s">
        <v>95</v>
      </c>
      <c r="C120" s="129">
        <v>2700</v>
      </c>
      <c r="D120" s="129">
        <v>2700</v>
      </c>
      <c r="E120" s="129">
        <f t="shared" si="10"/>
        <v>100</v>
      </c>
      <c r="F120" s="139">
        <v>16741</v>
      </c>
      <c r="G120" s="139">
        <v>15939.6</v>
      </c>
      <c r="H120" s="139">
        <f>G120/F120*100</f>
        <v>95.21295024192104</v>
      </c>
      <c r="I120" s="140">
        <v>0</v>
      </c>
      <c r="J120" s="131">
        <v>0</v>
      </c>
      <c r="K120" s="141">
        <v>0</v>
      </c>
    </row>
    <row r="121" spans="1:11" ht="12.75" customHeight="1" thickBot="1">
      <c r="A121" s="244" t="s">
        <v>65</v>
      </c>
      <c r="B121" s="245"/>
      <c r="C121" s="157">
        <f>C9+C18+C20+C25+C48+C75+C77+C84+C91+C94+C109+C112+C115+C117</f>
        <v>4372875.65</v>
      </c>
      <c r="D121" s="157">
        <f>D117+D115+D112+D109+D94+D91+D84+D77+D75+D48+D25+D20+D18+D9</f>
        <v>2740825.7000000007</v>
      </c>
      <c r="E121" s="157">
        <f>D121/C121*100</f>
        <v>62.67787880041822</v>
      </c>
      <c r="F121" s="157">
        <f>F9+F18+F20+F25+F48+F75+F77+F84+F91+F94+F109+F112+F115+F117</f>
        <v>512640.49999999994</v>
      </c>
      <c r="G121" s="157">
        <f>G117+G115+G112+G94+G91+G84+G77+G48+G25+G21+G18+G9+G20+G109</f>
        <v>332059.6</v>
      </c>
      <c r="H121" s="158">
        <f>G121/F121*100</f>
        <v>64.77435941951524</v>
      </c>
      <c r="I121" s="157">
        <f>I117+I115+I112+I109+I94+I91+I84+I77+I75+I48+I25+I20+I18+I9</f>
        <v>4514121.550000001</v>
      </c>
      <c r="J121" s="157">
        <f>J117+J115+J112+J109+J94+J91+J84+J77+J75+J48+J25+J20+J18+J9</f>
        <v>2773314.3000000003</v>
      </c>
      <c r="K121" s="159">
        <f t="shared" si="9"/>
        <v>61.436411697864</v>
      </c>
    </row>
    <row r="122" spans="1:11" ht="12.75" customHeight="1">
      <c r="A122" s="9"/>
      <c r="B122" s="5"/>
      <c r="C122" s="53"/>
      <c r="D122" s="31"/>
      <c r="E122" s="41"/>
      <c r="F122" s="21"/>
      <c r="G122" s="33"/>
      <c r="H122" s="33"/>
      <c r="I122" s="45"/>
      <c r="J122" s="45"/>
      <c r="K122" s="45"/>
    </row>
    <row r="123" spans="1:11" ht="12.75" customHeight="1">
      <c r="A123" s="10"/>
      <c r="B123" s="6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10"/>
      <c r="B124" s="6"/>
      <c r="C124" s="54"/>
      <c r="D124" s="32"/>
      <c r="E124" s="41"/>
      <c r="F124" s="21"/>
      <c r="G124" s="33"/>
      <c r="H124" s="33"/>
      <c r="I124" s="44"/>
      <c r="J124" s="44"/>
      <c r="K124" s="45"/>
    </row>
    <row r="125" spans="1:11" ht="12.75" customHeight="1">
      <c r="A125" s="242" t="s">
        <v>124</v>
      </c>
      <c r="B125" s="242"/>
      <c r="C125" s="242"/>
      <c r="D125" s="78"/>
      <c r="E125" s="79"/>
      <c r="F125" s="79"/>
      <c r="G125" s="33"/>
      <c r="H125" s="33"/>
      <c r="I125" s="45"/>
      <c r="J125" s="45"/>
      <c r="K125" s="45"/>
    </row>
    <row r="126" spans="1:11" ht="12.75" customHeight="1">
      <c r="A126" s="242" t="s">
        <v>125</v>
      </c>
      <c r="B126" s="242"/>
      <c r="C126" s="242"/>
      <c r="D126" s="80"/>
      <c r="E126" s="246" t="s">
        <v>66</v>
      </c>
      <c r="F126" s="246"/>
      <c r="G126" s="33"/>
      <c r="H126" s="33"/>
      <c r="I126" s="44"/>
      <c r="J126" s="45"/>
      <c r="K126" s="45"/>
    </row>
    <row r="127" spans="1:11" ht="12.75" customHeight="1">
      <c r="A127" s="81"/>
      <c r="B127" s="82"/>
      <c r="C127" s="83"/>
      <c r="D127" s="84"/>
      <c r="E127" s="85"/>
      <c r="F127" s="86"/>
      <c r="G127" s="33"/>
      <c r="H127" s="33"/>
      <c r="I127" s="44"/>
      <c r="J127" s="45"/>
      <c r="K127" s="45"/>
    </row>
    <row r="128" spans="1:11" ht="12.75">
      <c r="A128" s="242" t="s">
        <v>307</v>
      </c>
      <c r="B128" s="242"/>
      <c r="C128" s="242"/>
      <c r="D128" s="87"/>
      <c r="E128" s="246" t="s">
        <v>123</v>
      </c>
      <c r="F128" s="246"/>
      <c r="G128" s="33"/>
      <c r="H128" s="33"/>
      <c r="I128" s="44"/>
      <c r="J128" s="45"/>
      <c r="K128" s="45"/>
    </row>
    <row r="129" spans="1:11" ht="12.75" customHeight="1">
      <c r="A129" s="81"/>
      <c r="B129" s="88"/>
      <c r="C129" s="89"/>
      <c r="D129" s="90"/>
      <c r="E129" s="85"/>
      <c r="F129" s="86"/>
      <c r="G129" s="33"/>
      <c r="H129" s="33"/>
      <c r="I129" s="44"/>
      <c r="J129" s="45"/>
      <c r="K129" s="45"/>
    </row>
    <row r="130" spans="1:11" ht="12.75">
      <c r="A130" s="242" t="s">
        <v>154</v>
      </c>
      <c r="B130" s="242"/>
      <c r="C130" s="242"/>
      <c r="D130" s="87"/>
      <c r="E130" s="243" t="s">
        <v>308</v>
      </c>
      <c r="F130" s="243"/>
      <c r="G130" s="33"/>
      <c r="H130" s="33"/>
      <c r="I130" s="44"/>
      <c r="J130" s="45"/>
      <c r="K130" s="45"/>
    </row>
    <row r="131" spans="1:11" ht="12.75">
      <c r="A131" s="91"/>
      <c r="B131" s="92"/>
      <c r="C131" s="93"/>
      <c r="D131" s="78"/>
      <c r="E131" s="78"/>
      <c r="F131" s="79"/>
      <c r="G131" s="33"/>
      <c r="H131" s="33"/>
      <c r="I131" s="45"/>
      <c r="J131" s="45"/>
      <c r="K131" s="45"/>
    </row>
    <row r="132" spans="1:6" ht="12.75">
      <c r="A132" s="94"/>
      <c r="B132" s="94"/>
      <c r="C132" s="95" t="s">
        <v>156</v>
      </c>
      <c r="D132" s="94" t="s">
        <v>157</v>
      </c>
      <c r="E132" s="96" t="s">
        <v>158</v>
      </c>
      <c r="F132" s="94"/>
    </row>
  </sheetData>
  <sheetProtection/>
  <mergeCells count="35">
    <mergeCell ref="B6:K8"/>
    <mergeCell ref="J4:J5"/>
    <mergeCell ref="K20:K21"/>
    <mergeCell ref="A20:A21"/>
    <mergeCell ref="B20:B21"/>
    <mergeCell ref="C20:C21"/>
    <mergeCell ref="D20:D21"/>
    <mergeCell ref="I4:I5"/>
    <mergeCell ref="G20:G21"/>
    <mergeCell ref="H20:H21"/>
    <mergeCell ref="J20:J21"/>
    <mergeCell ref="A1:K1"/>
    <mergeCell ref="A3:A8"/>
    <mergeCell ref="B3:B5"/>
    <mergeCell ref="C3:E3"/>
    <mergeCell ref="F3:H3"/>
    <mergeCell ref="K4:K5"/>
    <mergeCell ref="C4:C5"/>
    <mergeCell ref="D4:D5"/>
    <mergeCell ref="E20:E21"/>
    <mergeCell ref="F20:F21"/>
    <mergeCell ref="I3:K3"/>
    <mergeCell ref="G4:G5"/>
    <mergeCell ref="E4:E5"/>
    <mergeCell ref="F4:F5"/>
    <mergeCell ref="I20:I21"/>
    <mergeCell ref="H4:H5"/>
    <mergeCell ref="A130:C130"/>
    <mergeCell ref="E130:F130"/>
    <mergeCell ref="A125:C125"/>
    <mergeCell ref="A121:B121"/>
    <mergeCell ref="A126:C126"/>
    <mergeCell ref="E126:F126"/>
    <mergeCell ref="A128:C128"/>
    <mergeCell ref="E128:F12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2014-10-27T04:33:45Z</dcterms:modified>
  <cp:category/>
  <cp:version/>
  <cp:contentType/>
  <cp:contentStatus/>
</cp:coreProperties>
</file>