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805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<sst xmlns="http://schemas.openxmlformats.org/spreadsheetml/2006/main" count="617" uniqueCount="248">
  <si>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</si>
  <si>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</si>
  <si>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</si>
  <si>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</si>
  <si>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</si>
  <si>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</si>
  <si>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</si>
  <si>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</si>
  <si>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</si>
  <si>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</si>
  <si>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</si>
  <si>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</si>
  <si>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</si>
  <si>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</si>
  <si>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</si>
  <si>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</si>
  <si>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</si>
  <si>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</si>
  <si>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</si>
  <si>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</si>
  <si>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</si>
  <si>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</si>
  <si>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</si>
  <si>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</si>
  <si>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</si>
  <si>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</si>
  <si>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</si>
  <si>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</si>
  <si>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</si>
  <si>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</si>
  <si>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</si>
  <si>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</si>
  <si>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</si>
  <si>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</si>
  <si>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</si>
  <si>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</si>
  <si>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</si>
  <si>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</si>
  <si>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</si>
  <si>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</si>
  <si>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</si>
  <si>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</si>
  <si>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</si>
  <si>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</si>
  <si>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</si>
  <si>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</si>
  <si>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</si>
  <si>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</si>
  <si>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</si>
  <si>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</si>
  <si>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</si>
  <si>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</si>
  <si>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</si>
  <si>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</si>
  <si>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</si>
  <si>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</si>
  <si>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</si>
  <si>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</si>
  <si>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</si>
  <si>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</si>
  <si>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</si>
  <si>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</si>
  <si>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</si>
  <si>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</si>
  <si>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</si>
  <si>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</si>
  <si>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</si>
  <si>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</si>
  <si>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</si>
  <si>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</si>
  <si>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</si>
  <si>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</si>
  <si>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</si>
  <si>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</si>
  <si>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</si>
  <si>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</si>
  <si>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</si>
  <si>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</si>
  <si>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</si>
  <si>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</si>
  <si>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</si>
  <si>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2016 год </t>
  </si>
  <si>
    <t>План на 2016 год</t>
  </si>
  <si>
    <t xml:space="preserve">% исп-ия к плану на 1 полугодие 2016 года 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</si>
  <si>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</si>
  <si>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</si>
  <si>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</si>
  <si>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</si>
  <si>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</si>
  <si>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</si>
  <si>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</si>
  <si>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</si>
  <si>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</si>
  <si>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</si>
  <si>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</si>
  <si>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</si>
  <si>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</si>
  <si>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</si>
  <si>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</si>
  <si>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</si>
  <si>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</si>
  <si>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</si>
  <si>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</si>
  <si>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</si>
  <si>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</si>
  <si>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</si>
  <si>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</si>
  <si>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</si>
  <si>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</si>
  <si>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</si>
  <si>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</si>
  <si>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</si>
  <si>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</si>
  <si>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</si>
  <si>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</si>
  <si>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</si>
  <si>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</si>
  <si>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</si>
  <si>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</si>
  <si>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</si>
  <si>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</si>
  <si>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</si>
  <si>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</si>
  <si>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</si>
  <si>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</si>
  <si>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</si>
  <si>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</si>
  <si>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</si>
  <si>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</si>
  <si>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</si>
  <si>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</si>
  <si>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</si>
  <si>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</si>
  <si>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</si>
  <si>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</si>
  <si>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</si>
  <si>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</si>
  <si>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</si>
  <si>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</si>
  <si>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</si>
  <si>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</si>
  <si>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</si>
  <si>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</si>
  <si>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</si>
  <si>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</si>
  <si>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</si>
  <si>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</si>
  <si>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</si>
  <si>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 земельные отношения; (4050099990)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</si>
  <si>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</si>
  <si>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</si>
  <si>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</si>
  <si>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</si>
  <si>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0910382173, 09101S2172)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</si>
  <si>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</si>
  <si>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(1010182430, 10101S2430) </t>
  </si>
  <si>
    <t>Иные межбюджетные трансферты на финансирование наказов избирателей депутатам Думы ХМАО-Югры  (4120085160)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</si>
  <si>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</si>
  <si>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</si>
  <si>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</si>
  <si>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</si>
  <si>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</si>
  <si>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</si>
  <si>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</si>
  <si>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</si>
  <si>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</si>
  <si>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</si>
  <si>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</si>
  <si>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</si>
  <si>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</si>
  <si>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</si>
  <si>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</si>
  <si>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</si>
  <si>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</si>
  <si>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</si>
  <si>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</si>
  <si>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</si>
  <si>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</si>
  <si>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</si>
  <si>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</si>
  <si>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</si>
  <si>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</si>
  <si>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</si>
  <si>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</si>
  <si>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</si>
  <si>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</si>
  <si>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</si>
  <si>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</si>
  <si>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</si>
  <si>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</si>
  <si>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</si>
  <si>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</si>
  <si>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</si>
  <si>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</si>
  <si>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</si>
  <si>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</si>
  <si>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</si>
  <si>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</si>
  <si>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</si>
  <si>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</si>
  <si>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</si>
  <si>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</si>
  <si>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</si>
  <si>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</si>
  <si>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</si>
  <si>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</si>
  <si>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</si>
  <si>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</si>
  <si>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</si>
  <si>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</si>
  <si>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</si>
  <si>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</si>
  <si>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</si>
  <si>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</si>
  <si>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</si>
  <si>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</si>
  <si>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</si>
  <si>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</si>
  <si>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</si>
  <si>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</si>
  <si>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</si>
  <si>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</si>
  <si>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</si>
  <si>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</si>
  <si>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</si>
  <si>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</si>
  <si>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</si>
  <si>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</si>
  <si>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</si>
  <si>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</si>
  <si>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</si>
  <si>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</si>
  <si>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</si>
  <si>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</si>
  <si>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</si>
  <si>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</si>
  <si>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</si>
  <si>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</si>
  <si>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</si>
  <si>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</si>
  <si>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Отчет  об  исполнении  консолидированного  бюджета  района  по  расходам на 1 сентября 2016 года</t>
  </si>
  <si>
    <t>исполнение на 01.09.2016</t>
  </si>
  <si>
    <t>исполнения на 01.09.2016</t>
  </si>
  <si>
    <t>Иные межбюджетные трансферты на благоустройство населенных пунктов (1040182200)</t>
  </si>
  <si>
    <t>Заведующий отделом учета исполнения бюджета</t>
  </si>
  <si>
    <t>Отчет об исполнении консолидированного бюджета Октябрьского района по состоянию на 01.09.2016</t>
  </si>
  <si>
    <t>План                 на 9 месяцев 2016 года</t>
  </si>
  <si>
    <t>Исполнение на 01.09.2016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</si>
</sst>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vertical="top" wrapText="1" shrinkToFit="1"/>
    </xf>
    <xf numFmtId="168" fontId="2" fillId="0" borderId="14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 shrinkToFi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168" fontId="2" fillId="0" borderId="15" xfId="0" applyNumberFormat="1" applyFont="1" applyFill="1" applyBorder="1" applyAlignment="1">
      <alignment horizontal="right" vertical="top" wrapText="1"/>
    </xf>
    <xf numFmtId="168" fontId="1" fillId="0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9" fillId="0" borderId="0" xfId="53" applyNumberFormat="1" applyFont="1" applyAlignment="1">
      <alignment horizontal="center" vertical="center" wrapText="1"/>
      <protection/>
    </xf>
    <xf numFmtId="0" fontId="9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Alignment="1">
      <alignment horizontal="center" vertical="center" wrapText="1"/>
      <protection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 wrapText="1"/>
    </xf>
    <xf numFmtId="49" fontId="16" fillId="34" borderId="18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71" fontId="14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3" applyNumberFormat="1" applyFont="1" applyFill="1" applyBorder="1" applyAlignment="1" quotePrefix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4" fillId="0" borderId="16" xfId="0" applyNumberFormat="1" applyFont="1" applyFill="1" applyBorder="1" applyAlignment="1">
      <alignment horizontal="center" vertical="center" wrapText="1"/>
    </xf>
    <xf numFmtId="171" fontId="14" fillId="0" borderId="19" xfId="0" applyNumberFormat="1" applyFont="1" applyFill="1" applyBorder="1" applyAlignment="1">
      <alignment horizontal="center" vertical="center" wrapText="1"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4" fillId="34" borderId="19" xfId="53" applyNumberFormat="1" applyFont="1" applyFill="1" applyBorder="1" applyAlignment="1">
      <alignment horizontal="center" vertical="center" wrapText="1"/>
      <protection/>
    </xf>
    <xf numFmtId="0" fontId="12" fillId="35" borderId="16" xfId="53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3" fillId="33" borderId="16" xfId="53" applyNumberFormat="1" applyFont="1" applyFill="1" applyBorder="1" applyAlignment="1">
      <alignment horizontal="center" vertical="center" wrapText="1"/>
      <protection/>
    </xf>
    <xf numFmtId="171" fontId="13" fillId="33" borderId="16" xfId="0" applyNumberFormat="1" applyFont="1" applyFill="1" applyBorder="1" applyAlignment="1">
      <alignment horizontal="center" vertical="center" wrapText="1"/>
    </xf>
    <xf numFmtId="171" fontId="14" fillId="36" borderId="16" xfId="53" applyNumberFormat="1" applyFont="1" applyFill="1" applyBorder="1" applyAlignment="1">
      <alignment horizontal="center" vertical="center" wrapText="1"/>
      <protection/>
    </xf>
    <xf numFmtId="171" fontId="14" fillId="34" borderId="16" xfId="0" applyNumberFormat="1" applyFont="1" applyFill="1" applyBorder="1" applyAlignment="1">
      <alignment horizontal="center" vertical="center" wrapText="1"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left" vertical="center" wrapText="1"/>
      <protection/>
    </xf>
    <xf numFmtId="49" fontId="16" fillId="34" borderId="18" xfId="53" applyNumberFormat="1" applyFont="1" applyFill="1" applyBorder="1" applyAlignment="1">
      <alignment horizontal="center" vertical="center" wrapText="1"/>
      <protection/>
    </xf>
    <xf numFmtId="0" fontId="16" fillId="34" borderId="16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0" fontId="13" fillId="0" borderId="16" xfId="53" applyNumberFormat="1" applyFont="1" applyFill="1" applyBorder="1" applyAlignment="1">
      <alignment horizontal="left" vertical="center" wrapText="1"/>
      <protection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171" fontId="13" fillId="36" borderId="16" xfId="0" applyNumberFormat="1" applyFont="1" applyFill="1" applyBorder="1" applyAlignment="1">
      <alignment horizontal="center" vertical="center" wrapText="1"/>
    </xf>
    <xf numFmtId="171" fontId="14" fillId="6" borderId="20" xfId="53" applyNumberFormat="1" applyFont="1" applyFill="1" applyBorder="1" applyAlignment="1">
      <alignment horizontal="center" vertical="center" wrapText="1"/>
      <protection/>
    </xf>
    <xf numFmtId="171" fontId="14" fillId="6" borderId="20" xfId="0" applyNumberFormat="1" applyFont="1" applyFill="1" applyBorder="1" applyAlignment="1">
      <alignment horizontal="center" vertical="center" wrapText="1"/>
    </xf>
    <xf numFmtId="171" fontId="14" fillId="6" borderId="21" xfId="0" applyNumberFormat="1" applyFont="1" applyFill="1" applyBorder="1" applyAlignment="1">
      <alignment horizontal="center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Alignment="1">
      <alignment horizontal="center" vertical="center" wrapText="1"/>
    </xf>
    <xf numFmtId="171" fontId="20" fillId="0" borderId="0" xfId="0" applyNumberFormat="1" applyFont="1" applyAlignment="1">
      <alignment horizontal="center" vertical="center" wrapText="1"/>
    </xf>
    <xf numFmtId="171" fontId="20" fillId="0" borderId="15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20" fillId="0" borderId="0" xfId="53" applyNumberFormat="1" applyFont="1" applyFill="1" applyBorder="1" applyAlignment="1">
      <alignment horizontal="center" vertical="center" wrapText="1"/>
      <protection/>
    </xf>
    <xf numFmtId="171" fontId="20" fillId="0" borderId="0" xfId="0" applyNumberFormat="1" applyFont="1" applyFill="1" applyBorder="1" applyAlignment="1">
      <alignment horizontal="left" vertical="center" wrapText="1"/>
    </xf>
    <xf numFmtId="171" fontId="20" fillId="0" borderId="0" xfId="0" applyNumberFormat="1" applyFont="1" applyFill="1" applyAlignment="1">
      <alignment horizontal="left" vertical="center" wrapText="1"/>
    </xf>
    <xf numFmtId="171" fontId="20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168" fontId="4" fillId="0" borderId="24" xfId="0" applyNumberFormat="1" applyFont="1" applyFill="1" applyBorder="1" applyAlignment="1">
      <alignment horizontal="center" vertical="top"/>
    </xf>
    <xf numFmtId="168" fontId="4" fillId="0" borderId="25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4" xfId="42" applyFont="1" applyFill="1" applyBorder="1" applyAlignment="1">
      <alignment horizontal="center" vertical="top" wrapText="1"/>
    </xf>
    <xf numFmtId="44" fontId="2" fillId="0" borderId="25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9" fillId="37" borderId="26" xfId="53" applyNumberFormat="1" applyFont="1" applyFill="1" applyBorder="1" applyAlignment="1">
      <alignment horizontal="center" vertical="center" wrapText="1"/>
      <protection/>
    </xf>
    <xf numFmtId="0" fontId="19" fillId="37" borderId="20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71" fontId="20" fillId="0" borderId="0" xfId="53" applyNumberFormat="1" applyFont="1" applyFill="1" applyBorder="1" applyAlignment="1">
      <alignment horizontal="left" vertical="center" wrapText="1"/>
      <protection/>
    </xf>
    <xf numFmtId="171" fontId="20" fillId="0" borderId="0" xfId="0" applyNumberFormat="1" applyFont="1" applyFill="1" applyBorder="1" applyAlignment="1">
      <alignment horizontal="left" vertical="center" wrapText="1"/>
    </xf>
    <xf numFmtId="171" fontId="14" fillId="0" borderId="19" xfId="53" applyNumberFormat="1" applyFont="1" applyBorder="1" applyAlignment="1">
      <alignment horizontal="center" vertical="center" wrapText="1"/>
      <protection/>
    </xf>
    <xf numFmtId="171" fontId="14" fillId="0" borderId="19" xfId="0" applyNumberFormat="1" applyFont="1" applyBorder="1" applyAlignment="1">
      <alignment horizontal="center" vertical="center" wrapText="1"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49" fontId="12" fillId="0" borderId="27" xfId="53" applyNumberFormat="1" applyFont="1" applyBorder="1" applyAlignment="1">
      <alignment horizontal="center" vertical="center" wrapText="1"/>
      <protection/>
    </xf>
    <xf numFmtId="49" fontId="12" fillId="0" borderId="18" xfId="53" applyNumberFormat="1" applyFont="1" applyBorder="1" applyAlignment="1">
      <alignment horizontal="center" vertical="center" wrapText="1"/>
      <protection/>
    </xf>
    <xf numFmtId="0" fontId="12" fillId="0" borderId="28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171" fontId="13" fillId="0" borderId="28" xfId="53" applyNumberFormat="1" applyFont="1" applyFill="1" applyBorder="1" applyAlignment="1">
      <alignment horizontal="center" vertical="center" wrapText="1"/>
      <protection/>
    </xf>
    <xf numFmtId="171" fontId="13" fillId="0" borderId="28" xfId="0" applyNumberFormat="1" applyFont="1" applyBorder="1" applyAlignment="1">
      <alignment horizontal="center" vertical="center" wrapText="1"/>
    </xf>
    <xf numFmtId="171" fontId="14" fillId="0" borderId="28" xfId="0" applyNumberFormat="1" applyFont="1" applyFill="1" applyBorder="1" applyAlignment="1">
      <alignment horizontal="center" vertical="center" wrapText="1"/>
    </xf>
    <xf numFmtId="171" fontId="14" fillId="0" borderId="29" xfId="0" applyNumberFormat="1" applyFont="1" applyFill="1" applyBorder="1" applyAlignment="1">
      <alignment horizontal="center" vertical="center" wrapText="1"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4" fillId="36" borderId="16" xfId="53" applyNumberFormat="1" applyFont="1" applyFill="1" applyBorder="1" applyAlignment="1">
      <alignment horizontal="center" vertical="center" wrapText="1"/>
      <protection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4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 wrapText="1"/>
    </xf>
    <xf numFmtId="171" fontId="14" fillId="0" borderId="16" xfId="53" applyNumberFormat="1" applyFont="1" applyBorder="1" applyAlignment="1">
      <alignment horizontal="center" vertical="center" wrapText="1"/>
      <protection/>
    </xf>
    <xf numFmtId="171" fontId="15" fillId="0" borderId="16" xfId="0" applyNumberFormat="1" applyFont="1" applyBorder="1" applyAlignment="1">
      <alignment horizontal="center" vertical="center"/>
    </xf>
    <xf numFmtId="49" fontId="16" fillId="34" borderId="18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68" fontId="2" fillId="33" borderId="16" xfId="0" applyNumberFormat="1" applyFont="1" applyFill="1" applyBorder="1" applyAlignment="1">
      <alignment horizontal="right" vertical="top" wrapText="1"/>
    </xf>
    <xf numFmtId="168" fontId="5" fillId="33" borderId="16" xfId="0" applyNumberFormat="1" applyFont="1" applyFill="1" applyBorder="1" applyAlignment="1">
      <alignment vertical="top"/>
    </xf>
    <xf numFmtId="169" fontId="5" fillId="33" borderId="16" xfId="0" applyNumberFormat="1" applyFont="1" applyFill="1" applyBorder="1" applyAlignment="1">
      <alignment vertical="top"/>
    </xf>
    <xf numFmtId="168" fontId="2" fillId="33" borderId="16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Q220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10.125" style="1" hidden="1" customWidth="1"/>
    <col min="7" max="7" width="10.375" style="1" hidden="1" customWidth="1"/>
    <col min="8" max="8" width="9.75390625" style="1" hidden="1" customWidth="1"/>
    <col min="9" max="9" width="9.7539062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155" t="s">
        <v>245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2" ht="9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72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159" t="s">
        <v>82</v>
      </c>
      <c r="E4" s="159" t="s">
        <v>246</v>
      </c>
      <c r="F4" s="162" t="s">
        <v>72</v>
      </c>
      <c r="G4" s="162" t="s">
        <v>73</v>
      </c>
      <c r="H4" s="162" t="s">
        <v>74</v>
      </c>
      <c r="I4" s="162" t="s">
        <v>75</v>
      </c>
      <c r="J4" s="159" t="s">
        <v>247</v>
      </c>
      <c r="K4" s="159" t="s">
        <v>76</v>
      </c>
      <c r="L4" s="159" t="s">
        <v>77</v>
      </c>
      <c r="M4" s="159" t="s">
        <v>78</v>
      </c>
      <c r="N4" s="159" t="s">
        <v>79</v>
      </c>
      <c r="O4" s="159" t="s">
        <v>80</v>
      </c>
      <c r="P4" s="159" t="s">
        <v>83</v>
      </c>
      <c r="Q4" s="159" t="s">
        <v>81</v>
      </c>
    </row>
    <row r="5" spans="1:17" ht="27.75" customHeight="1">
      <c r="A5" s="16" t="s">
        <v>46</v>
      </c>
      <c r="B5" s="16"/>
      <c r="C5" s="17" t="s">
        <v>16</v>
      </c>
      <c r="D5" s="160"/>
      <c r="E5" s="160"/>
      <c r="F5" s="163"/>
      <c r="G5" s="163"/>
      <c r="H5" s="163"/>
      <c r="I5" s="163"/>
      <c r="J5" s="160"/>
      <c r="K5" s="160"/>
      <c r="L5" s="160"/>
      <c r="M5" s="160"/>
      <c r="N5" s="160"/>
      <c r="O5" s="160"/>
      <c r="P5" s="160"/>
      <c r="Q5" s="160"/>
    </row>
    <row r="6" spans="1:17" ht="39.75" customHeight="1">
      <c r="A6" s="16"/>
      <c r="B6" s="16"/>
      <c r="C6" s="17"/>
      <c r="D6" s="161"/>
      <c r="E6" s="161"/>
      <c r="F6" s="164"/>
      <c r="G6" s="164"/>
      <c r="H6" s="164"/>
      <c r="I6" s="164"/>
      <c r="J6" s="161"/>
      <c r="K6" s="161"/>
      <c r="L6" s="161"/>
      <c r="M6" s="161"/>
      <c r="N6" s="161"/>
      <c r="O6" s="161"/>
      <c r="P6" s="161"/>
      <c r="Q6" s="161"/>
    </row>
    <row r="7" spans="1:15" ht="12.75">
      <c r="A7" s="174" t="s">
        <v>24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7" ht="12.75">
      <c r="A8" s="45" t="s">
        <v>3</v>
      </c>
      <c r="B8" s="45"/>
      <c r="C8" s="68" t="s">
        <v>68</v>
      </c>
      <c r="D8" s="46">
        <f aca="true" t="shared" si="0" ref="D8:I8">D9+D11+D12+D13+D15+D16+D18+D20+D14+D21+D17+D19+D10</f>
        <v>703606.5999999999</v>
      </c>
      <c r="E8" s="46">
        <f t="shared" si="0"/>
        <v>510561.6</v>
      </c>
      <c r="F8" s="46">
        <f t="shared" si="0"/>
        <v>166895.9</v>
      </c>
      <c r="G8" s="46">
        <f t="shared" si="0"/>
        <v>186867.99999999997</v>
      </c>
      <c r="H8" s="46">
        <f t="shared" si="0"/>
        <v>156797.69999999998</v>
      </c>
      <c r="I8" s="46">
        <f t="shared" si="0"/>
        <v>193045</v>
      </c>
      <c r="J8" s="46">
        <f>J9+J11+J12+J13+J15+J16+J18+J20+J14+J21+J17+J19+J10+0.2</f>
        <v>521334.20000000007</v>
      </c>
      <c r="K8" s="46" t="e">
        <f>K9+K11+K12+K13+K15+K16+K18+K20+K14+K21+K17+K19</f>
        <v>#REF!</v>
      </c>
      <c r="L8" s="46">
        <f aca="true" t="shared" si="1" ref="L8:L20">J8/H8*100</f>
        <v>332.48842298069434</v>
      </c>
      <c r="M8" s="71"/>
      <c r="N8" s="71"/>
      <c r="O8" s="46">
        <f>J8*100/I8</f>
        <v>270.05838017042663</v>
      </c>
      <c r="P8" s="46">
        <f>J8*100/E8</f>
        <v>102.1099510813191</v>
      </c>
      <c r="Q8" s="32">
        <f>J8*100/D8</f>
        <v>74.0945579532654</v>
      </c>
    </row>
    <row r="9" spans="1:17" ht="12.75">
      <c r="A9" s="19" t="s">
        <v>23</v>
      </c>
      <c r="B9" s="19"/>
      <c r="C9" s="47" t="s">
        <v>22</v>
      </c>
      <c r="D9" s="76">
        <f>F9+G9+H9+I9</f>
        <v>483100</v>
      </c>
      <c r="E9" s="76">
        <f>F9+G9+H9</f>
        <v>351201</v>
      </c>
      <c r="F9" s="76">
        <v>112281.7</v>
      </c>
      <c r="G9" s="76">
        <v>126949.8</v>
      </c>
      <c r="H9" s="28">
        <v>111969.5</v>
      </c>
      <c r="I9" s="48">
        <v>131899</v>
      </c>
      <c r="J9" s="48">
        <v>334097.2</v>
      </c>
      <c r="K9" s="28" t="e">
        <f>J9/#REF!*100</f>
        <v>#REF!</v>
      </c>
      <c r="L9" s="28">
        <f t="shared" si="1"/>
        <v>298.38232733021044</v>
      </c>
      <c r="M9" s="69"/>
      <c r="N9" s="69"/>
      <c r="O9" s="28">
        <f aca="true" t="shared" si="2" ref="O9:O77">J9*100/I9</f>
        <v>253.29775055155838</v>
      </c>
      <c r="P9" s="28">
        <f aca="true" t="shared" si="3" ref="P9:P74">J9*100/E9</f>
        <v>95.12991136130023</v>
      </c>
      <c r="Q9" s="48">
        <f aca="true" t="shared" si="4" ref="Q9:Q74">J9*100/D9</f>
        <v>69.15694473193956</v>
      </c>
    </row>
    <row r="10" spans="1:17" ht="12.75">
      <c r="A10" s="19" t="s">
        <v>70</v>
      </c>
      <c r="B10" s="19"/>
      <c r="C10" s="36" t="s">
        <v>71</v>
      </c>
      <c r="D10" s="73">
        <f aca="true" t="shared" si="5" ref="D10:D26">F10+G10+H10+I10</f>
        <v>35821</v>
      </c>
      <c r="E10" s="76">
        <f aca="true" t="shared" si="6" ref="E10:E21">F10+G10+H10</f>
        <v>26888</v>
      </c>
      <c r="F10" s="73">
        <f>8649+941</f>
        <v>9590</v>
      </c>
      <c r="G10" s="73">
        <v>8649</v>
      </c>
      <c r="H10" s="24">
        <v>8649</v>
      </c>
      <c r="I10" s="25">
        <v>8933</v>
      </c>
      <c r="J10" s="25">
        <v>32699.9</v>
      </c>
      <c r="K10" s="28"/>
      <c r="L10" s="28"/>
      <c r="M10" s="69"/>
      <c r="N10" s="69"/>
      <c r="O10" s="24"/>
      <c r="P10" s="28">
        <f t="shared" si="3"/>
        <v>121.6152186849152</v>
      </c>
      <c r="Q10" s="25">
        <f t="shared" si="4"/>
        <v>91.28695457971581</v>
      </c>
    </row>
    <row r="11" spans="1:17" ht="12.75">
      <c r="A11" s="19" t="s">
        <v>8</v>
      </c>
      <c r="B11" s="19"/>
      <c r="C11" s="36" t="s">
        <v>5</v>
      </c>
      <c r="D11" s="73">
        <f t="shared" si="5"/>
        <v>39962</v>
      </c>
      <c r="E11" s="76">
        <f t="shared" si="6"/>
        <v>31607</v>
      </c>
      <c r="F11" s="73">
        <v>11925</v>
      </c>
      <c r="G11" s="73">
        <v>11695</v>
      </c>
      <c r="H11" s="24">
        <v>7987</v>
      </c>
      <c r="I11" s="25">
        <v>8355</v>
      </c>
      <c r="J11" s="25">
        <v>34551.9</v>
      </c>
      <c r="K11" s="28" t="e">
        <f>J11/#REF!*100</f>
        <v>#REF!</v>
      </c>
      <c r="L11" s="28">
        <f t="shared" si="1"/>
        <v>432.60172780768755</v>
      </c>
      <c r="M11" s="69"/>
      <c r="N11" s="69"/>
      <c r="O11" s="24">
        <f t="shared" si="2"/>
        <v>413.5475763016158</v>
      </c>
      <c r="P11" s="28">
        <f t="shared" si="3"/>
        <v>109.31723985193153</v>
      </c>
      <c r="Q11" s="25">
        <f t="shared" si="4"/>
        <v>86.46188879435464</v>
      </c>
    </row>
    <row r="12" spans="1:17" ht="12.75">
      <c r="A12" s="19" t="s">
        <v>9</v>
      </c>
      <c r="B12" s="19"/>
      <c r="C12" s="36" t="s">
        <v>6</v>
      </c>
      <c r="D12" s="73">
        <f t="shared" si="5"/>
        <v>3340</v>
      </c>
      <c r="E12" s="76">
        <f t="shared" si="6"/>
        <v>2435</v>
      </c>
      <c r="F12" s="73">
        <v>765</v>
      </c>
      <c r="G12" s="73">
        <v>905</v>
      </c>
      <c r="H12" s="24">
        <v>765</v>
      </c>
      <c r="I12" s="25">
        <v>905</v>
      </c>
      <c r="J12" s="25">
        <v>3160.8</v>
      </c>
      <c r="K12" s="28" t="e">
        <f>J12/#REF!*100</f>
        <v>#REF!</v>
      </c>
      <c r="L12" s="28">
        <f t="shared" si="1"/>
        <v>413.1764705882353</v>
      </c>
      <c r="M12" s="69"/>
      <c r="N12" s="69"/>
      <c r="O12" s="24">
        <f t="shared" si="2"/>
        <v>349.2596685082873</v>
      </c>
      <c r="P12" s="28">
        <f t="shared" si="3"/>
        <v>129.8069815195072</v>
      </c>
      <c r="Q12" s="25">
        <f t="shared" si="4"/>
        <v>94.63473053892216</v>
      </c>
    </row>
    <row r="13" spans="1:17" ht="12.75">
      <c r="A13" s="19" t="s">
        <v>10</v>
      </c>
      <c r="B13" s="19"/>
      <c r="C13" s="36" t="s">
        <v>21</v>
      </c>
      <c r="D13" s="73">
        <f t="shared" si="5"/>
        <v>3311</v>
      </c>
      <c r="E13" s="76">
        <f t="shared" si="6"/>
        <v>2482</v>
      </c>
      <c r="F13" s="73">
        <v>829</v>
      </c>
      <c r="G13" s="73">
        <v>825</v>
      </c>
      <c r="H13" s="24">
        <v>828</v>
      </c>
      <c r="I13" s="25">
        <v>829</v>
      </c>
      <c r="J13" s="25">
        <v>2662</v>
      </c>
      <c r="K13" s="28" t="e">
        <f>J13/#REF!*100</f>
        <v>#REF!</v>
      </c>
      <c r="L13" s="28">
        <f t="shared" si="1"/>
        <v>321.4975845410628</v>
      </c>
      <c r="M13" s="69"/>
      <c r="N13" s="69"/>
      <c r="O13" s="24">
        <f t="shared" si="2"/>
        <v>321.10977080820265</v>
      </c>
      <c r="P13" s="28">
        <f t="shared" si="3"/>
        <v>107.2522159548751</v>
      </c>
      <c r="Q13" s="25">
        <f t="shared" si="4"/>
        <v>80.39867109634551</v>
      </c>
    </row>
    <row r="14" spans="1:17" ht="21.75" customHeight="1" hidden="1">
      <c r="A14" s="19" t="s">
        <v>37</v>
      </c>
      <c r="B14" s="19"/>
      <c r="C14" s="36" t="s">
        <v>38</v>
      </c>
      <c r="D14" s="73">
        <f t="shared" si="5"/>
        <v>0</v>
      </c>
      <c r="E14" s="76">
        <f t="shared" si="6"/>
        <v>0</v>
      </c>
      <c r="F14" s="73"/>
      <c r="G14" s="73"/>
      <c r="H14" s="24"/>
      <c r="I14" s="25"/>
      <c r="J14" s="25"/>
      <c r="K14" s="28" t="e">
        <f>J14/#REF!*100</f>
        <v>#REF!</v>
      </c>
      <c r="L14" s="28"/>
      <c r="M14" s="69"/>
      <c r="N14" s="69"/>
      <c r="O14" s="24" t="e">
        <f t="shared" si="2"/>
        <v>#DIV/0!</v>
      </c>
      <c r="P14" s="28"/>
      <c r="Q14" s="25"/>
    </row>
    <row r="15" spans="1:17" ht="24">
      <c r="A15" s="20" t="s">
        <v>11</v>
      </c>
      <c r="B15" s="20"/>
      <c r="C15" s="36" t="s">
        <v>17</v>
      </c>
      <c r="D15" s="73">
        <f t="shared" si="5"/>
        <v>89129.2</v>
      </c>
      <c r="E15" s="76">
        <f t="shared" si="6"/>
        <v>57461.1</v>
      </c>
      <c r="F15" s="73">
        <v>13453.9</v>
      </c>
      <c r="G15" s="73">
        <v>24339.6</v>
      </c>
      <c r="H15" s="24">
        <v>19667.6</v>
      </c>
      <c r="I15" s="25">
        <v>31668.1</v>
      </c>
      <c r="J15" s="25">
        <v>66879.4</v>
      </c>
      <c r="K15" s="28" t="e">
        <f>J15/#REF!*100</f>
        <v>#REF!</v>
      </c>
      <c r="L15" s="28">
        <f t="shared" si="1"/>
        <v>340.0486078626777</v>
      </c>
      <c r="M15" s="69"/>
      <c r="N15" s="69"/>
      <c r="O15" s="24">
        <f t="shared" si="2"/>
        <v>211.18854620264554</v>
      </c>
      <c r="P15" s="28">
        <f t="shared" si="3"/>
        <v>116.39074086642962</v>
      </c>
      <c r="Q15" s="25">
        <f t="shared" si="4"/>
        <v>75.03646391979284</v>
      </c>
    </row>
    <row r="16" spans="1:17" ht="12.75">
      <c r="A16" s="37" t="s">
        <v>14</v>
      </c>
      <c r="B16" s="37"/>
      <c r="C16" s="36" t="s">
        <v>13</v>
      </c>
      <c r="D16" s="73">
        <f t="shared" si="5"/>
        <v>13331.2</v>
      </c>
      <c r="E16" s="76">
        <f t="shared" si="6"/>
        <v>11847.2</v>
      </c>
      <c r="F16" s="73">
        <v>7342.8</v>
      </c>
      <c r="G16" s="73">
        <v>3020.4</v>
      </c>
      <c r="H16" s="24">
        <v>1484</v>
      </c>
      <c r="I16" s="25">
        <v>1484</v>
      </c>
      <c r="J16" s="25">
        <v>14555.9</v>
      </c>
      <c r="K16" s="28" t="e">
        <f>J16/#REF!*100</f>
        <v>#REF!</v>
      </c>
      <c r="L16" s="28">
        <f t="shared" si="1"/>
        <v>980.8557951482479</v>
      </c>
      <c r="M16" s="69"/>
      <c r="N16" s="69"/>
      <c r="O16" s="24">
        <f t="shared" si="2"/>
        <v>980.855795148248</v>
      </c>
      <c r="P16" s="28">
        <f t="shared" si="3"/>
        <v>122.86363022486326</v>
      </c>
      <c r="Q16" s="25">
        <f t="shared" si="4"/>
        <v>109.18671987518002</v>
      </c>
    </row>
    <row r="17" spans="1:17" ht="12.75">
      <c r="A17" s="38" t="s">
        <v>42</v>
      </c>
      <c r="B17" s="38"/>
      <c r="C17" s="36" t="s">
        <v>43</v>
      </c>
      <c r="D17" s="73">
        <f t="shared" si="5"/>
        <v>8640</v>
      </c>
      <c r="E17" s="76">
        <f t="shared" si="6"/>
        <v>6815</v>
      </c>
      <c r="F17" s="73">
        <v>2163.5</v>
      </c>
      <c r="G17" s="73">
        <v>2831.5</v>
      </c>
      <c r="H17" s="24">
        <v>1820</v>
      </c>
      <c r="I17" s="25">
        <v>1825</v>
      </c>
      <c r="J17" s="25">
        <v>7860.6</v>
      </c>
      <c r="K17" s="28" t="e">
        <f>J17/#REF!*100</f>
        <v>#REF!</v>
      </c>
      <c r="L17" s="28">
        <f t="shared" si="1"/>
        <v>431.9010989010989</v>
      </c>
      <c r="M17" s="69"/>
      <c r="N17" s="69"/>
      <c r="O17" s="24">
        <f t="shared" si="2"/>
        <v>430.7178082191781</v>
      </c>
      <c r="P17" s="28">
        <f t="shared" si="3"/>
        <v>115.34262655906089</v>
      </c>
      <c r="Q17" s="25">
        <f t="shared" si="4"/>
        <v>90.97916666666667</v>
      </c>
    </row>
    <row r="18" spans="1:17" ht="12.75">
      <c r="A18" s="38" t="s">
        <v>18</v>
      </c>
      <c r="B18" s="38"/>
      <c r="C18" s="36" t="s">
        <v>15</v>
      </c>
      <c r="D18" s="73">
        <f t="shared" si="5"/>
        <v>20685</v>
      </c>
      <c r="E18" s="76">
        <f t="shared" si="6"/>
        <v>13948</v>
      </c>
      <c r="F18" s="73">
        <v>5485.4</v>
      </c>
      <c r="G18" s="73">
        <v>5241.8</v>
      </c>
      <c r="H18" s="24">
        <v>3220.8</v>
      </c>
      <c r="I18" s="25">
        <v>6737</v>
      </c>
      <c r="J18" s="25">
        <v>14743.6</v>
      </c>
      <c r="K18" s="28" t="e">
        <f>J18/#REF!*100</f>
        <v>#REF!</v>
      </c>
      <c r="L18" s="28">
        <f t="shared" si="1"/>
        <v>457.76204669647285</v>
      </c>
      <c r="M18" s="69"/>
      <c r="N18" s="69"/>
      <c r="O18" s="24">
        <f t="shared" si="2"/>
        <v>218.84518331601603</v>
      </c>
      <c r="P18" s="28">
        <f t="shared" si="3"/>
        <v>105.70404359047892</v>
      </c>
      <c r="Q18" s="25">
        <f t="shared" si="4"/>
        <v>71.27677060671985</v>
      </c>
    </row>
    <row r="19" spans="1:17" ht="12.75">
      <c r="A19" s="38" t="s">
        <v>60</v>
      </c>
      <c r="B19" s="38"/>
      <c r="C19" s="36" t="s">
        <v>61</v>
      </c>
      <c r="D19" s="73">
        <f t="shared" si="5"/>
        <v>5</v>
      </c>
      <c r="E19" s="76">
        <f t="shared" si="6"/>
        <v>5</v>
      </c>
      <c r="F19" s="73">
        <v>5</v>
      </c>
      <c r="G19" s="73"/>
      <c r="H19" s="24"/>
      <c r="I19" s="25"/>
      <c r="J19" s="25">
        <v>16</v>
      </c>
      <c r="K19" s="28" t="e">
        <f>J19/#REF!*100</f>
        <v>#REF!</v>
      </c>
      <c r="L19" s="28" t="e">
        <f t="shared" si="1"/>
        <v>#DIV/0!</v>
      </c>
      <c r="M19" s="69"/>
      <c r="N19" s="69"/>
      <c r="O19" s="24" t="e">
        <f t="shared" si="2"/>
        <v>#DIV/0!</v>
      </c>
      <c r="P19" s="28">
        <f t="shared" si="3"/>
        <v>320</v>
      </c>
      <c r="Q19" s="25">
        <f t="shared" si="4"/>
        <v>320</v>
      </c>
    </row>
    <row r="20" spans="1:17" ht="12.75">
      <c r="A20" s="29" t="s">
        <v>12</v>
      </c>
      <c r="B20" s="29"/>
      <c r="C20" s="36" t="s">
        <v>7</v>
      </c>
      <c r="D20" s="73">
        <f t="shared" si="5"/>
        <v>6282.2</v>
      </c>
      <c r="E20" s="76">
        <f t="shared" si="6"/>
        <v>5872.3</v>
      </c>
      <c r="F20" s="73">
        <v>3054.6</v>
      </c>
      <c r="G20" s="73">
        <v>2410.9</v>
      </c>
      <c r="H20" s="24">
        <v>406.8</v>
      </c>
      <c r="I20" s="25">
        <v>409.9</v>
      </c>
      <c r="J20" s="25">
        <v>10095.4</v>
      </c>
      <c r="K20" s="28" t="e">
        <f>J20/#REF!*100</f>
        <v>#REF!</v>
      </c>
      <c r="L20" s="28">
        <f t="shared" si="1"/>
        <v>2481.6617502458207</v>
      </c>
      <c r="M20" s="69"/>
      <c r="N20" s="69"/>
      <c r="O20" s="24">
        <f t="shared" si="2"/>
        <v>2462.8933886313735</v>
      </c>
      <c r="P20" s="28">
        <f t="shared" si="3"/>
        <v>171.9156037668375</v>
      </c>
      <c r="Q20" s="25">
        <f t="shared" si="4"/>
        <v>160.6984814237051</v>
      </c>
    </row>
    <row r="21" spans="1:17" ht="12.75">
      <c r="A21" s="39" t="s">
        <v>39</v>
      </c>
      <c r="B21" s="40"/>
      <c r="C21" s="23" t="s">
        <v>40</v>
      </c>
      <c r="D21" s="73">
        <f t="shared" si="5"/>
        <v>0</v>
      </c>
      <c r="E21" s="76">
        <f t="shared" si="6"/>
        <v>0</v>
      </c>
      <c r="F21" s="73"/>
      <c r="G21" s="73"/>
      <c r="H21" s="24"/>
      <c r="I21" s="25"/>
      <c r="J21" s="25">
        <v>11.3</v>
      </c>
      <c r="K21" s="28"/>
      <c r="L21" s="28"/>
      <c r="M21" s="69"/>
      <c r="N21" s="69"/>
      <c r="O21" s="24"/>
      <c r="P21" s="28"/>
      <c r="Q21" s="25"/>
    </row>
    <row r="22" spans="1:17" ht="12.75">
      <c r="A22" s="33" t="s">
        <v>1</v>
      </c>
      <c r="B22" s="33"/>
      <c r="C22" s="41" t="s">
        <v>0</v>
      </c>
      <c r="D22" s="42">
        <f aca="true" t="shared" si="7" ref="D22:J22">D23+D24+D26+D25</f>
        <v>3156893.3000000003</v>
      </c>
      <c r="E22" s="42">
        <f>E23+E24+E26+E25</f>
        <v>1510850.0999999999</v>
      </c>
      <c r="F22" s="42">
        <f t="shared" si="7"/>
        <v>652462.7000000001</v>
      </c>
      <c r="G22" s="42">
        <f t="shared" si="7"/>
        <v>858387.4</v>
      </c>
      <c r="H22" s="42">
        <f t="shared" si="7"/>
        <v>889351.8</v>
      </c>
      <c r="I22" s="42">
        <f t="shared" si="7"/>
        <v>756691.4</v>
      </c>
      <c r="J22" s="42">
        <f t="shared" si="7"/>
        <v>2202990</v>
      </c>
      <c r="K22" s="35" t="e">
        <f>J22/#REF!*100</f>
        <v>#REF!</v>
      </c>
      <c r="L22" s="35">
        <f aca="true" t="shared" si="8" ref="L22:L27">J22/H22*100</f>
        <v>247.70737519168455</v>
      </c>
      <c r="M22" s="69"/>
      <c r="N22" s="69"/>
      <c r="O22" s="46">
        <f t="shared" si="2"/>
        <v>291.134536483433</v>
      </c>
      <c r="P22" s="35">
        <f t="shared" si="3"/>
        <v>145.81128862486094</v>
      </c>
      <c r="Q22" s="32">
        <f t="shared" si="4"/>
        <v>69.78347985343692</v>
      </c>
    </row>
    <row r="23" spans="1:17" ht="24">
      <c r="A23" s="21" t="s">
        <v>67</v>
      </c>
      <c r="B23" s="19"/>
      <c r="C23" s="43" t="s">
        <v>20</v>
      </c>
      <c r="D23" s="73">
        <f t="shared" si="5"/>
        <v>3108450.6</v>
      </c>
      <c r="E23" s="76">
        <f>F23+G23</f>
        <v>1472407.4</v>
      </c>
      <c r="F23" s="73">
        <v>709965.8</v>
      </c>
      <c r="G23" s="73">
        <v>762441.6</v>
      </c>
      <c r="H23" s="25">
        <f>906064.3-30801.8+9089.3</f>
        <v>884351.8</v>
      </c>
      <c r="I23" s="25">
        <v>751691.4</v>
      </c>
      <c r="J23" s="25">
        <v>2160718.7</v>
      </c>
      <c r="K23" s="28" t="e">
        <f>J23/#REF!*100</f>
        <v>#REF!</v>
      </c>
      <c r="L23" s="28">
        <f t="shared" si="8"/>
        <v>244.32795862461072</v>
      </c>
      <c r="M23" s="69"/>
      <c r="N23" s="69"/>
      <c r="O23" s="24">
        <f t="shared" si="2"/>
        <v>287.44757489576176</v>
      </c>
      <c r="P23" s="28">
        <f t="shared" si="3"/>
        <v>146.74734044395595</v>
      </c>
      <c r="Q23" s="25">
        <f t="shared" si="4"/>
        <v>69.51111592379819</v>
      </c>
    </row>
    <row r="24" spans="1:17" ht="13.5" customHeight="1">
      <c r="A24" s="21" t="s">
        <v>2</v>
      </c>
      <c r="B24" s="21"/>
      <c r="C24" s="44" t="s">
        <v>19</v>
      </c>
      <c r="D24" s="73">
        <f t="shared" si="5"/>
        <v>55310</v>
      </c>
      <c r="E24" s="76">
        <f>F24+G24</f>
        <v>45310</v>
      </c>
      <c r="F24" s="74">
        <f>5000+10</f>
        <v>5010</v>
      </c>
      <c r="G24" s="74">
        <v>40300</v>
      </c>
      <c r="H24" s="25">
        <v>5000</v>
      </c>
      <c r="I24" s="25">
        <v>5000</v>
      </c>
      <c r="J24" s="25">
        <v>50489.5</v>
      </c>
      <c r="K24" s="28" t="e">
        <f>J24/#REF!*100</f>
        <v>#REF!</v>
      </c>
      <c r="L24" s="28">
        <f t="shared" si="8"/>
        <v>1009.79</v>
      </c>
      <c r="M24" s="69"/>
      <c r="N24" s="69"/>
      <c r="O24" s="24">
        <f t="shared" si="2"/>
        <v>1009.79</v>
      </c>
      <c r="P24" s="28">
        <f t="shared" si="3"/>
        <v>111.43125137938645</v>
      </c>
      <c r="Q24" s="25">
        <f t="shared" si="4"/>
        <v>91.2845778340264</v>
      </c>
    </row>
    <row r="25" spans="1:17" ht="34.5" customHeight="1" hidden="1">
      <c r="A25" s="21" t="s">
        <v>65</v>
      </c>
      <c r="B25" s="22" t="s">
        <v>64</v>
      </c>
      <c r="C25" s="23" t="s">
        <v>64</v>
      </c>
      <c r="D25" s="73">
        <f t="shared" si="5"/>
        <v>0</v>
      </c>
      <c r="E25" s="76">
        <f>F25+G25</f>
        <v>0</v>
      </c>
      <c r="F25" s="73"/>
      <c r="G25" s="73"/>
      <c r="H25" s="25"/>
      <c r="I25" s="25"/>
      <c r="J25" s="25"/>
      <c r="K25" s="28" t="e">
        <f>J25/#REF!*100</f>
        <v>#REF!</v>
      </c>
      <c r="L25" s="28"/>
      <c r="M25" s="69"/>
      <c r="N25" s="69"/>
      <c r="O25" s="24" t="e">
        <f t="shared" si="2"/>
        <v>#DIV/0!</v>
      </c>
      <c r="P25" s="28" t="e">
        <f>J25*100/E25</f>
        <v>#DIV/0!</v>
      </c>
      <c r="Q25" s="25" t="e">
        <f>J25*100/D25</f>
        <v>#DIV/0!</v>
      </c>
    </row>
    <row r="26" spans="1:17" ht="24">
      <c r="A26" s="21" t="s">
        <v>66</v>
      </c>
      <c r="B26" s="26"/>
      <c r="C26" s="27" t="s">
        <v>63</v>
      </c>
      <c r="D26" s="73">
        <f t="shared" si="5"/>
        <v>-6867.299999999996</v>
      </c>
      <c r="E26" s="76">
        <f>F26+G26</f>
        <v>-6867.299999999996</v>
      </c>
      <c r="F26" s="75">
        <v>-62513.1</v>
      </c>
      <c r="G26" s="75">
        <v>55645.8</v>
      </c>
      <c r="H26" s="25"/>
      <c r="I26" s="25"/>
      <c r="J26" s="25">
        <v>-8218.2</v>
      </c>
      <c r="K26" s="28" t="e">
        <f>J26/#REF!*100</f>
        <v>#REF!</v>
      </c>
      <c r="L26" s="28"/>
      <c r="M26" s="69"/>
      <c r="N26" s="69"/>
      <c r="O26" s="24" t="e">
        <f t="shared" si="2"/>
        <v>#DIV/0!</v>
      </c>
      <c r="P26" s="28">
        <f>J26*100/E26</f>
        <v>119.67148661045835</v>
      </c>
      <c r="Q26" s="25">
        <f>J26*100/D26</f>
        <v>119.67148661045835</v>
      </c>
    </row>
    <row r="27" spans="1:17" ht="12.75">
      <c r="A27" s="29"/>
      <c r="B27" s="30"/>
      <c r="C27" s="31" t="s">
        <v>4</v>
      </c>
      <c r="D27" s="32">
        <f aca="true" t="shared" si="9" ref="D27:J27">D22+D8</f>
        <v>3860499.9000000004</v>
      </c>
      <c r="E27" s="32">
        <f t="shared" si="9"/>
        <v>2021411.6999999997</v>
      </c>
      <c r="F27" s="32">
        <f t="shared" si="9"/>
        <v>819358.6000000001</v>
      </c>
      <c r="G27" s="32">
        <f t="shared" si="9"/>
        <v>1045255.4</v>
      </c>
      <c r="H27" s="32">
        <f t="shared" si="9"/>
        <v>1046149.5</v>
      </c>
      <c r="I27" s="32">
        <f t="shared" si="9"/>
        <v>949736.4</v>
      </c>
      <c r="J27" s="32">
        <f t="shared" si="9"/>
        <v>2724324.2</v>
      </c>
      <c r="K27" s="35" t="e">
        <f>J27/#REF!*100</f>
        <v>#REF!</v>
      </c>
      <c r="L27" s="35">
        <f t="shared" si="8"/>
        <v>260.41442451580775</v>
      </c>
      <c r="M27" s="69"/>
      <c r="N27" s="70" t="e">
        <f>I27+#REF!+#REF!</f>
        <v>#REF!</v>
      </c>
      <c r="O27" s="46">
        <f t="shared" si="2"/>
        <v>286.8505619032818</v>
      </c>
      <c r="P27" s="35">
        <f t="shared" si="3"/>
        <v>134.77334676553028</v>
      </c>
      <c r="Q27" s="32">
        <f t="shared" si="4"/>
        <v>70.56920788937204</v>
      </c>
    </row>
    <row r="28" spans="1:17" ht="12.75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8"/>
      <c r="M28" s="69"/>
      <c r="N28" s="69"/>
      <c r="O28" s="67"/>
      <c r="P28" s="35"/>
      <c r="Q28" s="32"/>
    </row>
    <row r="29" spans="1:17" ht="12.75">
      <c r="A29" s="165" t="s">
        <v>25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35"/>
      <c r="Q29" s="32"/>
    </row>
    <row r="30" spans="1:17" ht="12.75">
      <c r="A30" s="33" t="s">
        <v>3</v>
      </c>
      <c r="B30" s="33"/>
      <c r="C30" s="34" t="s">
        <v>68</v>
      </c>
      <c r="D30" s="35">
        <f>D31+D32+D34+D36+D33+D35+D38+D37</f>
        <v>13987</v>
      </c>
      <c r="E30" s="35">
        <f aca="true" t="shared" si="10" ref="E30:J30">E31+E32+E34+E36+E33+E35+E38+E37</f>
        <v>10642.8</v>
      </c>
      <c r="F30" s="35">
        <f t="shared" si="10"/>
        <v>3342.3</v>
      </c>
      <c r="G30" s="35">
        <f t="shared" si="10"/>
        <v>3958.2</v>
      </c>
      <c r="H30" s="35">
        <f t="shared" si="10"/>
        <v>3342.3</v>
      </c>
      <c r="I30" s="35">
        <f t="shared" si="10"/>
        <v>3344.2</v>
      </c>
      <c r="J30" s="35">
        <f t="shared" si="10"/>
        <v>11129.900000000001</v>
      </c>
      <c r="K30" s="35" t="e">
        <f>J30/#REF!*100</f>
        <v>#REF!</v>
      </c>
      <c r="L30" s="35">
        <f aca="true" t="shared" si="11" ref="L30:L36">J30/H30*100</f>
        <v>333.0012267001766</v>
      </c>
      <c r="M30" s="69"/>
      <c r="N30" s="69"/>
      <c r="O30" s="35">
        <f t="shared" si="2"/>
        <v>332.8120327731596</v>
      </c>
      <c r="P30" s="35">
        <f t="shared" si="3"/>
        <v>104.57680309692941</v>
      </c>
      <c r="Q30" s="32">
        <f t="shared" si="4"/>
        <v>79.57317509115609</v>
      </c>
    </row>
    <row r="31" spans="1:17" ht="12.75">
      <c r="A31" s="19" t="s">
        <v>23</v>
      </c>
      <c r="B31" s="19"/>
      <c r="C31" s="47" t="s">
        <v>22</v>
      </c>
      <c r="D31" s="73">
        <f aca="true" t="shared" si="12" ref="D31:D36">F31+G31+H31+I31</f>
        <v>11220</v>
      </c>
      <c r="E31" s="76">
        <f aca="true" t="shared" si="13" ref="E31:E40">F31+G31+H31</f>
        <v>8415</v>
      </c>
      <c r="F31" s="76">
        <v>2805</v>
      </c>
      <c r="G31" s="76">
        <v>2805</v>
      </c>
      <c r="H31" s="24">
        <v>2805</v>
      </c>
      <c r="I31" s="25">
        <v>2805</v>
      </c>
      <c r="J31" s="48">
        <v>8983.8</v>
      </c>
      <c r="K31" s="28" t="e">
        <f>J31/#REF!*100</f>
        <v>#REF!</v>
      </c>
      <c r="L31" s="28">
        <f t="shared" si="11"/>
        <v>320.27807486631013</v>
      </c>
      <c r="M31" s="69"/>
      <c r="N31" s="69"/>
      <c r="O31" s="24">
        <f t="shared" si="2"/>
        <v>320.27807486631013</v>
      </c>
      <c r="P31" s="28">
        <f>J31*100/E31</f>
        <v>106.75935828877004</v>
      </c>
      <c r="Q31" s="25">
        <f t="shared" si="4"/>
        <v>80.06951871657753</v>
      </c>
    </row>
    <row r="32" spans="1:17" ht="12.75">
      <c r="A32" s="19" t="s">
        <v>9</v>
      </c>
      <c r="B32" s="19"/>
      <c r="C32" s="36" t="s">
        <v>6</v>
      </c>
      <c r="D32" s="73">
        <f t="shared" si="12"/>
        <v>307</v>
      </c>
      <c r="E32" s="76">
        <f t="shared" si="13"/>
        <v>230.3</v>
      </c>
      <c r="F32" s="73">
        <f>55+7.5+14.3</f>
        <v>76.8</v>
      </c>
      <c r="G32" s="73">
        <v>76.7</v>
      </c>
      <c r="H32" s="24">
        <v>76.8</v>
      </c>
      <c r="I32" s="25">
        <v>76.7</v>
      </c>
      <c r="J32" s="25">
        <v>324.1</v>
      </c>
      <c r="K32" s="28" t="e">
        <f>J32/#REF!*100</f>
        <v>#REF!</v>
      </c>
      <c r="L32" s="28">
        <f t="shared" si="11"/>
        <v>422.00520833333337</v>
      </c>
      <c r="M32" s="69"/>
      <c r="N32" s="69"/>
      <c r="O32" s="24">
        <f t="shared" si="2"/>
        <v>422.55541069100394</v>
      </c>
      <c r="P32" s="28">
        <f t="shared" si="3"/>
        <v>140.72948328267478</v>
      </c>
      <c r="Q32" s="25">
        <f t="shared" si="4"/>
        <v>105.57003257328991</v>
      </c>
    </row>
    <row r="33" spans="1:17" ht="12.75">
      <c r="A33" s="19" t="s">
        <v>10</v>
      </c>
      <c r="B33" s="19"/>
      <c r="C33" s="36" t="s">
        <v>21</v>
      </c>
      <c r="D33" s="73">
        <f t="shared" si="12"/>
        <v>24</v>
      </c>
      <c r="E33" s="76">
        <f t="shared" si="13"/>
        <v>18</v>
      </c>
      <c r="F33" s="73">
        <v>6</v>
      </c>
      <c r="G33" s="73">
        <v>6</v>
      </c>
      <c r="H33" s="24">
        <v>6</v>
      </c>
      <c r="I33" s="25">
        <v>6</v>
      </c>
      <c r="J33" s="25">
        <v>9.1</v>
      </c>
      <c r="K33" s="28" t="e">
        <f>J33/#REF!*100</f>
        <v>#REF!</v>
      </c>
      <c r="L33" s="28">
        <f t="shared" si="11"/>
        <v>151.66666666666666</v>
      </c>
      <c r="M33" s="69"/>
      <c r="N33" s="69"/>
      <c r="O33" s="24">
        <f t="shared" si="2"/>
        <v>151.66666666666666</v>
      </c>
      <c r="P33" s="28">
        <f t="shared" si="3"/>
        <v>50.55555555555556</v>
      </c>
      <c r="Q33" s="25">
        <f t="shared" si="4"/>
        <v>37.916666666666664</v>
      </c>
    </row>
    <row r="34" spans="1:17" ht="24">
      <c r="A34" s="20" t="s">
        <v>11</v>
      </c>
      <c r="B34" s="20"/>
      <c r="C34" s="36" t="s">
        <v>17</v>
      </c>
      <c r="D34" s="73">
        <f t="shared" si="12"/>
        <v>1755</v>
      </c>
      <c r="E34" s="76">
        <f t="shared" si="13"/>
        <v>1316.3</v>
      </c>
      <c r="F34" s="73">
        <f>431.3+7.5</f>
        <v>438.8</v>
      </c>
      <c r="G34" s="73">
        <v>438.7</v>
      </c>
      <c r="H34" s="24">
        <v>438.8</v>
      </c>
      <c r="I34" s="25">
        <v>438.7</v>
      </c>
      <c r="J34" s="25">
        <v>1200.6</v>
      </c>
      <c r="K34" s="28" t="e">
        <f>J34/#REF!*100</f>
        <v>#REF!</v>
      </c>
      <c r="L34" s="28">
        <f t="shared" si="11"/>
        <v>273.60984503190514</v>
      </c>
      <c r="M34" s="69"/>
      <c r="N34" s="69"/>
      <c r="O34" s="24">
        <f t="shared" si="2"/>
        <v>273.6722133576476</v>
      </c>
      <c r="P34" s="28">
        <f t="shared" si="3"/>
        <v>91.21021043834992</v>
      </c>
      <c r="Q34" s="25">
        <f t="shared" si="4"/>
        <v>68.41025641025641</v>
      </c>
    </row>
    <row r="35" spans="1:17" ht="12.75" customHeight="1">
      <c r="A35" s="38" t="s">
        <v>42</v>
      </c>
      <c r="B35" s="38"/>
      <c r="C35" s="36" t="s">
        <v>43</v>
      </c>
      <c r="D35" s="73">
        <f t="shared" si="12"/>
        <v>616</v>
      </c>
      <c r="E35" s="76">
        <f t="shared" si="13"/>
        <v>616</v>
      </c>
      <c r="F35" s="73"/>
      <c r="G35" s="73">
        <v>616</v>
      </c>
      <c r="H35" s="24"/>
      <c r="I35" s="25"/>
      <c r="J35" s="25">
        <v>456.6</v>
      </c>
      <c r="K35" s="28"/>
      <c r="L35" s="28"/>
      <c r="M35" s="69"/>
      <c r="N35" s="69"/>
      <c r="O35" s="24"/>
      <c r="P35" s="28">
        <f t="shared" si="3"/>
        <v>74.12337662337663</v>
      </c>
      <c r="Q35" s="25">
        <f t="shared" si="4"/>
        <v>74.12337662337663</v>
      </c>
    </row>
    <row r="36" spans="1:17" ht="12.75">
      <c r="A36" s="37" t="s">
        <v>18</v>
      </c>
      <c r="B36" s="37"/>
      <c r="C36" s="36" t="s">
        <v>15</v>
      </c>
      <c r="D36" s="73">
        <f t="shared" si="12"/>
        <v>65</v>
      </c>
      <c r="E36" s="76">
        <f t="shared" si="13"/>
        <v>47.2</v>
      </c>
      <c r="F36" s="73">
        <v>15.7</v>
      </c>
      <c r="G36" s="73">
        <v>15.8</v>
      </c>
      <c r="H36" s="24">
        <v>15.7</v>
      </c>
      <c r="I36" s="25">
        <v>17.8</v>
      </c>
      <c r="J36" s="25">
        <v>126.2</v>
      </c>
      <c r="K36" s="28" t="e">
        <f>J36/#REF!*100</f>
        <v>#REF!</v>
      </c>
      <c r="L36" s="28">
        <f t="shared" si="11"/>
        <v>803.8216560509555</v>
      </c>
      <c r="M36" s="69"/>
      <c r="N36" s="69"/>
      <c r="O36" s="24">
        <f t="shared" si="2"/>
        <v>708.9887640449438</v>
      </c>
      <c r="P36" s="28">
        <f t="shared" si="3"/>
        <v>267.3728813559322</v>
      </c>
      <c r="Q36" s="25">
        <f t="shared" si="4"/>
        <v>194.15384615384616</v>
      </c>
    </row>
    <row r="37" spans="1:17" ht="12.75">
      <c r="A37" s="29" t="s">
        <v>12</v>
      </c>
      <c r="B37" s="29"/>
      <c r="C37" s="36" t="s">
        <v>7</v>
      </c>
      <c r="D37" s="73"/>
      <c r="E37" s="76"/>
      <c r="F37" s="73"/>
      <c r="G37" s="73"/>
      <c r="H37" s="24"/>
      <c r="I37" s="25"/>
      <c r="J37" s="25">
        <v>28.3</v>
      </c>
      <c r="K37" s="28"/>
      <c r="L37" s="28"/>
      <c r="M37" s="69"/>
      <c r="N37" s="69"/>
      <c r="O37" s="24"/>
      <c r="P37" s="28"/>
      <c r="Q37" s="25"/>
    </row>
    <row r="38" spans="1:17" ht="15.75" customHeight="1">
      <c r="A38" s="39" t="s">
        <v>39</v>
      </c>
      <c r="B38" s="40"/>
      <c r="C38" s="23" t="s">
        <v>40</v>
      </c>
      <c r="D38" s="36"/>
      <c r="E38" s="76">
        <f t="shared" si="13"/>
        <v>0</v>
      </c>
      <c r="F38" s="73"/>
      <c r="G38" s="73"/>
      <c r="H38" s="24"/>
      <c r="I38" s="25"/>
      <c r="J38" s="25">
        <v>1.2</v>
      </c>
      <c r="K38" s="28"/>
      <c r="L38" s="28"/>
      <c r="M38" s="69"/>
      <c r="N38" s="69"/>
      <c r="O38" s="24" t="e">
        <f t="shared" si="2"/>
        <v>#DIV/0!</v>
      </c>
      <c r="P38" s="35"/>
      <c r="Q38" s="32"/>
    </row>
    <row r="39" spans="1:17" ht="12.75">
      <c r="A39" s="33" t="s">
        <v>1</v>
      </c>
      <c r="B39" s="33"/>
      <c r="C39" s="41" t="s">
        <v>0</v>
      </c>
      <c r="D39" s="42">
        <f>D40+D41</f>
        <v>24304.9</v>
      </c>
      <c r="E39" s="42">
        <f aca="true" t="shared" si="14" ref="E39:J39">E40+E41</f>
        <v>18473.300000000003</v>
      </c>
      <c r="F39" s="42">
        <f t="shared" si="14"/>
        <v>5877.9</v>
      </c>
      <c r="G39" s="42">
        <f t="shared" si="14"/>
        <v>5698.8</v>
      </c>
      <c r="H39" s="42">
        <f t="shared" si="14"/>
        <v>6896.6</v>
      </c>
      <c r="I39" s="42">
        <f t="shared" si="14"/>
        <v>5831.6</v>
      </c>
      <c r="J39" s="42">
        <f t="shared" si="14"/>
        <v>15685</v>
      </c>
      <c r="K39" s="42" t="e">
        <f>K40</f>
        <v>#REF!</v>
      </c>
      <c r="L39" s="35">
        <f>J39/H39*100</f>
        <v>227.43090798364412</v>
      </c>
      <c r="M39" s="69"/>
      <c r="N39" s="69"/>
      <c r="O39" s="46">
        <f t="shared" si="2"/>
        <v>268.9656355031209</v>
      </c>
      <c r="P39" s="35">
        <f t="shared" si="3"/>
        <v>84.90632426258436</v>
      </c>
      <c r="Q39" s="32">
        <f t="shared" si="4"/>
        <v>64.53431201115824</v>
      </c>
    </row>
    <row r="40" spans="1:17" ht="24">
      <c r="A40" s="21" t="s">
        <v>67</v>
      </c>
      <c r="B40" s="19"/>
      <c r="C40" s="43" t="s">
        <v>20</v>
      </c>
      <c r="D40" s="73">
        <f>F40+G40+H40+I40</f>
        <v>24304.9</v>
      </c>
      <c r="E40" s="76">
        <f t="shared" si="13"/>
        <v>18473.300000000003</v>
      </c>
      <c r="F40" s="49">
        <f>5831.7+46.2</f>
        <v>5877.9</v>
      </c>
      <c r="G40" s="49">
        <v>5698.8</v>
      </c>
      <c r="H40" s="24">
        <f>5831.7+1053.3+11.6</f>
        <v>6896.6</v>
      </c>
      <c r="I40" s="49">
        <v>5831.6</v>
      </c>
      <c r="J40" s="25">
        <v>15685</v>
      </c>
      <c r="K40" s="28" t="e">
        <f>J40/#REF!*100</f>
        <v>#REF!</v>
      </c>
      <c r="L40" s="28">
        <f>J40/H40*100</f>
        <v>227.43090798364412</v>
      </c>
      <c r="M40" s="69"/>
      <c r="N40" s="69"/>
      <c r="O40" s="24">
        <f t="shared" si="2"/>
        <v>268.9656355031209</v>
      </c>
      <c r="P40" s="28">
        <f t="shared" si="3"/>
        <v>84.90632426258436</v>
      </c>
      <c r="Q40" s="25">
        <f t="shared" si="4"/>
        <v>64.53431201115824</v>
      </c>
    </row>
    <row r="41" spans="1:17" ht="12.75" customHeight="1" hidden="1">
      <c r="A41" s="21" t="s">
        <v>2</v>
      </c>
      <c r="B41" s="21"/>
      <c r="C41" s="44" t="s">
        <v>19</v>
      </c>
      <c r="D41" s="73">
        <f>F41+G41+H41+I41</f>
        <v>0</v>
      </c>
      <c r="E41" s="76">
        <f>F41+G41</f>
        <v>0</v>
      </c>
      <c r="F41" s="49"/>
      <c r="G41" s="49"/>
      <c r="H41" s="24"/>
      <c r="I41" s="49"/>
      <c r="J41" s="25"/>
      <c r="K41" s="28"/>
      <c r="L41" s="28"/>
      <c r="M41" s="69"/>
      <c r="N41" s="69"/>
      <c r="O41" s="24"/>
      <c r="P41" s="28"/>
      <c r="Q41" s="25"/>
    </row>
    <row r="42" spans="1:17" ht="12.75">
      <c r="A42" s="29"/>
      <c r="B42" s="30"/>
      <c r="C42" s="31" t="s">
        <v>4</v>
      </c>
      <c r="D42" s="32">
        <f aca="true" t="shared" si="15" ref="D42:I42">D39+D30</f>
        <v>38291.9</v>
      </c>
      <c r="E42" s="32">
        <f t="shared" si="15"/>
        <v>29116.100000000002</v>
      </c>
      <c r="F42" s="32">
        <f t="shared" si="15"/>
        <v>9220.2</v>
      </c>
      <c r="G42" s="32">
        <f t="shared" si="15"/>
        <v>9657</v>
      </c>
      <c r="H42" s="32">
        <f t="shared" si="15"/>
        <v>10238.900000000001</v>
      </c>
      <c r="I42" s="32">
        <f t="shared" si="15"/>
        <v>9175.8</v>
      </c>
      <c r="J42" s="32">
        <f>J39+J30</f>
        <v>26814.9</v>
      </c>
      <c r="K42" s="35" t="e">
        <f>J42/#REF!*100</f>
        <v>#REF!</v>
      </c>
      <c r="L42" s="35">
        <f>J42/H42*100</f>
        <v>261.89239078416625</v>
      </c>
      <c r="M42" s="69"/>
      <c r="N42" s="70" t="e">
        <f>I42+#REF!+#REF!</f>
        <v>#REF!</v>
      </c>
      <c r="O42" s="46">
        <f t="shared" si="2"/>
        <v>292.23500948146216</v>
      </c>
      <c r="P42" s="35">
        <f t="shared" si="3"/>
        <v>92.09646896390656</v>
      </c>
      <c r="Q42" s="32">
        <f t="shared" si="4"/>
        <v>70.02760374909576</v>
      </c>
    </row>
    <row r="43" spans="1:17" ht="12.75">
      <c r="A43" s="50"/>
      <c r="B43" s="51"/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69"/>
      <c r="N43" s="69"/>
      <c r="O43" s="67"/>
      <c r="P43" s="35"/>
      <c r="Q43" s="32"/>
    </row>
    <row r="44" spans="1:17" ht="12.75">
      <c r="A44" s="165" t="s">
        <v>26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35"/>
      <c r="Q44" s="32"/>
    </row>
    <row r="45" spans="1:17" ht="12.75">
      <c r="A45" s="33" t="s">
        <v>3</v>
      </c>
      <c r="B45" s="33"/>
      <c r="C45" s="34" t="s">
        <v>68</v>
      </c>
      <c r="D45" s="35">
        <f aca="true" t="shared" si="16" ref="D45:J45">D46+D48+D50+D51+D52+D53+D49+D47</f>
        <v>16103.9</v>
      </c>
      <c r="E45" s="35">
        <f t="shared" si="16"/>
        <v>12154.400000000001</v>
      </c>
      <c r="F45" s="35">
        <f t="shared" si="16"/>
        <v>3938.2000000000003</v>
      </c>
      <c r="G45" s="35">
        <f t="shared" si="16"/>
        <v>4271.9</v>
      </c>
      <c r="H45" s="35">
        <f t="shared" si="16"/>
        <v>3944.2999999999997</v>
      </c>
      <c r="I45" s="35">
        <f t="shared" si="16"/>
        <v>3949.5</v>
      </c>
      <c r="J45" s="35">
        <f t="shared" si="16"/>
        <v>8618.4</v>
      </c>
      <c r="K45" s="35" t="e">
        <f>J45/#REF!*100</f>
        <v>#REF!</v>
      </c>
      <c r="L45" s="35">
        <f>J45/H45*100</f>
        <v>218.50264939279467</v>
      </c>
      <c r="M45" s="69"/>
      <c r="N45" s="69"/>
      <c r="O45" s="35">
        <f t="shared" si="2"/>
        <v>218.21496391948347</v>
      </c>
      <c r="P45" s="35">
        <f t="shared" si="3"/>
        <v>70.90765484104521</v>
      </c>
      <c r="Q45" s="32">
        <f t="shared" si="4"/>
        <v>53.51747092319252</v>
      </c>
    </row>
    <row r="46" spans="1:17" ht="12.75">
      <c r="A46" s="29" t="s">
        <v>23</v>
      </c>
      <c r="B46" s="19"/>
      <c r="C46" s="47" t="s">
        <v>22</v>
      </c>
      <c r="D46" s="73">
        <f aca="true" t="shared" si="17" ref="D46:D57">F46+G46+H46+I46</f>
        <v>13570</v>
      </c>
      <c r="E46" s="76">
        <f aca="true" t="shared" si="18" ref="E46:E55">F46+G46+H46</f>
        <v>10169.7</v>
      </c>
      <c r="F46" s="73">
        <f>3342.4+45+12.3</f>
        <v>3399.7000000000003</v>
      </c>
      <c r="G46" s="73">
        <f>3342.5+45+12.5</f>
        <v>3400</v>
      </c>
      <c r="H46" s="24">
        <f>3342.5+45+12.5-30</f>
        <v>3370</v>
      </c>
      <c r="I46" s="25">
        <f>3342.6+45+12.7</f>
        <v>3400.2999999999997</v>
      </c>
      <c r="J46" s="48">
        <v>7938.9</v>
      </c>
      <c r="K46" s="28" t="e">
        <f>J46/#REF!*100</f>
        <v>#REF!</v>
      </c>
      <c r="L46" s="28">
        <f>J46/H46*100</f>
        <v>235.57566765578633</v>
      </c>
      <c r="M46" s="69"/>
      <c r="N46" s="69"/>
      <c r="O46" s="24">
        <f t="shared" si="2"/>
        <v>233.4764579595918</v>
      </c>
      <c r="P46" s="28">
        <f t="shared" si="3"/>
        <v>78.0642496828815</v>
      </c>
      <c r="Q46" s="25">
        <f t="shared" si="4"/>
        <v>58.503316138540896</v>
      </c>
    </row>
    <row r="47" spans="1:17" ht="12.75">
      <c r="A47" s="19" t="s">
        <v>8</v>
      </c>
      <c r="B47" s="19"/>
      <c r="C47" s="36" t="s">
        <v>5</v>
      </c>
      <c r="D47" s="73">
        <f t="shared" si="17"/>
        <v>23</v>
      </c>
      <c r="E47" s="76">
        <f t="shared" si="18"/>
        <v>17</v>
      </c>
      <c r="F47" s="73">
        <v>5.6</v>
      </c>
      <c r="G47" s="73">
        <v>5.7</v>
      </c>
      <c r="H47" s="24">
        <v>5.7</v>
      </c>
      <c r="I47" s="25">
        <v>6</v>
      </c>
      <c r="J47" s="48">
        <v>12.1</v>
      </c>
      <c r="K47" s="28" t="e">
        <f>J47/#REF!*100</f>
        <v>#REF!</v>
      </c>
      <c r="L47" s="28">
        <f>J47/H47*100</f>
        <v>212.28070175438597</v>
      </c>
      <c r="M47" s="69"/>
      <c r="N47" s="69"/>
      <c r="O47" s="24">
        <f t="shared" si="2"/>
        <v>201.66666666666666</v>
      </c>
      <c r="P47" s="28">
        <f t="shared" si="3"/>
        <v>71.17647058823529</v>
      </c>
      <c r="Q47" s="25">
        <f t="shared" si="4"/>
        <v>52.608695652173914</v>
      </c>
    </row>
    <row r="48" spans="1:17" ht="14.25" customHeight="1">
      <c r="A48" s="19" t="s">
        <v>9</v>
      </c>
      <c r="B48" s="19"/>
      <c r="C48" s="36" t="s">
        <v>6</v>
      </c>
      <c r="D48" s="73">
        <f t="shared" si="17"/>
        <v>1385</v>
      </c>
      <c r="E48" s="76">
        <f t="shared" si="18"/>
        <v>1035</v>
      </c>
      <c r="F48" s="73">
        <f>161+105+75</f>
        <v>341</v>
      </c>
      <c r="G48" s="73">
        <f>168+105+75</f>
        <v>348</v>
      </c>
      <c r="H48" s="24">
        <f>166+105+75</f>
        <v>346</v>
      </c>
      <c r="I48" s="25">
        <f>165+110+75</f>
        <v>350</v>
      </c>
      <c r="J48" s="25">
        <v>-410</v>
      </c>
      <c r="K48" s="28" t="e">
        <f>J48/#REF!*100</f>
        <v>#REF!</v>
      </c>
      <c r="L48" s="28">
        <f>J48/H48*100</f>
        <v>-118.4971098265896</v>
      </c>
      <c r="M48" s="69"/>
      <c r="N48" s="69"/>
      <c r="O48" s="24">
        <f t="shared" si="2"/>
        <v>-117.14285714285714</v>
      </c>
      <c r="P48" s="28">
        <f t="shared" si="3"/>
        <v>-39.61352657004831</v>
      </c>
      <c r="Q48" s="25">
        <f t="shared" si="4"/>
        <v>-29.6028880866426</v>
      </c>
    </row>
    <row r="49" spans="1:17" ht="18" customHeight="1" hidden="1">
      <c r="A49" s="19" t="s">
        <v>10</v>
      </c>
      <c r="B49" s="19"/>
      <c r="C49" s="36" t="s">
        <v>21</v>
      </c>
      <c r="D49" s="73">
        <f t="shared" si="17"/>
        <v>0</v>
      </c>
      <c r="E49" s="76">
        <f t="shared" si="18"/>
        <v>0</v>
      </c>
      <c r="F49" s="73"/>
      <c r="G49" s="73"/>
      <c r="H49" s="24"/>
      <c r="I49" s="25"/>
      <c r="J49" s="25"/>
      <c r="K49" s="28"/>
      <c r="L49" s="28"/>
      <c r="M49" s="69"/>
      <c r="N49" s="69"/>
      <c r="O49" s="24" t="e">
        <f t="shared" si="2"/>
        <v>#DIV/0!</v>
      </c>
      <c r="P49" s="28" t="e">
        <f t="shared" si="3"/>
        <v>#DIV/0!</v>
      </c>
      <c r="Q49" s="25" t="e">
        <f t="shared" si="4"/>
        <v>#DIV/0!</v>
      </c>
    </row>
    <row r="50" spans="1:17" ht="24">
      <c r="A50" s="20" t="s">
        <v>11</v>
      </c>
      <c r="B50" s="20"/>
      <c r="C50" s="36" t="s">
        <v>17</v>
      </c>
      <c r="D50" s="73">
        <f t="shared" si="17"/>
        <v>937.8000000000001</v>
      </c>
      <c r="E50" s="76">
        <f t="shared" si="18"/>
        <v>783.9000000000001</v>
      </c>
      <c r="F50" s="73">
        <f>109.3+43.2</f>
        <v>152.5</v>
      </c>
      <c r="G50" s="73">
        <f>110+43.2+320</f>
        <v>473.2</v>
      </c>
      <c r="H50" s="24">
        <f>110+43.2+5</f>
        <v>158.2</v>
      </c>
      <c r="I50" s="25">
        <f>110.7+43.2</f>
        <v>153.9</v>
      </c>
      <c r="J50" s="25">
        <v>851</v>
      </c>
      <c r="K50" s="28" t="e">
        <f>J50/#REF!*100</f>
        <v>#REF!</v>
      </c>
      <c r="L50" s="28">
        <f>J50/H50*100</f>
        <v>537.9266750948167</v>
      </c>
      <c r="M50" s="69"/>
      <c r="N50" s="69"/>
      <c r="O50" s="24">
        <f t="shared" si="2"/>
        <v>552.956465237167</v>
      </c>
      <c r="P50" s="28">
        <f t="shared" si="3"/>
        <v>108.55976527618317</v>
      </c>
      <c r="Q50" s="25">
        <f t="shared" si="4"/>
        <v>90.74429515888248</v>
      </c>
    </row>
    <row r="51" spans="1:17" ht="12.75">
      <c r="A51" s="38" t="s">
        <v>18</v>
      </c>
      <c r="B51" s="38"/>
      <c r="C51" s="36" t="s">
        <v>15</v>
      </c>
      <c r="D51" s="73">
        <f t="shared" si="17"/>
        <v>182.5</v>
      </c>
      <c r="E51" s="76">
        <f t="shared" si="18"/>
        <v>143.2</v>
      </c>
      <c r="F51" s="73">
        <v>39.4</v>
      </c>
      <c r="G51" s="73">
        <v>39.4</v>
      </c>
      <c r="H51" s="24">
        <f>39.4+25</f>
        <v>64.4</v>
      </c>
      <c r="I51" s="25">
        <v>39.3</v>
      </c>
      <c r="J51" s="25">
        <v>195.8</v>
      </c>
      <c r="K51" s="28" t="e">
        <f>J51/#REF!*100</f>
        <v>#REF!</v>
      </c>
      <c r="L51" s="28">
        <f>J51/H51*100</f>
        <v>304.0372670807453</v>
      </c>
      <c r="M51" s="69"/>
      <c r="N51" s="69"/>
      <c r="O51" s="24">
        <f t="shared" si="2"/>
        <v>498.2188295165395</v>
      </c>
      <c r="P51" s="28">
        <f t="shared" si="3"/>
        <v>136.731843575419</v>
      </c>
      <c r="Q51" s="25">
        <f t="shared" si="4"/>
        <v>107.28767123287672</v>
      </c>
    </row>
    <row r="52" spans="1:17" ht="15.75" customHeight="1">
      <c r="A52" s="29" t="s">
        <v>12</v>
      </c>
      <c r="B52" s="29"/>
      <c r="C52" s="36" t="s">
        <v>7</v>
      </c>
      <c r="D52" s="73">
        <f t="shared" si="17"/>
        <v>5.6</v>
      </c>
      <c r="E52" s="76">
        <f t="shared" si="18"/>
        <v>5.6</v>
      </c>
      <c r="F52" s="73"/>
      <c r="G52" s="73">
        <v>5.6</v>
      </c>
      <c r="H52" s="24"/>
      <c r="I52" s="25"/>
      <c r="J52" s="25">
        <v>30.6</v>
      </c>
      <c r="K52" s="28" t="e">
        <f>J52/#REF!*100</f>
        <v>#REF!</v>
      </c>
      <c r="L52" s="28"/>
      <c r="M52" s="69"/>
      <c r="N52" s="69"/>
      <c r="O52" s="24" t="e">
        <f t="shared" si="2"/>
        <v>#DIV/0!</v>
      </c>
      <c r="P52" s="28">
        <f>J52*100/E52</f>
        <v>546.4285714285714</v>
      </c>
      <c r="Q52" s="25">
        <f>J52*100/D52</f>
        <v>546.4285714285714</v>
      </c>
    </row>
    <row r="53" spans="1:17" ht="14.25" customHeight="1">
      <c r="A53" s="52" t="s">
        <v>39</v>
      </c>
      <c r="B53" s="40"/>
      <c r="C53" s="23" t="s">
        <v>40</v>
      </c>
      <c r="D53" s="73">
        <f t="shared" si="17"/>
        <v>0</v>
      </c>
      <c r="E53" s="76">
        <f t="shared" si="18"/>
        <v>0</v>
      </c>
      <c r="F53" s="73"/>
      <c r="G53" s="73"/>
      <c r="H53" s="24"/>
      <c r="I53" s="25"/>
      <c r="J53" s="25"/>
      <c r="K53" s="28"/>
      <c r="L53" s="28"/>
      <c r="M53" s="69"/>
      <c r="N53" s="69"/>
      <c r="O53" s="24" t="e">
        <f t="shared" si="2"/>
        <v>#DIV/0!</v>
      </c>
      <c r="P53" s="28"/>
      <c r="Q53" s="25"/>
    </row>
    <row r="54" spans="1:17" ht="12.75">
      <c r="A54" s="45" t="s">
        <v>1</v>
      </c>
      <c r="B54" s="45"/>
      <c r="C54" s="41" t="s">
        <v>0</v>
      </c>
      <c r="D54" s="42">
        <f>D55+D57+D56</f>
        <v>29821.999999999996</v>
      </c>
      <c r="E54" s="42">
        <f aca="true" t="shared" si="19" ref="E54:O54">E55+E57+E56</f>
        <v>22958.199999999997</v>
      </c>
      <c r="F54" s="42">
        <f t="shared" si="19"/>
        <v>6223.3</v>
      </c>
      <c r="G54" s="42">
        <f t="shared" si="19"/>
        <v>8085.3</v>
      </c>
      <c r="H54" s="42">
        <f t="shared" si="19"/>
        <v>8649.599999999999</v>
      </c>
      <c r="I54" s="42">
        <f t="shared" si="19"/>
        <v>6863.8</v>
      </c>
      <c r="J54" s="42">
        <f>J55+J57+J56</f>
        <v>17266.9</v>
      </c>
      <c r="K54" s="42" t="e">
        <f t="shared" si="19"/>
        <v>#REF!</v>
      </c>
      <c r="L54" s="42">
        <f t="shared" si="19"/>
        <v>199.62657232704407</v>
      </c>
      <c r="M54" s="42">
        <f t="shared" si="19"/>
        <v>0.1</v>
      </c>
      <c r="N54" s="42">
        <f t="shared" si="19"/>
        <v>0</v>
      </c>
      <c r="O54" s="42" t="e">
        <f t="shared" si="19"/>
        <v>#DIV/0!</v>
      </c>
      <c r="P54" s="35">
        <f t="shared" si="3"/>
        <v>75.21016455993939</v>
      </c>
      <c r="Q54" s="32">
        <f t="shared" si="4"/>
        <v>57.899872577291944</v>
      </c>
    </row>
    <row r="55" spans="1:17" ht="24">
      <c r="A55" s="21" t="s">
        <v>67</v>
      </c>
      <c r="B55" s="19"/>
      <c r="C55" s="43" t="s">
        <v>20</v>
      </c>
      <c r="D55" s="73">
        <f t="shared" si="17"/>
        <v>29821.999999999996</v>
      </c>
      <c r="E55" s="76">
        <f t="shared" si="18"/>
        <v>22958.199999999997</v>
      </c>
      <c r="F55" s="49">
        <v>6223.3</v>
      </c>
      <c r="G55" s="49">
        <v>8085.3</v>
      </c>
      <c r="H55" s="24">
        <f>6863.8+1776.5+9.3</f>
        <v>8649.599999999999</v>
      </c>
      <c r="I55" s="24">
        <v>6863.8</v>
      </c>
      <c r="J55" s="25">
        <v>17266.9</v>
      </c>
      <c r="K55" s="28" t="e">
        <f>J55/#REF!*100</f>
        <v>#REF!</v>
      </c>
      <c r="L55" s="28">
        <f>J55/H55*100</f>
        <v>199.62657232704407</v>
      </c>
      <c r="M55" s="69">
        <v>0.1</v>
      </c>
      <c r="N55" s="69"/>
      <c r="O55" s="24">
        <f t="shared" si="2"/>
        <v>251.56473090707775</v>
      </c>
      <c r="P55" s="28">
        <f t="shared" si="3"/>
        <v>75.21016455993939</v>
      </c>
      <c r="Q55" s="25">
        <f t="shared" si="4"/>
        <v>57.899872577291944</v>
      </c>
    </row>
    <row r="56" spans="1:17" ht="15.75" customHeight="1" hidden="1">
      <c r="A56" s="21" t="s">
        <v>2</v>
      </c>
      <c r="B56" s="21"/>
      <c r="C56" s="44" t="s">
        <v>19</v>
      </c>
      <c r="D56" s="73">
        <f>F56+G56+H56+I56</f>
        <v>0</v>
      </c>
      <c r="E56" s="73">
        <f>F56</f>
        <v>0</v>
      </c>
      <c r="F56" s="49"/>
      <c r="G56" s="49"/>
      <c r="H56" s="24"/>
      <c r="I56" s="67"/>
      <c r="J56" s="25"/>
      <c r="K56" s="28"/>
      <c r="L56" s="28"/>
      <c r="M56" s="69"/>
      <c r="N56" s="69"/>
      <c r="O56" s="24"/>
      <c r="P56" s="28" t="e">
        <f t="shared" si="3"/>
        <v>#DIV/0!</v>
      </c>
      <c r="Q56" s="25" t="e">
        <f t="shared" si="4"/>
        <v>#DIV/0!</v>
      </c>
    </row>
    <row r="57" spans="1:17" ht="16.5" customHeight="1" hidden="1">
      <c r="A57" s="21" t="s">
        <v>66</v>
      </c>
      <c r="B57" s="26"/>
      <c r="C57" s="27" t="s">
        <v>63</v>
      </c>
      <c r="D57" s="73">
        <f t="shared" si="17"/>
        <v>0</v>
      </c>
      <c r="E57" s="73">
        <f>F57</f>
        <v>0</v>
      </c>
      <c r="F57" s="77"/>
      <c r="G57" s="77"/>
      <c r="H57" s="24"/>
      <c r="I57" s="67"/>
      <c r="J57" s="25"/>
      <c r="K57" s="28" t="e">
        <f>J57/#REF!*100</f>
        <v>#REF!</v>
      </c>
      <c r="L57" s="28"/>
      <c r="M57" s="69"/>
      <c r="N57" s="69"/>
      <c r="O57" s="24" t="e">
        <f t="shared" si="2"/>
        <v>#DIV/0!</v>
      </c>
      <c r="P57" s="28"/>
      <c r="Q57" s="25"/>
    </row>
    <row r="58" spans="1:17" ht="12.75">
      <c r="A58" s="20"/>
      <c r="B58" s="53"/>
      <c r="C58" s="54" t="s">
        <v>4</v>
      </c>
      <c r="D58" s="55">
        <f aca="true" t="shared" si="20" ref="D58:J58">D54+D45</f>
        <v>45925.899999999994</v>
      </c>
      <c r="E58" s="55">
        <f t="shared" si="20"/>
        <v>35112.6</v>
      </c>
      <c r="F58" s="55">
        <f t="shared" si="20"/>
        <v>10161.5</v>
      </c>
      <c r="G58" s="55">
        <f t="shared" si="20"/>
        <v>12357.2</v>
      </c>
      <c r="H58" s="55">
        <f t="shared" si="20"/>
        <v>12593.899999999998</v>
      </c>
      <c r="I58" s="55">
        <f t="shared" si="20"/>
        <v>10813.3</v>
      </c>
      <c r="J58" s="55">
        <f t="shared" si="20"/>
        <v>25885.300000000003</v>
      </c>
      <c r="K58" s="35" t="e">
        <f>J58/#REF!*100</f>
        <v>#REF!</v>
      </c>
      <c r="L58" s="35">
        <f>J58/H58*100</f>
        <v>205.5383955724597</v>
      </c>
      <c r="M58" s="69"/>
      <c r="N58" s="70" t="e">
        <f>I58+#REF!+#REF!</f>
        <v>#REF!</v>
      </c>
      <c r="O58" s="46">
        <f t="shared" si="2"/>
        <v>239.38390685544658</v>
      </c>
      <c r="P58" s="35">
        <f t="shared" si="3"/>
        <v>73.7208295597592</v>
      </c>
      <c r="Q58" s="32">
        <f t="shared" si="4"/>
        <v>56.36318504373351</v>
      </c>
    </row>
    <row r="59" spans="1:17" ht="12.75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8"/>
      <c r="M59" s="69"/>
      <c r="N59" s="69"/>
      <c r="O59" s="67"/>
      <c r="P59" s="35"/>
      <c r="Q59" s="32"/>
    </row>
    <row r="60" spans="1:17" ht="12.75">
      <c r="A60" s="165" t="s">
        <v>27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5"/>
      <c r="Q60" s="32"/>
    </row>
    <row r="61" spans="1:17" ht="12.75">
      <c r="A61" s="45" t="s">
        <v>3</v>
      </c>
      <c r="B61" s="45"/>
      <c r="C61" s="68" t="s">
        <v>68</v>
      </c>
      <c r="D61" s="46">
        <f aca="true" t="shared" si="21" ref="D61:J61">D62+D64+D66+D68+D65+D70+D69+D63+D67</f>
        <v>31565</v>
      </c>
      <c r="E61" s="46">
        <f t="shared" si="21"/>
        <v>23301.9</v>
      </c>
      <c r="F61" s="46">
        <f t="shared" si="21"/>
        <v>7887</v>
      </c>
      <c r="G61" s="46">
        <f t="shared" si="21"/>
        <v>8911.5</v>
      </c>
      <c r="H61" s="46">
        <f t="shared" si="21"/>
        <v>6503.4</v>
      </c>
      <c r="I61" s="46">
        <f t="shared" si="21"/>
        <v>8263.099999999999</v>
      </c>
      <c r="J61" s="46">
        <f t="shared" si="21"/>
        <v>28971.5</v>
      </c>
      <c r="K61" s="46" t="e">
        <f>J61/#REF!*100</f>
        <v>#REF!</v>
      </c>
      <c r="L61" s="46">
        <f aca="true" t="shared" si="22" ref="L61:L68">J61/H61*100</f>
        <v>445.48236307162415</v>
      </c>
      <c r="M61" s="71"/>
      <c r="N61" s="71"/>
      <c r="O61" s="46">
        <f t="shared" si="2"/>
        <v>350.61296607810635</v>
      </c>
      <c r="P61" s="35">
        <f t="shared" si="3"/>
        <v>124.33106313219093</v>
      </c>
      <c r="Q61" s="32">
        <f t="shared" si="4"/>
        <v>91.78362109931886</v>
      </c>
    </row>
    <row r="62" spans="1:17" ht="12.75">
      <c r="A62" s="19" t="s">
        <v>23</v>
      </c>
      <c r="B62" s="19"/>
      <c r="C62" s="47" t="s">
        <v>22</v>
      </c>
      <c r="D62" s="73">
        <f>F62+G62+H62+I62</f>
        <v>16400</v>
      </c>
      <c r="E62" s="76">
        <f aca="true" t="shared" si="23" ref="E62:E73">F62+G62+H62</f>
        <v>11776.4</v>
      </c>
      <c r="F62" s="78">
        <f>4891+33</f>
        <v>4924</v>
      </c>
      <c r="G62" s="78">
        <f>3847+10</f>
        <v>3857</v>
      </c>
      <c r="H62" s="28">
        <f>2896+97.6+1.8</f>
        <v>2995.4</v>
      </c>
      <c r="I62" s="28">
        <f>4616+2.4+5.2</f>
        <v>4623.599999999999</v>
      </c>
      <c r="J62" s="28">
        <v>14605.2</v>
      </c>
      <c r="K62" s="28" t="e">
        <f>J62/#REF!*100</f>
        <v>#REF!</v>
      </c>
      <c r="L62" s="28">
        <f t="shared" si="22"/>
        <v>487.5876343727048</v>
      </c>
      <c r="M62" s="69"/>
      <c r="N62" s="69"/>
      <c r="O62" s="28">
        <f t="shared" si="2"/>
        <v>315.88372696600055</v>
      </c>
      <c r="P62" s="28">
        <f t="shared" si="3"/>
        <v>124.02092320233687</v>
      </c>
      <c r="Q62" s="25">
        <f t="shared" si="4"/>
        <v>89.05609756097562</v>
      </c>
    </row>
    <row r="63" spans="1:17" ht="12.75">
      <c r="A63" s="19" t="s">
        <v>8</v>
      </c>
      <c r="B63" s="19"/>
      <c r="C63" s="36" t="s">
        <v>5</v>
      </c>
      <c r="D63" s="73">
        <f aca="true" t="shared" si="24" ref="D63:D73">F63+G63+H63+I63</f>
        <v>35</v>
      </c>
      <c r="E63" s="76">
        <f t="shared" si="23"/>
        <v>34.5</v>
      </c>
      <c r="F63" s="49">
        <v>26</v>
      </c>
      <c r="G63" s="49">
        <v>8.5</v>
      </c>
      <c r="H63" s="24"/>
      <c r="I63" s="24">
        <v>0.5</v>
      </c>
      <c r="J63" s="24">
        <v>31.5</v>
      </c>
      <c r="K63" s="28" t="e">
        <f>J63/#REF!*100</f>
        <v>#REF!</v>
      </c>
      <c r="L63" s="28" t="e">
        <f t="shared" si="22"/>
        <v>#DIV/0!</v>
      </c>
      <c r="M63" s="69"/>
      <c r="N63" s="69"/>
      <c r="O63" s="24">
        <f t="shared" si="2"/>
        <v>6300</v>
      </c>
      <c r="P63" s="28">
        <f t="shared" si="3"/>
        <v>91.30434782608695</v>
      </c>
      <c r="Q63" s="25">
        <f t="shared" si="4"/>
        <v>90</v>
      </c>
    </row>
    <row r="64" spans="1:17" ht="12.75">
      <c r="A64" s="19" t="s">
        <v>9</v>
      </c>
      <c r="B64" s="19"/>
      <c r="C64" s="36" t="s">
        <v>6</v>
      </c>
      <c r="D64" s="73">
        <f t="shared" si="24"/>
        <v>7450</v>
      </c>
      <c r="E64" s="76">
        <f t="shared" si="23"/>
        <v>6018</v>
      </c>
      <c r="F64" s="49">
        <v>1715</v>
      </c>
      <c r="G64" s="49">
        <v>2636</v>
      </c>
      <c r="H64" s="24">
        <v>1667</v>
      </c>
      <c r="I64" s="24">
        <v>1432</v>
      </c>
      <c r="J64" s="24">
        <v>5346.8</v>
      </c>
      <c r="K64" s="28" t="e">
        <f>J64/#REF!*100</f>
        <v>#REF!</v>
      </c>
      <c r="L64" s="28">
        <f t="shared" si="22"/>
        <v>320.74385122975406</v>
      </c>
      <c r="M64" s="69"/>
      <c r="N64" s="69"/>
      <c r="O64" s="24">
        <f t="shared" si="2"/>
        <v>373.37988826815644</v>
      </c>
      <c r="P64" s="28">
        <f t="shared" si="3"/>
        <v>88.84679295446992</v>
      </c>
      <c r="Q64" s="25">
        <f t="shared" si="4"/>
        <v>71.76912751677852</v>
      </c>
    </row>
    <row r="65" spans="1:17" ht="18.75" customHeight="1">
      <c r="A65" s="19" t="s">
        <v>10</v>
      </c>
      <c r="B65" s="19"/>
      <c r="C65" s="36" t="s">
        <v>21</v>
      </c>
      <c r="D65" s="73">
        <f t="shared" si="24"/>
        <v>70</v>
      </c>
      <c r="E65" s="76">
        <f t="shared" si="23"/>
        <v>70</v>
      </c>
      <c r="F65" s="49"/>
      <c r="G65" s="49">
        <v>70</v>
      </c>
      <c r="H65" s="24"/>
      <c r="I65" s="24"/>
      <c r="J65" s="24">
        <v>130.6</v>
      </c>
      <c r="K65" s="28"/>
      <c r="L65" s="28" t="e">
        <f t="shared" si="22"/>
        <v>#DIV/0!</v>
      </c>
      <c r="M65" s="69"/>
      <c r="N65" s="69"/>
      <c r="O65" s="24" t="e">
        <f t="shared" si="2"/>
        <v>#DIV/0!</v>
      </c>
      <c r="P65" s="28">
        <f>J65*100/E65</f>
        <v>186.57142857142858</v>
      </c>
      <c r="Q65" s="25">
        <f>J65*100/D65</f>
        <v>186.57142857142858</v>
      </c>
    </row>
    <row r="66" spans="1:17" ht="24">
      <c r="A66" s="20" t="s">
        <v>11</v>
      </c>
      <c r="B66" s="20"/>
      <c r="C66" s="36" t="s">
        <v>17</v>
      </c>
      <c r="D66" s="73">
        <f t="shared" si="24"/>
        <v>7270</v>
      </c>
      <c r="E66" s="76">
        <f t="shared" si="23"/>
        <v>5104</v>
      </c>
      <c r="F66" s="49">
        <f>1083+32</f>
        <v>1115</v>
      </c>
      <c r="G66" s="49">
        <v>2169</v>
      </c>
      <c r="H66" s="24">
        <f>1710+110</f>
        <v>1820</v>
      </c>
      <c r="I66" s="24">
        <f>2001+165</f>
        <v>2166</v>
      </c>
      <c r="J66" s="24">
        <v>8616.9</v>
      </c>
      <c r="K66" s="28" t="e">
        <f>J66/#REF!*100</f>
        <v>#REF!</v>
      </c>
      <c r="L66" s="28">
        <f t="shared" si="22"/>
        <v>473.45604395604397</v>
      </c>
      <c r="M66" s="69"/>
      <c r="N66" s="69"/>
      <c r="O66" s="24">
        <f t="shared" si="2"/>
        <v>397.8254847645429</v>
      </c>
      <c r="P66" s="28">
        <f t="shared" si="3"/>
        <v>168.8264106583072</v>
      </c>
      <c r="Q66" s="25">
        <f t="shared" si="4"/>
        <v>118.52682255845943</v>
      </c>
    </row>
    <row r="67" spans="1:17" ht="12.75" customHeight="1" hidden="1">
      <c r="A67" s="38" t="s">
        <v>42</v>
      </c>
      <c r="B67" s="38"/>
      <c r="C67" s="36" t="s">
        <v>43</v>
      </c>
      <c r="D67" s="73">
        <f t="shared" si="24"/>
        <v>0</v>
      </c>
      <c r="E67" s="76">
        <f t="shared" si="23"/>
        <v>0</v>
      </c>
      <c r="F67" s="49"/>
      <c r="G67" s="49"/>
      <c r="H67" s="24"/>
      <c r="I67" s="24"/>
      <c r="J67" s="24">
        <v>2</v>
      </c>
      <c r="K67" s="28" t="e">
        <f>J67/#REF!*100</f>
        <v>#REF!</v>
      </c>
      <c r="L67" s="28"/>
      <c r="M67" s="69"/>
      <c r="N67" s="69"/>
      <c r="O67" s="24" t="e">
        <f t="shared" si="2"/>
        <v>#DIV/0!</v>
      </c>
      <c r="P67" s="28" t="e">
        <f t="shared" si="3"/>
        <v>#DIV/0!</v>
      </c>
      <c r="Q67" s="25" t="e">
        <f t="shared" si="4"/>
        <v>#DIV/0!</v>
      </c>
    </row>
    <row r="68" spans="1:17" ht="12.75">
      <c r="A68" s="37" t="s">
        <v>18</v>
      </c>
      <c r="B68" s="37"/>
      <c r="C68" s="36" t="s">
        <v>15</v>
      </c>
      <c r="D68" s="73">
        <f t="shared" si="24"/>
        <v>310</v>
      </c>
      <c r="E68" s="76">
        <f t="shared" si="23"/>
        <v>269</v>
      </c>
      <c r="F68" s="49">
        <v>107</v>
      </c>
      <c r="G68" s="49">
        <v>141</v>
      </c>
      <c r="H68" s="24">
        <v>21</v>
      </c>
      <c r="I68" s="24">
        <v>41</v>
      </c>
      <c r="J68" s="24">
        <v>122.1</v>
      </c>
      <c r="K68" s="28" t="e">
        <f>J68/#REF!*100</f>
        <v>#REF!</v>
      </c>
      <c r="L68" s="28">
        <f t="shared" si="22"/>
        <v>581.4285714285714</v>
      </c>
      <c r="M68" s="69"/>
      <c r="N68" s="69"/>
      <c r="O68" s="24">
        <f t="shared" si="2"/>
        <v>297.8048780487805</v>
      </c>
      <c r="P68" s="28">
        <f t="shared" si="3"/>
        <v>45.39033457249071</v>
      </c>
      <c r="Q68" s="25">
        <f t="shared" si="4"/>
        <v>39.38709677419355</v>
      </c>
    </row>
    <row r="69" spans="1:17" ht="15.75" customHeight="1">
      <c r="A69" s="29" t="s">
        <v>12</v>
      </c>
      <c r="B69" s="29"/>
      <c r="C69" s="36" t="s">
        <v>7</v>
      </c>
      <c r="D69" s="73">
        <f t="shared" si="24"/>
        <v>30</v>
      </c>
      <c r="E69" s="76">
        <f t="shared" si="23"/>
        <v>30</v>
      </c>
      <c r="F69" s="49"/>
      <c r="G69" s="49">
        <v>30</v>
      </c>
      <c r="H69" s="24"/>
      <c r="I69" s="24"/>
      <c r="J69" s="24">
        <v>116.4</v>
      </c>
      <c r="K69" s="28"/>
      <c r="L69" s="28"/>
      <c r="M69" s="69"/>
      <c r="N69" s="69"/>
      <c r="O69" s="24" t="e">
        <f t="shared" si="2"/>
        <v>#DIV/0!</v>
      </c>
      <c r="P69" s="28">
        <f>J69*100/E69</f>
        <v>388</v>
      </c>
      <c r="Q69" s="25">
        <f>J69*100/D69</f>
        <v>388</v>
      </c>
    </row>
    <row r="70" spans="1:17" ht="12.75">
      <c r="A70" s="39" t="s">
        <v>39</v>
      </c>
      <c r="B70" s="40"/>
      <c r="C70" s="23" t="s">
        <v>40</v>
      </c>
      <c r="D70" s="73">
        <f t="shared" si="24"/>
        <v>0</v>
      </c>
      <c r="E70" s="76">
        <f t="shared" si="23"/>
        <v>0</v>
      </c>
      <c r="F70" s="49"/>
      <c r="G70" s="49"/>
      <c r="H70" s="24"/>
      <c r="I70" s="24"/>
      <c r="J70" s="24"/>
      <c r="K70" s="28"/>
      <c r="L70" s="28"/>
      <c r="M70" s="69"/>
      <c r="N70" s="69"/>
      <c r="O70" s="24" t="e">
        <f t="shared" si="2"/>
        <v>#DIV/0!</v>
      </c>
      <c r="P70" s="28"/>
      <c r="Q70" s="25"/>
    </row>
    <row r="71" spans="1:17" ht="12.75">
      <c r="A71" s="33" t="s">
        <v>1</v>
      </c>
      <c r="B71" s="33"/>
      <c r="C71" s="41" t="s">
        <v>0</v>
      </c>
      <c r="D71" s="42">
        <f aca="true" t="shared" si="25" ref="D71:J71">D72+D73</f>
        <v>43054.7</v>
      </c>
      <c r="E71" s="42">
        <f t="shared" si="25"/>
        <v>32749.4</v>
      </c>
      <c r="F71" s="42">
        <f t="shared" si="25"/>
        <v>6013.800000000001</v>
      </c>
      <c r="G71" s="42">
        <f t="shared" si="25"/>
        <v>13423.8</v>
      </c>
      <c r="H71" s="42">
        <f t="shared" si="25"/>
        <v>13311.800000000001</v>
      </c>
      <c r="I71" s="42">
        <f t="shared" si="25"/>
        <v>10305.3</v>
      </c>
      <c r="J71" s="42">
        <f t="shared" si="25"/>
        <v>25856.6</v>
      </c>
      <c r="K71" s="35" t="e">
        <f>J71/#REF!*100</f>
        <v>#REF!</v>
      </c>
      <c r="L71" s="35">
        <f>J71/H71*100</f>
        <v>194.2381946844153</v>
      </c>
      <c r="M71" s="69"/>
      <c r="N71" s="69"/>
      <c r="O71" s="46">
        <f t="shared" si="2"/>
        <v>250.90584456541782</v>
      </c>
      <c r="P71" s="35">
        <f t="shared" si="3"/>
        <v>78.95289684696513</v>
      </c>
      <c r="Q71" s="32">
        <f t="shared" si="4"/>
        <v>60.055232065256526</v>
      </c>
    </row>
    <row r="72" spans="1:17" ht="23.25" customHeight="1">
      <c r="A72" s="21" t="s">
        <v>67</v>
      </c>
      <c r="B72" s="19"/>
      <c r="C72" s="43" t="s">
        <v>20</v>
      </c>
      <c r="D72" s="73">
        <f t="shared" si="24"/>
        <v>43024.7</v>
      </c>
      <c r="E72" s="76">
        <f t="shared" si="23"/>
        <v>32719.4</v>
      </c>
      <c r="F72" s="49">
        <f>11292.7-5468.2+189.3</f>
        <v>6013.800000000001</v>
      </c>
      <c r="G72" s="49">
        <v>13393.8</v>
      </c>
      <c r="H72" s="24">
        <f>12097.6+1200.7+13.5</f>
        <v>13311.800000000001</v>
      </c>
      <c r="I72" s="25">
        <v>10305.3</v>
      </c>
      <c r="J72" s="25">
        <v>25781.6</v>
      </c>
      <c r="K72" s="28" t="e">
        <f>J72/#REF!*100</f>
        <v>#REF!</v>
      </c>
      <c r="L72" s="28">
        <f>J72/H72*100</f>
        <v>193.6747847774155</v>
      </c>
      <c r="M72" s="69"/>
      <c r="N72" s="69"/>
      <c r="O72" s="24">
        <f t="shared" si="2"/>
        <v>250.17806371478756</v>
      </c>
      <c r="P72" s="28">
        <f t="shared" si="3"/>
        <v>78.79606594252951</v>
      </c>
      <c r="Q72" s="25">
        <f t="shared" si="4"/>
        <v>59.922788537746925</v>
      </c>
    </row>
    <row r="73" spans="1:17" ht="17.25" customHeight="1">
      <c r="A73" s="21" t="s">
        <v>2</v>
      </c>
      <c r="B73" s="21"/>
      <c r="C73" s="44" t="s">
        <v>19</v>
      </c>
      <c r="D73" s="73">
        <f t="shared" si="24"/>
        <v>30</v>
      </c>
      <c r="E73" s="76">
        <f t="shared" si="23"/>
        <v>30</v>
      </c>
      <c r="F73" s="77"/>
      <c r="G73" s="77">
        <v>30</v>
      </c>
      <c r="H73" s="24"/>
      <c r="I73" s="25"/>
      <c r="J73" s="25">
        <v>75</v>
      </c>
      <c r="K73" s="28" t="e">
        <f>J73/#REF!*100</f>
        <v>#REF!</v>
      </c>
      <c r="L73" s="28"/>
      <c r="M73" s="69"/>
      <c r="N73" s="69"/>
      <c r="O73" s="24" t="e">
        <f t="shared" si="2"/>
        <v>#DIV/0!</v>
      </c>
      <c r="P73" s="28">
        <f>J73*100/E73</f>
        <v>250</v>
      </c>
      <c r="Q73" s="25">
        <f>J73*100/D73</f>
        <v>250</v>
      </c>
    </row>
    <row r="74" spans="1:17" ht="12.75">
      <c r="A74" s="29"/>
      <c r="B74" s="30"/>
      <c r="C74" s="31" t="s">
        <v>4</v>
      </c>
      <c r="D74" s="32">
        <f aca="true" t="shared" si="26" ref="D74:K74">D71+D61</f>
        <v>74619.7</v>
      </c>
      <c r="E74" s="32">
        <f t="shared" si="26"/>
        <v>56051.3</v>
      </c>
      <c r="F74" s="32">
        <f t="shared" si="26"/>
        <v>13900.800000000001</v>
      </c>
      <c r="G74" s="32">
        <f t="shared" si="26"/>
        <v>22335.3</v>
      </c>
      <c r="H74" s="32">
        <f t="shared" si="26"/>
        <v>19815.2</v>
      </c>
      <c r="I74" s="32">
        <f t="shared" si="26"/>
        <v>18568.399999999998</v>
      </c>
      <c r="J74" s="32">
        <f t="shared" si="26"/>
        <v>54828.1</v>
      </c>
      <c r="K74" s="32" t="e">
        <f t="shared" si="26"/>
        <v>#REF!</v>
      </c>
      <c r="L74" s="35">
        <f>J74/H74*100</f>
        <v>276.6971819613226</v>
      </c>
      <c r="M74" s="69"/>
      <c r="N74" s="70" t="e">
        <f>I74+#REF!+#REF!</f>
        <v>#REF!</v>
      </c>
      <c r="O74" s="46">
        <f t="shared" si="2"/>
        <v>295.2763835333147</v>
      </c>
      <c r="P74" s="35">
        <f t="shared" si="3"/>
        <v>97.81771341610275</v>
      </c>
      <c r="Q74" s="32">
        <f t="shared" si="4"/>
        <v>73.47670923362061</v>
      </c>
    </row>
    <row r="75" spans="1:17" ht="12.75">
      <c r="A75" s="1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8"/>
      <c r="M75" s="69"/>
      <c r="N75" s="69"/>
      <c r="O75" s="67"/>
      <c r="P75" s="35"/>
      <c r="Q75" s="32"/>
    </row>
    <row r="76" spans="1:17" ht="12.75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35"/>
      <c r="Q76" s="32"/>
    </row>
    <row r="77" spans="1:17" ht="12.75">
      <c r="A77" s="33" t="s">
        <v>3</v>
      </c>
      <c r="B77" s="33"/>
      <c r="C77" s="34" t="s">
        <v>68</v>
      </c>
      <c r="D77" s="35">
        <f>D78+D79+D80+D81+D82+D83+D84+D85+D86</f>
        <v>23720.799999999996</v>
      </c>
      <c r="E77" s="35">
        <f>E78+E79+E80+E81+E82+E83+E84+E85+E86</f>
        <v>16619.1</v>
      </c>
      <c r="F77" s="35">
        <f>F78+F79+F80+F81+F82+F83+F84+F85+F86</f>
        <v>5615.3</v>
      </c>
      <c r="G77" s="35">
        <f>G78+G79+G80+G81+G82+G83+G84+G85+G86</f>
        <v>5088.8</v>
      </c>
      <c r="H77" s="35">
        <f>H78+H79+H80+H81+H82+H83+H84+H85+H86</f>
        <v>5915.000000000001</v>
      </c>
      <c r="I77" s="35">
        <f>I78+I79+I80+I81+I82+I83+I84+I85+I86+I87</f>
        <v>7101.7</v>
      </c>
      <c r="J77" s="35">
        <f>J78+J79+J80+J81+J82+J83+J84+J85+J86+J87</f>
        <v>18519.4</v>
      </c>
      <c r="K77" s="35" t="e">
        <f>J77/#REF!*100</f>
        <v>#REF!</v>
      </c>
      <c r="L77" s="35">
        <f>J77/H77*100</f>
        <v>313.0921386306001</v>
      </c>
      <c r="M77" s="69"/>
      <c r="N77" s="69"/>
      <c r="O77" s="35">
        <f t="shared" si="2"/>
        <v>260.77418082994217</v>
      </c>
      <c r="P77" s="35">
        <f aca="true" t="shared" si="27" ref="P77:P141">J77*100/E77</f>
        <v>111.4344338742772</v>
      </c>
      <c r="Q77" s="32">
        <f aca="true" t="shared" si="28" ref="Q77:Q141">J77*100/D77</f>
        <v>78.07240902499075</v>
      </c>
    </row>
    <row r="78" spans="1:17" ht="12.75">
      <c r="A78" s="29" t="s">
        <v>23</v>
      </c>
      <c r="B78" s="29"/>
      <c r="C78" s="36" t="s">
        <v>22</v>
      </c>
      <c r="D78" s="73">
        <f>F78+G78+H78+I78</f>
        <v>15700</v>
      </c>
      <c r="E78" s="76">
        <f aca="true" t="shared" si="29" ref="E78:E86">F78+G78+H78</f>
        <v>10833</v>
      </c>
      <c r="F78" s="49">
        <v>3140</v>
      </c>
      <c r="G78" s="49">
        <v>4082</v>
      </c>
      <c r="H78" s="24">
        <v>3611</v>
      </c>
      <c r="I78" s="24">
        <v>4867</v>
      </c>
      <c r="J78" s="25">
        <v>13151.2</v>
      </c>
      <c r="K78" s="28" t="e">
        <f>J78/#REF!*100</f>
        <v>#REF!</v>
      </c>
      <c r="L78" s="28">
        <f>J78/H78*100</f>
        <v>364.1982830240931</v>
      </c>
      <c r="M78" s="69"/>
      <c r="N78" s="69"/>
      <c r="O78" s="24">
        <f aca="true" t="shared" si="30" ref="O78:O145">J78*100/I78</f>
        <v>270.2116293404561</v>
      </c>
      <c r="P78" s="28">
        <f t="shared" si="27"/>
        <v>121.39942767469768</v>
      </c>
      <c r="Q78" s="25">
        <f t="shared" si="28"/>
        <v>83.7656050955414</v>
      </c>
    </row>
    <row r="79" spans="1:17" ht="14.25" customHeight="1" hidden="1">
      <c r="A79" s="19" t="s">
        <v>8</v>
      </c>
      <c r="B79" s="19"/>
      <c r="C79" s="36" t="s">
        <v>5</v>
      </c>
      <c r="D79" s="73">
        <f aca="true" t="shared" si="31" ref="D79:D86">F79+G79+H79+I79</f>
        <v>0</v>
      </c>
      <c r="E79" s="76">
        <f t="shared" si="29"/>
        <v>0</v>
      </c>
      <c r="F79" s="49"/>
      <c r="G79" s="49"/>
      <c r="H79" s="24"/>
      <c r="I79" s="24"/>
      <c r="J79" s="25"/>
      <c r="K79" s="28"/>
      <c r="L79" s="28"/>
      <c r="M79" s="69"/>
      <c r="N79" s="69"/>
      <c r="O79" s="24" t="e">
        <f t="shared" si="30"/>
        <v>#DIV/0!</v>
      </c>
      <c r="P79" s="28"/>
      <c r="Q79" s="25"/>
    </row>
    <row r="80" spans="1:17" ht="12.75">
      <c r="A80" s="19" t="s">
        <v>9</v>
      </c>
      <c r="B80" s="19"/>
      <c r="C80" s="36" t="s">
        <v>6</v>
      </c>
      <c r="D80" s="73">
        <f t="shared" si="31"/>
        <v>1504.3000000000002</v>
      </c>
      <c r="E80" s="76">
        <f t="shared" si="29"/>
        <v>1213.9</v>
      </c>
      <c r="F80" s="49">
        <v>658</v>
      </c>
      <c r="G80" s="49">
        <v>320.9</v>
      </c>
      <c r="H80" s="24">
        <v>235</v>
      </c>
      <c r="I80" s="24">
        <v>290.4</v>
      </c>
      <c r="J80" s="25">
        <v>1154.5</v>
      </c>
      <c r="K80" s="28" t="e">
        <f>J80/#REF!*100</f>
        <v>#REF!</v>
      </c>
      <c r="L80" s="28">
        <f>J80/H80*100</f>
        <v>491.27659574468083</v>
      </c>
      <c r="M80" s="69"/>
      <c r="N80" s="69"/>
      <c r="O80" s="24">
        <f t="shared" si="30"/>
        <v>397.55509641873283</v>
      </c>
      <c r="P80" s="28">
        <f t="shared" si="27"/>
        <v>95.10668094571216</v>
      </c>
      <c r="Q80" s="25">
        <f t="shared" si="28"/>
        <v>76.74665957588246</v>
      </c>
    </row>
    <row r="81" spans="1:17" ht="12.75" customHeight="1" hidden="1">
      <c r="A81" s="19" t="s">
        <v>10</v>
      </c>
      <c r="B81" s="19"/>
      <c r="C81" s="36" t="s">
        <v>21</v>
      </c>
      <c r="D81" s="73">
        <f t="shared" si="31"/>
        <v>0</v>
      </c>
      <c r="E81" s="76">
        <f t="shared" si="29"/>
        <v>0</v>
      </c>
      <c r="F81" s="49"/>
      <c r="G81" s="49"/>
      <c r="H81" s="24"/>
      <c r="I81" s="24"/>
      <c r="J81" s="25"/>
      <c r="K81" s="28"/>
      <c r="L81" s="28"/>
      <c r="M81" s="69"/>
      <c r="N81" s="69"/>
      <c r="O81" s="24" t="e">
        <f t="shared" si="30"/>
        <v>#DIV/0!</v>
      </c>
      <c r="P81" s="28" t="e">
        <f t="shared" si="27"/>
        <v>#DIV/0!</v>
      </c>
      <c r="Q81" s="25" t="e">
        <f t="shared" si="28"/>
        <v>#DIV/0!</v>
      </c>
    </row>
    <row r="82" spans="1:17" ht="24">
      <c r="A82" s="20" t="s">
        <v>11</v>
      </c>
      <c r="B82" s="20"/>
      <c r="C82" s="36" t="s">
        <v>17</v>
      </c>
      <c r="D82" s="73">
        <f t="shared" si="31"/>
        <v>5900.4</v>
      </c>
      <c r="E82" s="76">
        <f t="shared" si="29"/>
        <v>4148.799999999999</v>
      </c>
      <c r="F82" s="49">
        <v>1605</v>
      </c>
      <c r="G82" s="49">
        <v>522.2</v>
      </c>
      <c r="H82" s="24">
        <v>2021.6</v>
      </c>
      <c r="I82" s="24">
        <v>1751.6</v>
      </c>
      <c r="J82" s="25">
        <v>4090.8</v>
      </c>
      <c r="K82" s="28" t="e">
        <f>J82/#REF!*100</f>
        <v>#REF!</v>
      </c>
      <c r="L82" s="28">
        <f>J82/H82*100</f>
        <v>202.35457063711914</v>
      </c>
      <c r="M82" s="69"/>
      <c r="N82" s="69"/>
      <c r="O82" s="24">
        <f t="shared" si="30"/>
        <v>233.546471797214</v>
      </c>
      <c r="P82" s="28">
        <f t="shared" si="27"/>
        <v>98.60200539915158</v>
      </c>
      <c r="Q82" s="25">
        <f t="shared" si="28"/>
        <v>69.33089282082571</v>
      </c>
    </row>
    <row r="83" spans="1:17" ht="12.75">
      <c r="A83" s="38" t="s">
        <v>42</v>
      </c>
      <c r="B83" s="38"/>
      <c r="C83" s="36" t="s">
        <v>43</v>
      </c>
      <c r="D83" s="73">
        <f t="shared" si="31"/>
        <v>479</v>
      </c>
      <c r="E83" s="76">
        <f t="shared" si="29"/>
        <v>291</v>
      </c>
      <c r="F83" s="49">
        <v>144.3</v>
      </c>
      <c r="G83" s="49">
        <v>105.6</v>
      </c>
      <c r="H83" s="24">
        <v>41.1</v>
      </c>
      <c r="I83" s="24">
        <v>188</v>
      </c>
      <c r="J83" s="25">
        <v>307.4</v>
      </c>
      <c r="K83" s="28" t="e">
        <f>J83/#REF!*100</f>
        <v>#REF!</v>
      </c>
      <c r="L83" s="28">
        <f>J83/H83*100</f>
        <v>747.9318734793186</v>
      </c>
      <c r="M83" s="69"/>
      <c r="N83" s="69"/>
      <c r="O83" s="24">
        <f t="shared" si="30"/>
        <v>163.51063829787233</v>
      </c>
      <c r="P83" s="28">
        <f t="shared" si="27"/>
        <v>105.63573883161511</v>
      </c>
      <c r="Q83" s="25">
        <f t="shared" si="28"/>
        <v>64.17536534446764</v>
      </c>
    </row>
    <row r="84" spans="1:17" ht="12.75">
      <c r="A84" s="37" t="s">
        <v>18</v>
      </c>
      <c r="B84" s="37"/>
      <c r="C84" s="36" t="s">
        <v>15</v>
      </c>
      <c r="D84" s="73">
        <f t="shared" si="31"/>
        <v>137.1</v>
      </c>
      <c r="E84" s="76">
        <f t="shared" si="29"/>
        <v>132.4</v>
      </c>
      <c r="F84" s="49">
        <v>68</v>
      </c>
      <c r="G84" s="49">
        <v>58.1</v>
      </c>
      <c r="H84" s="24">
        <v>6.3</v>
      </c>
      <c r="I84" s="24">
        <v>4.7</v>
      </c>
      <c r="J84" s="25">
        <v>164.8</v>
      </c>
      <c r="K84" s="28" t="e">
        <f>J84/#REF!*100</f>
        <v>#REF!</v>
      </c>
      <c r="L84" s="28">
        <f>J84/H84*100</f>
        <v>2615.8730158730164</v>
      </c>
      <c r="M84" s="69"/>
      <c r="N84" s="69"/>
      <c r="O84" s="24">
        <f t="shared" si="30"/>
        <v>3506.382978723404</v>
      </c>
      <c r="P84" s="28">
        <f t="shared" si="27"/>
        <v>124.47129909365559</v>
      </c>
      <c r="Q84" s="25">
        <f t="shared" si="28"/>
        <v>120.20423048869439</v>
      </c>
    </row>
    <row r="85" spans="1:17" ht="17.25" customHeight="1">
      <c r="A85" s="29" t="s">
        <v>12</v>
      </c>
      <c r="B85" s="29"/>
      <c r="C85" s="36" t="s">
        <v>7</v>
      </c>
      <c r="D85" s="73">
        <f t="shared" si="31"/>
        <v>0</v>
      </c>
      <c r="E85" s="76">
        <f t="shared" si="29"/>
        <v>0</v>
      </c>
      <c r="F85" s="49"/>
      <c r="G85" s="49"/>
      <c r="H85" s="24"/>
      <c r="I85" s="24"/>
      <c r="J85" s="25">
        <v>0</v>
      </c>
      <c r="K85" s="35"/>
      <c r="L85" s="35"/>
      <c r="M85" s="69"/>
      <c r="N85" s="69"/>
      <c r="O85" s="24" t="e">
        <f t="shared" si="30"/>
        <v>#DIV/0!</v>
      </c>
      <c r="P85" s="28"/>
      <c r="Q85" s="25"/>
    </row>
    <row r="86" spans="1:17" ht="12.75">
      <c r="A86" s="39" t="s">
        <v>39</v>
      </c>
      <c r="B86" s="40"/>
      <c r="C86" s="23" t="s">
        <v>40</v>
      </c>
      <c r="D86" s="73">
        <f t="shared" si="31"/>
        <v>0</v>
      </c>
      <c r="E86" s="76">
        <f t="shared" si="29"/>
        <v>0</v>
      </c>
      <c r="F86" s="49"/>
      <c r="G86" s="49"/>
      <c r="H86" s="24"/>
      <c r="I86" s="24"/>
      <c r="J86" s="25">
        <v>-349.3</v>
      </c>
      <c r="K86" s="35"/>
      <c r="L86" s="35"/>
      <c r="M86" s="69"/>
      <c r="N86" s="69"/>
      <c r="O86" s="24" t="e">
        <f t="shared" si="30"/>
        <v>#DIV/0!</v>
      </c>
      <c r="P86" s="28"/>
      <c r="Q86" s="25"/>
    </row>
    <row r="87" spans="1:17" ht="12.75" customHeight="1" hidden="1">
      <c r="A87" s="39" t="s">
        <v>44</v>
      </c>
      <c r="B87" s="40"/>
      <c r="C87" s="23" t="s">
        <v>45</v>
      </c>
      <c r="D87" s="23"/>
      <c r="E87" s="76">
        <f>F87+G87</f>
        <v>0</v>
      </c>
      <c r="F87" s="49"/>
      <c r="G87" s="49"/>
      <c r="H87" s="24" t="e">
        <f>I87+#REF!+#REF!+#REF!</f>
        <v>#REF!</v>
      </c>
      <c r="I87" s="24"/>
      <c r="J87" s="25"/>
      <c r="K87" s="35"/>
      <c r="L87" s="35"/>
      <c r="M87" s="69"/>
      <c r="N87" s="69"/>
      <c r="O87" s="24" t="e">
        <f t="shared" si="30"/>
        <v>#DIV/0!</v>
      </c>
      <c r="P87" s="35" t="e">
        <f t="shared" si="27"/>
        <v>#DIV/0!</v>
      </c>
      <c r="Q87" s="32" t="e">
        <f t="shared" si="28"/>
        <v>#DIV/0!</v>
      </c>
    </row>
    <row r="88" spans="1:17" ht="12.75">
      <c r="A88" s="33" t="s">
        <v>1</v>
      </c>
      <c r="B88" s="33"/>
      <c r="C88" s="41" t="s">
        <v>0</v>
      </c>
      <c r="D88" s="42">
        <f aca="true" t="shared" si="32" ref="D88:J88">D89+D90</f>
        <v>78261.40000000001</v>
      </c>
      <c r="E88" s="79">
        <f t="shared" si="32"/>
        <v>65897.3</v>
      </c>
      <c r="F88" s="42">
        <f t="shared" si="32"/>
        <v>13676.1</v>
      </c>
      <c r="G88" s="42">
        <f t="shared" si="32"/>
        <v>25463</v>
      </c>
      <c r="H88" s="42">
        <f t="shared" si="32"/>
        <v>26758.2</v>
      </c>
      <c r="I88" s="42">
        <f t="shared" si="32"/>
        <v>12364.1</v>
      </c>
      <c r="J88" s="42">
        <f t="shared" si="32"/>
        <v>57923.6</v>
      </c>
      <c r="K88" s="35" t="e">
        <f>J88/#REF!*100</f>
        <v>#REF!</v>
      </c>
      <c r="L88" s="35">
        <f>J88/H88*100</f>
        <v>216.4704651284466</v>
      </c>
      <c r="M88" s="69"/>
      <c r="N88" s="69"/>
      <c r="O88" s="46">
        <f t="shared" si="30"/>
        <v>468.4821378021853</v>
      </c>
      <c r="P88" s="35">
        <f t="shared" si="27"/>
        <v>87.899807731121</v>
      </c>
      <c r="Q88" s="32">
        <f t="shared" si="28"/>
        <v>74.01298724530866</v>
      </c>
    </row>
    <row r="89" spans="1:17" ht="24">
      <c r="A89" s="21" t="s">
        <v>67</v>
      </c>
      <c r="B89" s="19"/>
      <c r="C89" s="43" t="s">
        <v>20</v>
      </c>
      <c r="D89" s="73">
        <f>F89+G89+H89+I89</f>
        <v>74881.40000000001</v>
      </c>
      <c r="E89" s="76">
        <f>F89+G89+H89</f>
        <v>62517.3</v>
      </c>
      <c r="F89" s="49">
        <f>12292+1384.1</f>
        <v>13676.1</v>
      </c>
      <c r="G89" s="49">
        <v>22083</v>
      </c>
      <c r="H89" s="24">
        <f>24368.3+2376+13.9</f>
        <v>26758.2</v>
      </c>
      <c r="I89" s="24">
        <v>12364.1</v>
      </c>
      <c r="J89" s="25">
        <v>54543.6</v>
      </c>
      <c r="K89" s="28" t="e">
        <f>J89/#REF!*100</f>
        <v>#REF!</v>
      </c>
      <c r="L89" s="28">
        <f>J89/H89*100</f>
        <v>203.83882323923132</v>
      </c>
      <c r="M89" s="69"/>
      <c r="N89" s="69"/>
      <c r="O89" s="24">
        <f t="shared" si="30"/>
        <v>441.1449276534483</v>
      </c>
      <c r="P89" s="28">
        <f t="shared" si="27"/>
        <v>87.24561041503712</v>
      </c>
      <c r="Q89" s="25">
        <f t="shared" si="28"/>
        <v>72.83998429516541</v>
      </c>
    </row>
    <row r="90" spans="1:17" ht="18.75" customHeight="1">
      <c r="A90" s="21" t="s">
        <v>2</v>
      </c>
      <c r="B90" s="21"/>
      <c r="C90" s="44" t="s">
        <v>19</v>
      </c>
      <c r="D90" s="73">
        <f>F90+G90+H90+I90</f>
        <v>3380</v>
      </c>
      <c r="E90" s="76">
        <f>F90+G90+H90</f>
        <v>3380</v>
      </c>
      <c r="F90" s="80"/>
      <c r="G90" s="80">
        <v>3380</v>
      </c>
      <c r="H90" s="24"/>
      <c r="I90" s="24"/>
      <c r="J90" s="25">
        <v>3380</v>
      </c>
      <c r="K90" s="28" t="e">
        <f>J90/#REF!*100</f>
        <v>#REF!</v>
      </c>
      <c r="L90" s="28"/>
      <c r="M90" s="69"/>
      <c r="N90" s="69"/>
      <c r="O90" s="24" t="e">
        <f t="shared" si="30"/>
        <v>#DIV/0!</v>
      </c>
      <c r="P90" s="28">
        <f>J90*100/E90</f>
        <v>100</v>
      </c>
      <c r="Q90" s="25">
        <f>J90*100/D90</f>
        <v>100</v>
      </c>
    </row>
    <row r="91" spans="1:17" ht="12.75">
      <c r="A91" s="29"/>
      <c r="B91" s="30"/>
      <c r="C91" s="31" t="s">
        <v>4</v>
      </c>
      <c r="D91" s="32">
        <f aca="true" t="shared" si="33" ref="D91:J91">D88+D77</f>
        <v>101982.20000000001</v>
      </c>
      <c r="E91" s="32">
        <f t="shared" si="33"/>
        <v>82516.4</v>
      </c>
      <c r="F91" s="32">
        <f t="shared" si="33"/>
        <v>19291.4</v>
      </c>
      <c r="G91" s="32">
        <f t="shared" si="33"/>
        <v>30551.8</v>
      </c>
      <c r="H91" s="32">
        <f t="shared" si="33"/>
        <v>32673.2</v>
      </c>
      <c r="I91" s="32">
        <f t="shared" si="33"/>
        <v>19465.8</v>
      </c>
      <c r="J91" s="32">
        <f t="shared" si="33"/>
        <v>76443</v>
      </c>
      <c r="K91" s="35" t="e">
        <f>J91/#REF!*100</f>
        <v>#REF!</v>
      </c>
      <c r="L91" s="35">
        <f>J91/H91*100</f>
        <v>233.96239119523034</v>
      </c>
      <c r="M91" s="69"/>
      <c r="N91" s="70" t="e">
        <f>I91+#REF!+#REF!</f>
        <v>#REF!</v>
      </c>
      <c r="O91" s="46">
        <f t="shared" si="30"/>
        <v>392.70412723854145</v>
      </c>
      <c r="P91" s="35">
        <f t="shared" si="27"/>
        <v>92.63976615557635</v>
      </c>
      <c r="Q91" s="32">
        <f t="shared" si="28"/>
        <v>74.95719841305639</v>
      </c>
    </row>
    <row r="92" spans="1:17" ht="12.75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8"/>
      <c r="M92" s="69"/>
      <c r="N92" s="69"/>
      <c r="O92" s="67"/>
      <c r="P92" s="35"/>
      <c r="Q92" s="32"/>
    </row>
    <row r="93" spans="1:17" ht="12.75">
      <c r="A93" s="165" t="s">
        <v>29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35"/>
      <c r="Q93" s="32"/>
    </row>
    <row r="94" spans="1:17" ht="12.75">
      <c r="A94" s="33" t="s">
        <v>3</v>
      </c>
      <c r="B94" s="33"/>
      <c r="C94" s="34" t="s">
        <v>68</v>
      </c>
      <c r="D94" s="35">
        <f>D95+D97+D101+D98+D99+D102+D100+D96</f>
        <v>3048</v>
      </c>
      <c r="E94" s="35">
        <f aca="true" t="shared" si="34" ref="E94:J94">E95+E97+E101+E98+E99+E102+E100+E96</f>
        <v>2285.8999999999996</v>
      </c>
      <c r="F94" s="35">
        <f t="shared" si="34"/>
        <v>753.4000000000001</v>
      </c>
      <c r="G94" s="35">
        <f t="shared" si="34"/>
        <v>758.3</v>
      </c>
      <c r="H94" s="35">
        <f t="shared" si="34"/>
        <v>774.2</v>
      </c>
      <c r="I94" s="35">
        <f t="shared" si="34"/>
        <v>762.0999999999999</v>
      </c>
      <c r="J94" s="35">
        <f t="shared" si="34"/>
        <v>774.8999999999999</v>
      </c>
      <c r="K94" s="35" t="e">
        <f>J94/#REF!*100</f>
        <v>#REF!</v>
      </c>
      <c r="L94" s="35">
        <f>J94/H94*100</f>
        <v>100.09041591320069</v>
      </c>
      <c r="M94" s="69"/>
      <c r="N94" s="69"/>
      <c r="O94" s="35">
        <f t="shared" si="30"/>
        <v>101.67956961028736</v>
      </c>
      <c r="P94" s="35">
        <f t="shared" si="27"/>
        <v>33.89912069644341</v>
      </c>
      <c r="Q94" s="32">
        <f t="shared" si="28"/>
        <v>25.42322834645669</v>
      </c>
    </row>
    <row r="95" spans="1:17" ht="12.75">
      <c r="A95" s="29" t="s">
        <v>23</v>
      </c>
      <c r="B95" s="29"/>
      <c r="C95" s="36" t="s">
        <v>22</v>
      </c>
      <c r="D95" s="73">
        <f>F95+G95+H95+I95</f>
        <v>2950</v>
      </c>
      <c r="E95" s="76">
        <f aca="true" t="shared" si="35" ref="E95:E105">F95+G95+H95</f>
        <v>2206.7</v>
      </c>
      <c r="F95" s="49">
        <v>731.7</v>
      </c>
      <c r="G95" s="49">
        <v>737.5</v>
      </c>
      <c r="H95" s="24">
        <v>737.5</v>
      </c>
      <c r="I95" s="25">
        <v>743.3</v>
      </c>
      <c r="J95" s="25">
        <v>695.1</v>
      </c>
      <c r="K95" s="28"/>
      <c r="L95" s="28">
        <f>J95/H95*100</f>
        <v>94.25084745762712</v>
      </c>
      <c r="M95" s="70"/>
      <c r="N95" s="69"/>
      <c r="O95" s="24">
        <f t="shared" si="30"/>
        <v>93.51540427821875</v>
      </c>
      <c r="P95" s="28">
        <f t="shared" si="27"/>
        <v>31.49952417637196</v>
      </c>
      <c r="Q95" s="25">
        <f t="shared" si="28"/>
        <v>23.56271186440678</v>
      </c>
    </row>
    <row r="96" spans="1:17" ht="12.75">
      <c r="A96" s="19" t="s">
        <v>8</v>
      </c>
      <c r="B96" s="19"/>
      <c r="C96" s="36" t="s">
        <v>5</v>
      </c>
      <c r="D96" s="73">
        <f>F96+G96+H96+I96</f>
        <v>3</v>
      </c>
      <c r="E96" s="76">
        <f t="shared" si="35"/>
        <v>3</v>
      </c>
      <c r="F96" s="49">
        <v>3</v>
      </c>
      <c r="G96" s="49"/>
      <c r="H96" s="24"/>
      <c r="I96" s="25"/>
      <c r="J96" s="25"/>
      <c r="K96" s="28"/>
      <c r="L96" s="28"/>
      <c r="M96" s="70"/>
      <c r="N96" s="69"/>
      <c r="O96" s="24"/>
      <c r="P96" s="28">
        <f>J96*100/E96</f>
        <v>0</v>
      </c>
      <c r="Q96" s="25">
        <f>J96*100/D96</f>
        <v>0</v>
      </c>
    </row>
    <row r="97" spans="1:17" ht="12.75">
      <c r="A97" s="19" t="s">
        <v>9</v>
      </c>
      <c r="B97" s="19"/>
      <c r="C97" s="36" t="s">
        <v>6</v>
      </c>
      <c r="D97" s="73">
        <f aca="true" t="shared" si="36" ref="D97:D105">F97+G97+H97+I97</f>
        <v>28</v>
      </c>
      <c r="E97" s="76">
        <f t="shared" si="35"/>
        <v>22</v>
      </c>
      <c r="F97" s="49">
        <f>3+3+2</f>
        <v>8</v>
      </c>
      <c r="G97" s="49">
        <f>3+5</f>
        <v>8</v>
      </c>
      <c r="H97" s="24">
        <f>3+3</f>
        <v>6</v>
      </c>
      <c r="I97" s="25">
        <f>3+3</f>
        <v>6</v>
      </c>
      <c r="J97" s="25">
        <v>18.3</v>
      </c>
      <c r="K97" s="28"/>
      <c r="L97" s="28">
        <f aca="true" t="shared" si="37" ref="L97:L104">J97/H97*100</f>
        <v>305</v>
      </c>
      <c r="M97" s="70"/>
      <c r="N97" s="69"/>
      <c r="O97" s="24">
        <f t="shared" si="30"/>
        <v>305</v>
      </c>
      <c r="P97" s="28">
        <f t="shared" si="27"/>
        <v>83.18181818181819</v>
      </c>
      <c r="Q97" s="25">
        <f t="shared" si="28"/>
        <v>65.35714285714286</v>
      </c>
    </row>
    <row r="98" spans="1:17" ht="12.75">
      <c r="A98" s="19" t="s">
        <v>10</v>
      </c>
      <c r="B98" s="19"/>
      <c r="C98" s="36" t="s">
        <v>21</v>
      </c>
      <c r="D98" s="73">
        <f t="shared" si="36"/>
        <v>10</v>
      </c>
      <c r="E98" s="76">
        <f t="shared" si="35"/>
        <v>7</v>
      </c>
      <c r="F98" s="49">
        <v>1</v>
      </c>
      <c r="G98" s="49">
        <v>3</v>
      </c>
      <c r="H98" s="24">
        <v>3</v>
      </c>
      <c r="I98" s="25">
        <v>3</v>
      </c>
      <c r="J98" s="25">
        <v>3.3</v>
      </c>
      <c r="K98" s="28"/>
      <c r="L98" s="28">
        <f t="shared" si="37"/>
        <v>109.99999999999999</v>
      </c>
      <c r="M98" s="69"/>
      <c r="N98" s="69"/>
      <c r="O98" s="24">
        <f t="shared" si="30"/>
        <v>110</v>
      </c>
      <c r="P98" s="28">
        <f t="shared" si="27"/>
        <v>47.142857142857146</v>
      </c>
      <c r="Q98" s="25">
        <f t="shared" si="28"/>
        <v>33</v>
      </c>
    </row>
    <row r="99" spans="1:17" ht="24">
      <c r="A99" s="20" t="s">
        <v>11</v>
      </c>
      <c r="B99" s="20"/>
      <c r="C99" s="36" t="s">
        <v>17</v>
      </c>
      <c r="D99" s="73">
        <f t="shared" si="36"/>
        <v>12</v>
      </c>
      <c r="E99" s="76">
        <f t="shared" si="35"/>
        <v>9</v>
      </c>
      <c r="F99" s="49">
        <v>3</v>
      </c>
      <c r="G99" s="49">
        <v>3</v>
      </c>
      <c r="H99" s="24">
        <v>3</v>
      </c>
      <c r="I99" s="25">
        <v>3</v>
      </c>
      <c r="J99" s="25">
        <v>18.9</v>
      </c>
      <c r="K99" s="28"/>
      <c r="L99" s="28">
        <f t="shared" si="37"/>
        <v>630</v>
      </c>
      <c r="M99" s="69"/>
      <c r="N99" s="69"/>
      <c r="O99" s="24">
        <f t="shared" si="30"/>
        <v>629.9999999999999</v>
      </c>
      <c r="P99" s="28">
        <f t="shared" si="27"/>
        <v>209.99999999999997</v>
      </c>
      <c r="Q99" s="25">
        <f t="shared" si="28"/>
        <v>157.49999999999997</v>
      </c>
    </row>
    <row r="100" spans="1:17" ht="12.75">
      <c r="A100" s="38" t="s">
        <v>42</v>
      </c>
      <c r="B100" s="38"/>
      <c r="C100" s="36" t="s">
        <v>43</v>
      </c>
      <c r="D100" s="73">
        <v>45</v>
      </c>
      <c r="E100" s="76">
        <f t="shared" si="35"/>
        <v>38.2</v>
      </c>
      <c r="F100" s="49">
        <v>6.7</v>
      </c>
      <c r="G100" s="49">
        <v>6.8</v>
      </c>
      <c r="H100" s="24">
        <f>6.7+18</f>
        <v>24.7</v>
      </c>
      <c r="I100" s="25">
        <v>6.8</v>
      </c>
      <c r="J100" s="25">
        <v>39.3</v>
      </c>
      <c r="K100" s="28"/>
      <c r="L100" s="28">
        <f t="shared" si="37"/>
        <v>159.1093117408907</v>
      </c>
      <c r="M100" s="69"/>
      <c r="N100" s="69"/>
      <c r="O100" s="24">
        <f t="shared" si="30"/>
        <v>577.9411764705882</v>
      </c>
      <c r="P100" s="28">
        <f t="shared" si="27"/>
        <v>102.87958115183244</v>
      </c>
      <c r="Q100" s="25">
        <f t="shared" si="28"/>
        <v>87.33333333333333</v>
      </c>
    </row>
    <row r="101" spans="1:17" ht="12.75" customHeight="1" hidden="1">
      <c r="A101" s="38" t="s">
        <v>18</v>
      </c>
      <c r="B101" s="38"/>
      <c r="C101" s="36" t="s">
        <v>15</v>
      </c>
      <c r="D101" s="73">
        <f t="shared" si="36"/>
        <v>0</v>
      </c>
      <c r="E101" s="76">
        <f t="shared" si="35"/>
        <v>0</v>
      </c>
      <c r="F101" s="49"/>
      <c r="G101" s="49"/>
      <c r="H101" s="24"/>
      <c r="I101" s="25"/>
      <c r="J101" s="25"/>
      <c r="K101" s="28"/>
      <c r="L101" s="28" t="e">
        <f t="shared" si="37"/>
        <v>#DIV/0!</v>
      </c>
      <c r="M101" s="69"/>
      <c r="N101" s="69"/>
      <c r="O101" s="24" t="e">
        <f t="shared" si="30"/>
        <v>#DIV/0!</v>
      </c>
      <c r="P101" s="28"/>
      <c r="Q101" s="25"/>
    </row>
    <row r="102" spans="1:17" ht="16.5" customHeight="1">
      <c r="A102" s="38" t="s">
        <v>39</v>
      </c>
      <c r="B102" s="56"/>
      <c r="C102" s="23" t="s">
        <v>40</v>
      </c>
      <c r="D102" s="73">
        <f t="shared" si="36"/>
        <v>0</v>
      </c>
      <c r="E102" s="76">
        <f t="shared" si="35"/>
        <v>0</v>
      </c>
      <c r="F102" s="49"/>
      <c r="G102" s="49"/>
      <c r="H102" s="24"/>
      <c r="I102" s="25"/>
      <c r="J102" s="25"/>
      <c r="K102" s="35"/>
      <c r="L102" s="28" t="e">
        <f t="shared" si="37"/>
        <v>#DIV/0!</v>
      </c>
      <c r="M102" s="69"/>
      <c r="N102" s="69"/>
      <c r="O102" s="24" t="e">
        <f t="shared" si="30"/>
        <v>#DIV/0!</v>
      </c>
      <c r="P102" s="35"/>
      <c r="Q102" s="32"/>
    </row>
    <row r="103" spans="1:17" ht="12.75">
      <c r="A103" s="45" t="s">
        <v>1</v>
      </c>
      <c r="B103" s="45"/>
      <c r="C103" s="41" t="s">
        <v>0</v>
      </c>
      <c r="D103" s="42">
        <f aca="true" t="shared" si="38" ref="D103:K103">D104+D105</f>
        <v>31975.4</v>
      </c>
      <c r="E103" s="42">
        <f t="shared" si="38"/>
        <v>25679.8</v>
      </c>
      <c r="F103" s="42">
        <f t="shared" si="38"/>
        <v>9846.1</v>
      </c>
      <c r="G103" s="42">
        <f t="shared" si="38"/>
        <v>9050.4</v>
      </c>
      <c r="H103" s="42">
        <f t="shared" si="38"/>
        <v>6783.3</v>
      </c>
      <c r="I103" s="42">
        <f t="shared" si="38"/>
        <v>6295.6</v>
      </c>
      <c r="J103" s="42">
        <f t="shared" si="38"/>
        <v>26898.4</v>
      </c>
      <c r="K103" s="42">
        <f t="shared" si="38"/>
        <v>0</v>
      </c>
      <c r="L103" s="35">
        <f>J103/H103*100</f>
        <v>396.5385579290316</v>
      </c>
      <c r="M103" s="69"/>
      <c r="N103" s="69"/>
      <c r="O103" s="46">
        <f t="shared" si="30"/>
        <v>427.257131965182</v>
      </c>
      <c r="P103" s="35">
        <f t="shared" si="27"/>
        <v>104.74536406046776</v>
      </c>
      <c r="Q103" s="32">
        <f t="shared" si="28"/>
        <v>84.12216891735521</v>
      </c>
    </row>
    <row r="104" spans="1:17" ht="24">
      <c r="A104" s="21" t="s">
        <v>67</v>
      </c>
      <c r="B104" s="19"/>
      <c r="C104" s="43" t="s">
        <v>20</v>
      </c>
      <c r="D104" s="73">
        <f t="shared" si="36"/>
        <v>30825.4</v>
      </c>
      <c r="E104" s="76">
        <f t="shared" si="35"/>
        <v>24529.8</v>
      </c>
      <c r="F104" s="49">
        <f>6472.9+3293.3+79.9</f>
        <v>9846.1</v>
      </c>
      <c r="G104" s="49">
        <v>8050.4</v>
      </c>
      <c r="H104" s="24">
        <f>6295.6+337.7</f>
        <v>6633.3</v>
      </c>
      <c r="I104" s="25">
        <v>6295.6</v>
      </c>
      <c r="J104" s="25">
        <v>25748.4</v>
      </c>
      <c r="K104" s="28"/>
      <c r="L104" s="28">
        <f t="shared" si="37"/>
        <v>388.16878476776265</v>
      </c>
      <c r="M104" s="69"/>
      <c r="N104" s="69"/>
      <c r="O104" s="24">
        <f t="shared" si="30"/>
        <v>408.99040599783973</v>
      </c>
      <c r="P104" s="28">
        <f t="shared" si="27"/>
        <v>104.96783504145978</v>
      </c>
      <c r="Q104" s="25">
        <f t="shared" si="28"/>
        <v>83.52981632030728</v>
      </c>
    </row>
    <row r="105" spans="1:17" ht="17.25" customHeight="1">
      <c r="A105" s="21" t="s">
        <v>2</v>
      </c>
      <c r="B105" s="21"/>
      <c r="C105" s="44" t="s">
        <v>19</v>
      </c>
      <c r="D105" s="73">
        <f t="shared" si="36"/>
        <v>1150</v>
      </c>
      <c r="E105" s="76">
        <f t="shared" si="35"/>
        <v>1150</v>
      </c>
      <c r="F105" s="80"/>
      <c r="G105" s="80">
        <v>1000</v>
      </c>
      <c r="H105" s="24">
        <v>150</v>
      </c>
      <c r="I105" s="25"/>
      <c r="J105" s="25">
        <v>1150</v>
      </c>
      <c r="K105" s="28"/>
      <c r="L105" s="28"/>
      <c r="M105" s="69"/>
      <c r="N105" s="69"/>
      <c r="O105" s="24" t="e">
        <f t="shared" si="30"/>
        <v>#DIV/0!</v>
      </c>
      <c r="P105" s="28">
        <f>J105*100/E105</f>
        <v>100</v>
      </c>
      <c r="Q105" s="25">
        <f>J105*100/D105</f>
        <v>100</v>
      </c>
    </row>
    <row r="106" spans="1:17" ht="12.75">
      <c r="A106" s="29"/>
      <c r="B106" s="30"/>
      <c r="C106" s="31" t="s">
        <v>4</v>
      </c>
      <c r="D106" s="32">
        <f aca="true" t="shared" si="39" ref="D106:K106">D103+D94</f>
        <v>35023.4</v>
      </c>
      <c r="E106" s="46">
        <f t="shared" si="39"/>
        <v>27965.699999999997</v>
      </c>
      <c r="F106" s="46">
        <f t="shared" si="39"/>
        <v>10599.5</v>
      </c>
      <c r="G106" s="46">
        <f>G103+G94</f>
        <v>9808.699999999999</v>
      </c>
      <c r="H106" s="32">
        <f t="shared" si="39"/>
        <v>7557.5</v>
      </c>
      <c r="I106" s="32">
        <f t="shared" si="39"/>
        <v>7057.700000000001</v>
      </c>
      <c r="J106" s="32">
        <f t="shared" si="39"/>
        <v>27673.300000000003</v>
      </c>
      <c r="K106" s="32" t="e">
        <f t="shared" si="39"/>
        <v>#REF!</v>
      </c>
      <c r="L106" s="35">
        <f>J106/H106*100</f>
        <v>366.17002977174997</v>
      </c>
      <c r="M106" s="69"/>
      <c r="N106" s="70" t="e">
        <f>I106+#REF!+#REF!</f>
        <v>#REF!</v>
      </c>
      <c r="O106" s="46">
        <f t="shared" si="30"/>
        <v>392.100826048146</v>
      </c>
      <c r="P106" s="35">
        <f t="shared" si="27"/>
        <v>98.95443346671104</v>
      </c>
      <c r="Q106" s="32">
        <f t="shared" si="28"/>
        <v>79.01374509613574</v>
      </c>
    </row>
    <row r="107" spans="1:17" ht="12.75">
      <c r="A107" s="1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8"/>
      <c r="M107" s="69"/>
      <c r="N107" s="69"/>
      <c r="O107" s="67"/>
      <c r="P107" s="35"/>
      <c r="Q107" s="32"/>
    </row>
    <row r="108" spans="1:17" ht="12.75">
      <c r="A108" s="165" t="s">
        <v>30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35"/>
      <c r="Q108" s="32"/>
    </row>
    <row r="109" spans="1:17" ht="12.75">
      <c r="A109" s="33" t="s">
        <v>3</v>
      </c>
      <c r="B109" s="33"/>
      <c r="C109" s="34" t="s">
        <v>68</v>
      </c>
      <c r="D109" s="35">
        <f>D110+D112+D116+D113+D114+D117+D115+D118+D111</f>
        <v>2105</v>
      </c>
      <c r="E109" s="35">
        <f aca="true" t="shared" si="40" ref="E109:J109">E110+E112+E116+E113+E114+E117+E115+E118+E111</f>
        <v>1430.5</v>
      </c>
      <c r="F109" s="35">
        <f t="shared" si="40"/>
        <v>297</v>
      </c>
      <c r="G109" s="35">
        <f t="shared" si="40"/>
        <v>520</v>
      </c>
      <c r="H109" s="35">
        <f t="shared" si="40"/>
        <v>613.5</v>
      </c>
      <c r="I109" s="35">
        <f t="shared" si="40"/>
        <v>674.5</v>
      </c>
      <c r="J109" s="35">
        <f t="shared" si="40"/>
        <v>2043.4999999999998</v>
      </c>
      <c r="K109" s="35" t="e">
        <f>J109/#REF!*100</f>
        <v>#REF!</v>
      </c>
      <c r="L109" s="35">
        <f aca="true" t="shared" si="41" ref="L109:L116">J109/H109*100</f>
        <v>333.08883455582713</v>
      </c>
      <c r="M109" s="69"/>
      <c r="N109" s="69"/>
      <c r="O109" s="35">
        <f t="shared" si="30"/>
        <v>302.96515937731647</v>
      </c>
      <c r="P109" s="35">
        <f t="shared" si="27"/>
        <v>142.85214959804262</v>
      </c>
      <c r="Q109" s="32">
        <f t="shared" si="28"/>
        <v>97.07838479809975</v>
      </c>
    </row>
    <row r="110" spans="1:17" ht="12.75">
      <c r="A110" s="29" t="s">
        <v>23</v>
      </c>
      <c r="B110" s="29"/>
      <c r="C110" s="36" t="s">
        <v>22</v>
      </c>
      <c r="D110" s="73">
        <f>F110+G110+H110+I110</f>
        <v>1603</v>
      </c>
      <c r="E110" s="76">
        <f aca="true" t="shared" si="42" ref="E110:E121">F110+G110+H110</f>
        <v>1119</v>
      </c>
      <c r="F110" s="73">
        <v>236</v>
      </c>
      <c r="G110" s="73">
        <v>287</v>
      </c>
      <c r="H110" s="25">
        <v>596</v>
      </c>
      <c r="I110" s="25">
        <v>484</v>
      </c>
      <c r="J110" s="25">
        <v>1614.3</v>
      </c>
      <c r="K110" s="28" t="e">
        <f>J110/#REF!*100</f>
        <v>#REF!</v>
      </c>
      <c r="L110" s="28">
        <f t="shared" si="41"/>
        <v>270.85570469798654</v>
      </c>
      <c r="M110" s="69"/>
      <c r="N110" s="69"/>
      <c r="O110" s="24">
        <f t="shared" si="30"/>
        <v>333.5330578512397</v>
      </c>
      <c r="P110" s="28">
        <f t="shared" si="27"/>
        <v>144.2627345844504</v>
      </c>
      <c r="Q110" s="25">
        <f t="shared" si="28"/>
        <v>100.70492825951341</v>
      </c>
    </row>
    <row r="111" spans="1:17" ht="12.75" customHeight="1" hidden="1">
      <c r="A111" s="19" t="s">
        <v>8</v>
      </c>
      <c r="B111" s="19"/>
      <c r="C111" s="36" t="s">
        <v>5</v>
      </c>
      <c r="D111" s="73">
        <f>F111+G111+H111+I111</f>
        <v>0</v>
      </c>
      <c r="E111" s="76">
        <f t="shared" si="42"/>
        <v>0</v>
      </c>
      <c r="F111" s="73"/>
      <c r="G111" s="73"/>
      <c r="H111" s="25"/>
      <c r="I111" s="25"/>
      <c r="J111" s="25"/>
      <c r="K111" s="28"/>
      <c r="L111" s="28"/>
      <c r="M111" s="69"/>
      <c r="N111" s="69"/>
      <c r="O111" s="24"/>
      <c r="P111" s="28"/>
      <c r="Q111" s="25"/>
    </row>
    <row r="112" spans="1:17" ht="12.75">
      <c r="A112" s="19" t="s">
        <v>9</v>
      </c>
      <c r="B112" s="19"/>
      <c r="C112" s="36" t="s">
        <v>6</v>
      </c>
      <c r="D112" s="73">
        <f aca="true" t="shared" si="43" ref="D112:D120">F112+G112+H112+I112</f>
        <v>51</v>
      </c>
      <c r="E112" s="76">
        <f t="shared" si="42"/>
        <v>44.5</v>
      </c>
      <c r="F112" s="73">
        <f>3+9+6</f>
        <v>18</v>
      </c>
      <c r="G112" s="73">
        <f>3+9+3</f>
        <v>15</v>
      </c>
      <c r="H112" s="25">
        <v>11.5</v>
      </c>
      <c r="I112" s="25">
        <v>6.5</v>
      </c>
      <c r="J112" s="25">
        <v>43</v>
      </c>
      <c r="K112" s="28" t="e">
        <f>J112/#REF!*100</f>
        <v>#REF!</v>
      </c>
      <c r="L112" s="28">
        <f t="shared" si="41"/>
        <v>373.9130434782609</v>
      </c>
      <c r="M112" s="69"/>
      <c r="N112" s="69"/>
      <c r="O112" s="24">
        <f t="shared" si="30"/>
        <v>661.5384615384615</v>
      </c>
      <c r="P112" s="28">
        <f t="shared" si="27"/>
        <v>96.62921348314607</v>
      </c>
      <c r="Q112" s="25">
        <f t="shared" si="28"/>
        <v>84.31372549019608</v>
      </c>
    </row>
    <row r="113" spans="1:17" ht="12.75">
      <c r="A113" s="19" t="s">
        <v>10</v>
      </c>
      <c r="B113" s="19"/>
      <c r="C113" s="36" t="s">
        <v>21</v>
      </c>
      <c r="D113" s="73">
        <f t="shared" si="43"/>
        <v>31</v>
      </c>
      <c r="E113" s="76">
        <f t="shared" si="42"/>
        <v>27</v>
      </c>
      <c r="F113" s="73">
        <v>13</v>
      </c>
      <c r="G113" s="73">
        <v>8</v>
      </c>
      <c r="H113" s="25">
        <v>6</v>
      </c>
      <c r="I113" s="25">
        <v>4</v>
      </c>
      <c r="J113" s="25">
        <v>8.8</v>
      </c>
      <c r="K113" s="28" t="e">
        <f>J113/#REF!*100</f>
        <v>#REF!</v>
      </c>
      <c r="L113" s="28">
        <f t="shared" si="41"/>
        <v>146.66666666666669</v>
      </c>
      <c r="M113" s="69"/>
      <c r="N113" s="69"/>
      <c r="O113" s="24">
        <f t="shared" si="30"/>
        <v>220.00000000000003</v>
      </c>
      <c r="P113" s="28">
        <f t="shared" si="27"/>
        <v>32.592592592592595</v>
      </c>
      <c r="Q113" s="25">
        <f t="shared" si="28"/>
        <v>28.38709677419355</v>
      </c>
    </row>
    <row r="114" spans="1:17" ht="24">
      <c r="A114" s="20" t="s">
        <v>11</v>
      </c>
      <c r="B114" s="20"/>
      <c r="C114" s="36" t="s">
        <v>17</v>
      </c>
      <c r="D114" s="73">
        <f t="shared" si="43"/>
        <v>120</v>
      </c>
      <c r="E114" s="76">
        <f t="shared" si="42"/>
        <v>0</v>
      </c>
      <c r="F114" s="73"/>
      <c r="G114" s="73"/>
      <c r="H114" s="25"/>
      <c r="I114" s="25">
        <v>120</v>
      </c>
      <c r="J114" s="25">
        <v>132.3</v>
      </c>
      <c r="K114" s="28" t="e">
        <f>J114/#REF!*100</f>
        <v>#REF!</v>
      </c>
      <c r="L114" s="28" t="e">
        <f t="shared" si="41"/>
        <v>#DIV/0!</v>
      </c>
      <c r="M114" s="69"/>
      <c r="N114" s="69"/>
      <c r="O114" s="24">
        <f t="shared" si="30"/>
        <v>110.25000000000001</v>
      </c>
      <c r="P114" s="28"/>
      <c r="Q114" s="25">
        <f t="shared" si="28"/>
        <v>110.25000000000001</v>
      </c>
    </row>
    <row r="115" spans="1:17" ht="12.75">
      <c r="A115" s="38" t="s">
        <v>42</v>
      </c>
      <c r="B115" s="38"/>
      <c r="C115" s="36" t="s">
        <v>43</v>
      </c>
      <c r="D115" s="73">
        <f t="shared" si="43"/>
        <v>110</v>
      </c>
      <c r="E115" s="76">
        <f t="shared" si="42"/>
        <v>50</v>
      </c>
      <c r="F115" s="73">
        <v>30</v>
      </c>
      <c r="G115" s="73">
        <v>20</v>
      </c>
      <c r="H115" s="25"/>
      <c r="I115" s="25">
        <v>60</v>
      </c>
      <c r="J115" s="25">
        <v>55</v>
      </c>
      <c r="K115" s="28" t="e">
        <f>J115/#REF!*100</f>
        <v>#REF!</v>
      </c>
      <c r="L115" s="28" t="e">
        <f t="shared" si="41"/>
        <v>#DIV/0!</v>
      </c>
      <c r="M115" s="69"/>
      <c r="N115" s="69"/>
      <c r="O115" s="24">
        <f t="shared" si="30"/>
        <v>91.66666666666667</v>
      </c>
      <c r="P115" s="28">
        <f t="shared" si="27"/>
        <v>110</v>
      </c>
      <c r="Q115" s="25">
        <f t="shared" si="28"/>
        <v>50</v>
      </c>
    </row>
    <row r="116" spans="1:17" ht="18" customHeight="1">
      <c r="A116" s="37" t="s">
        <v>18</v>
      </c>
      <c r="B116" s="37"/>
      <c r="C116" s="36" t="s">
        <v>15</v>
      </c>
      <c r="D116" s="73">
        <f t="shared" si="43"/>
        <v>190</v>
      </c>
      <c r="E116" s="76">
        <f t="shared" si="42"/>
        <v>190</v>
      </c>
      <c r="F116" s="73"/>
      <c r="G116" s="73">
        <v>190</v>
      </c>
      <c r="H116" s="25"/>
      <c r="I116" s="25"/>
      <c r="J116" s="25">
        <v>190</v>
      </c>
      <c r="K116" s="28" t="e">
        <f>J116/#REF!*100</f>
        <v>#REF!</v>
      </c>
      <c r="L116" s="28" t="e">
        <f t="shared" si="41"/>
        <v>#DIV/0!</v>
      </c>
      <c r="M116" s="69"/>
      <c r="N116" s="69"/>
      <c r="O116" s="24" t="e">
        <f t="shared" si="30"/>
        <v>#DIV/0!</v>
      </c>
      <c r="P116" s="28">
        <f>J116*100/E116</f>
        <v>100</v>
      </c>
      <c r="Q116" s="25">
        <f>J116*100/D116</f>
        <v>100</v>
      </c>
    </row>
    <row r="117" spans="1:17" ht="11.25" customHeight="1" hidden="1">
      <c r="A117" s="29" t="s">
        <v>12</v>
      </c>
      <c r="B117" s="29"/>
      <c r="C117" s="36" t="s">
        <v>7</v>
      </c>
      <c r="D117" s="73">
        <f t="shared" si="43"/>
        <v>0</v>
      </c>
      <c r="E117" s="76">
        <f t="shared" si="42"/>
        <v>0</v>
      </c>
      <c r="F117" s="73"/>
      <c r="G117" s="73"/>
      <c r="H117" s="25"/>
      <c r="I117" s="25"/>
      <c r="J117" s="25"/>
      <c r="K117" s="28"/>
      <c r="L117" s="28"/>
      <c r="M117" s="69"/>
      <c r="N117" s="69"/>
      <c r="O117" s="24" t="e">
        <f t="shared" si="30"/>
        <v>#DIV/0!</v>
      </c>
      <c r="P117" s="28" t="e">
        <f>J117*100/E117</f>
        <v>#DIV/0!</v>
      </c>
      <c r="Q117" s="25" t="e">
        <f>J117*100/D117</f>
        <v>#DIV/0!</v>
      </c>
    </row>
    <row r="118" spans="1:17" ht="11.25" customHeight="1">
      <c r="A118" s="37" t="s">
        <v>39</v>
      </c>
      <c r="B118" s="56"/>
      <c r="C118" s="23" t="s">
        <v>40</v>
      </c>
      <c r="D118" s="73">
        <f t="shared" si="43"/>
        <v>0</v>
      </c>
      <c r="E118" s="76">
        <f t="shared" si="42"/>
        <v>0</v>
      </c>
      <c r="F118" s="73"/>
      <c r="G118" s="73"/>
      <c r="H118" s="25"/>
      <c r="I118" s="25"/>
      <c r="J118" s="25">
        <v>0.1</v>
      </c>
      <c r="K118" s="28"/>
      <c r="L118" s="28"/>
      <c r="M118" s="69"/>
      <c r="N118" s="69"/>
      <c r="O118" s="24" t="e">
        <f t="shared" si="30"/>
        <v>#DIV/0!</v>
      </c>
      <c r="P118" s="35"/>
      <c r="Q118" s="32"/>
    </row>
    <row r="119" spans="1:17" ht="12.75">
      <c r="A119" s="33" t="s">
        <v>1</v>
      </c>
      <c r="B119" s="33"/>
      <c r="C119" s="41" t="s">
        <v>0</v>
      </c>
      <c r="D119" s="42">
        <f>D120+D121</f>
        <v>28113.7</v>
      </c>
      <c r="E119" s="42">
        <f aca="true" t="shared" si="44" ref="E119:J119">E120+E121</f>
        <v>23150.2</v>
      </c>
      <c r="F119" s="42">
        <f t="shared" si="44"/>
        <v>4882.9</v>
      </c>
      <c r="G119" s="42">
        <f t="shared" si="44"/>
        <v>7326.5</v>
      </c>
      <c r="H119" s="42">
        <f t="shared" si="44"/>
        <v>10940.800000000001</v>
      </c>
      <c r="I119" s="42">
        <f t="shared" si="44"/>
        <v>4963.5</v>
      </c>
      <c r="J119" s="42">
        <f t="shared" si="44"/>
        <v>17163.7</v>
      </c>
      <c r="K119" s="42" t="e">
        <f>K120</f>
        <v>#REF!</v>
      </c>
      <c r="L119" s="35">
        <f>J119/H119*100</f>
        <v>156.87792483182216</v>
      </c>
      <c r="M119" s="69"/>
      <c r="N119" s="69"/>
      <c r="O119" s="46">
        <f t="shared" si="30"/>
        <v>345.7983277928881</v>
      </c>
      <c r="P119" s="35">
        <f t="shared" si="27"/>
        <v>74.1406121761367</v>
      </c>
      <c r="Q119" s="32">
        <f t="shared" si="28"/>
        <v>61.05101783116417</v>
      </c>
    </row>
    <row r="120" spans="1:17" ht="24">
      <c r="A120" s="21" t="s">
        <v>67</v>
      </c>
      <c r="B120" s="19"/>
      <c r="C120" s="43" t="s">
        <v>20</v>
      </c>
      <c r="D120" s="73">
        <f t="shared" si="43"/>
        <v>27853.7</v>
      </c>
      <c r="E120" s="76">
        <f t="shared" si="42"/>
        <v>22890.2</v>
      </c>
      <c r="F120" s="73">
        <v>4882.9</v>
      </c>
      <c r="G120" s="73">
        <v>7066.5</v>
      </c>
      <c r="H120" s="25">
        <f>9963.6+977.2</f>
        <v>10940.800000000001</v>
      </c>
      <c r="I120" s="25">
        <v>4963.5</v>
      </c>
      <c r="J120" s="25">
        <v>16903.7</v>
      </c>
      <c r="K120" s="28" t="e">
        <f>J120/#REF!*100</f>
        <v>#REF!</v>
      </c>
      <c r="L120" s="28">
        <f>J120/H120*100</f>
        <v>154.50149897630885</v>
      </c>
      <c r="M120" s="69"/>
      <c r="N120" s="69"/>
      <c r="O120" s="24">
        <f t="shared" si="30"/>
        <v>340.560088647124</v>
      </c>
      <c r="P120" s="28">
        <f t="shared" si="27"/>
        <v>73.84688644048545</v>
      </c>
      <c r="Q120" s="25">
        <f t="shared" si="28"/>
        <v>60.68744906421768</v>
      </c>
    </row>
    <row r="121" spans="1:17" ht="12.75">
      <c r="A121" s="21" t="s">
        <v>2</v>
      </c>
      <c r="B121" s="21"/>
      <c r="C121" s="44" t="s">
        <v>19</v>
      </c>
      <c r="D121" s="73">
        <f>F121+G121+H121+I121</f>
        <v>260</v>
      </c>
      <c r="E121" s="76">
        <f t="shared" si="42"/>
        <v>260</v>
      </c>
      <c r="F121" s="73"/>
      <c r="G121" s="73">
        <v>260</v>
      </c>
      <c r="H121" s="25"/>
      <c r="I121" s="25"/>
      <c r="J121" s="25">
        <v>260</v>
      </c>
      <c r="K121" s="28"/>
      <c r="L121" s="28"/>
      <c r="M121" s="69"/>
      <c r="N121" s="69"/>
      <c r="O121" s="24"/>
      <c r="P121" s="28">
        <f t="shared" si="27"/>
        <v>100</v>
      </c>
      <c r="Q121" s="25">
        <f t="shared" si="28"/>
        <v>100</v>
      </c>
    </row>
    <row r="122" spans="1:17" ht="12.75">
      <c r="A122" s="29"/>
      <c r="B122" s="30"/>
      <c r="C122" s="31" t="s">
        <v>4</v>
      </c>
      <c r="D122" s="32">
        <f aca="true" t="shared" si="45" ref="D122:J122">D119+D109</f>
        <v>30218.7</v>
      </c>
      <c r="E122" s="32">
        <f t="shared" si="45"/>
        <v>24580.7</v>
      </c>
      <c r="F122" s="32">
        <f t="shared" si="45"/>
        <v>5179.9</v>
      </c>
      <c r="G122" s="32">
        <f t="shared" si="45"/>
        <v>7846.5</v>
      </c>
      <c r="H122" s="32">
        <f t="shared" si="45"/>
        <v>11554.300000000001</v>
      </c>
      <c r="I122" s="32">
        <f t="shared" si="45"/>
        <v>5638</v>
      </c>
      <c r="J122" s="32">
        <f t="shared" si="45"/>
        <v>19207.2</v>
      </c>
      <c r="K122" s="35" t="e">
        <f>J122/#REF!*100</f>
        <v>#REF!</v>
      </c>
      <c r="L122" s="35">
        <f>J122/H122*100</f>
        <v>166.2342158330665</v>
      </c>
      <c r="M122" s="69"/>
      <c r="N122" s="70" t="e">
        <f>I122+#REF!+#REF!</f>
        <v>#REF!</v>
      </c>
      <c r="O122" s="46">
        <f t="shared" si="30"/>
        <v>340.67399787158564</v>
      </c>
      <c r="P122" s="35">
        <f t="shared" si="27"/>
        <v>78.13935323241405</v>
      </c>
      <c r="Q122" s="32">
        <f t="shared" si="28"/>
        <v>63.560642913163036</v>
      </c>
    </row>
    <row r="123" spans="1:17" ht="12.75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8"/>
      <c r="M123" s="69"/>
      <c r="N123" s="69"/>
      <c r="O123" s="67"/>
      <c r="P123" s="35"/>
      <c r="Q123" s="32"/>
    </row>
    <row r="124" spans="1:17" ht="12.75">
      <c r="A124" s="165" t="s">
        <v>31</v>
      </c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35"/>
      <c r="Q124" s="32"/>
    </row>
    <row r="125" spans="1:17" ht="12.75">
      <c r="A125" s="33" t="s">
        <v>3</v>
      </c>
      <c r="B125" s="33"/>
      <c r="C125" s="34" t="s">
        <v>68</v>
      </c>
      <c r="D125" s="35">
        <f aca="true" t="shared" si="46" ref="D125:J125">D126+D127+D128+D129+D131+D133+D130+D132</f>
        <v>2690</v>
      </c>
      <c r="E125" s="35">
        <f t="shared" si="46"/>
        <v>1927.9</v>
      </c>
      <c r="F125" s="35">
        <f t="shared" si="46"/>
        <v>394.1</v>
      </c>
      <c r="G125" s="35">
        <f t="shared" si="46"/>
        <v>779.8</v>
      </c>
      <c r="H125" s="35">
        <f t="shared" si="46"/>
        <v>754</v>
      </c>
      <c r="I125" s="35">
        <f t="shared" si="46"/>
        <v>762.1</v>
      </c>
      <c r="J125" s="35">
        <f t="shared" si="46"/>
        <v>1818.3</v>
      </c>
      <c r="K125" s="35" t="e">
        <f>J125/#REF!*100</f>
        <v>#REF!</v>
      </c>
      <c r="L125" s="35">
        <f aca="true" t="shared" si="47" ref="L125:L131">J125/H125*100</f>
        <v>241.15384615384613</v>
      </c>
      <c r="M125" s="69"/>
      <c r="N125" s="69"/>
      <c r="O125" s="35">
        <f t="shared" si="30"/>
        <v>238.59073612386825</v>
      </c>
      <c r="P125" s="35">
        <f t="shared" si="27"/>
        <v>94.31505783494994</v>
      </c>
      <c r="Q125" s="32">
        <f t="shared" si="28"/>
        <v>67.59479553903346</v>
      </c>
    </row>
    <row r="126" spans="1:17" ht="12.75">
      <c r="A126" s="29" t="s">
        <v>23</v>
      </c>
      <c r="B126" s="29"/>
      <c r="C126" s="36" t="s">
        <v>22</v>
      </c>
      <c r="D126" s="73">
        <f>F126+G126+H126+I126</f>
        <v>2240</v>
      </c>
      <c r="E126" s="76">
        <f aca="true" t="shared" si="48" ref="E126:E135">F126+G126+H126</f>
        <v>1655</v>
      </c>
      <c r="F126" s="49">
        <v>330</v>
      </c>
      <c r="G126" s="49">
        <v>685</v>
      </c>
      <c r="H126" s="24">
        <v>640</v>
      </c>
      <c r="I126" s="25">
        <v>585</v>
      </c>
      <c r="J126" s="25">
        <v>1444.7</v>
      </c>
      <c r="K126" s="28" t="e">
        <f>J126/#REF!*100</f>
        <v>#REF!</v>
      </c>
      <c r="L126" s="28">
        <f t="shared" si="47"/>
        <v>225.734375</v>
      </c>
      <c r="M126" s="69"/>
      <c r="N126" s="69"/>
      <c r="O126" s="24">
        <f t="shared" si="30"/>
        <v>246.95726495726495</v>
      </c>
      <c r="P126" s="28">
        <f t="shared" si="27"/>
        <v>87.29305135951661</v>
      </c>
      <c r="Q126" s="25">
        <f t="shared" si="28"/>
        <v>64.49553571428571</v>
      </c>
    </row>
    <row r="127" spans="1:17" ht="12.75">
      <c r="A127" s="19" t="s">
        <v>9</v>
      </c>
      <c r="B127" s="19"/>
      <c r="C127" s="36" t="s">
        <v>6</v>
      </c>
      <c r="D127" s="73">
        <f aca="true" t="shared" si="49" ref="D127:D136">F127+G127+H127+I127</f>
        <v>258</v>
      </c>
      <c r="E127" s="76">
        <f t="shared" si="48"/>
        <v>151.4</v>
      </c>
      <c r="F127" s="49">
        <f>22.1+3+10</f>
        <v>35.1</v>
      </c>
      <c r="G127" s="49">
        <f>27.4+18+7.4</f>
        <v>52.8</v>
      </c>
      <c r="H127" s="24">
        <f>27.6+27.5+8.4</f>
        <v>63.5</v>
      </c>
      <c r="I127" s="25">
        <f>32.8+46.5+27.3</f>
        <v>106.6</v>
      </c>
      <c r="J127" s="25">
        <v>183.2</v>
      </c>
      <c r="K127" s="28" t="e">
        <f>J127/#REF!*100</f>
        <v>#REF!</v>
      </c>
      <c r="L127" s="28">
        <f t="shared" si="47"/>
        <v>288.503937007874</v>
      </c>
      <c r="M127" s="69"/>
      <c r="N127" s="69"/>
      <c r="O127" s="24">
        <f t="shared" si="30"/>
        <v>171.85741088180114</v>
      </c>
      <c r="P127" s="28">
        <f t="shared" si="27"/>
        <v>121.00396301188903</v>
      </c>
      <c r="Q127" s="25">
        <f t="shared" si="28"/>
        <v>71.0077519379845</v>
      </c>
    </row>
    <row r="128" spans="1:17" ht="12.75">
      <c r="A128" s="19" t="s">
        <v>10</v>
      </c>
      <c r="B128" s="19"/>
      <c r="C128" s="36" t="s">
        <v>21</v>
      </c>
      <c r="D128" s="73">
        <f t="shared" si="49"/>
        <v>47</v>
      </c>
      <c r="E128" s="76">
        <f t="shared" si="48"/>
        <v>31</v>
      </c>
      <c r="F128" s="49">
        <v>9</v>
      </c>
      <c r="G128" s="49">
        <v>10</v>
      </c>
      <c r="H128" s="24">
        <v>12</v>
      </c>
      <c r="I128" s="25">
        <v>16</v>
      </c>
      <c r="J128" s="25">
        <v>34.1</v>
      </c>
      <c r="K128" s="28" t="e">
        <f>J128/#REF!*100</f>
        <v>#REF!</v>
      </c>
      <c r="L128" s="28">
        <f t="shared" si="47"/>
        <v>284.1666666666667</v>
      </c>
      <c r="M128" s="69"/>
      <c r="N128" s="69"/>
      <c r="O128" s="24">
        <f t="shared" si="30"/>
        <v>213.125</v>
      </c>
      <c r="P128" s="28">
        <f t="shared" si="27"/>
        <v>110</v>
      </c>
      <c r="Q128" s="25">
        <f t="shared" si="28"/>
        <v>72.55319148936171</v>
      </c>
    </row>
    <row r="129" spans="1:17" ht="24">
      <c r="A129" s="20" t="s">
        <v>11</v>
      </c>
      <c r="B129" s="20"/>
      <c r="C129" s="36" t="s">
        <v>17</v>
      </c>
      <c r="D129" s="73">
        <f t="shared" si="49"/>
        <v>65</v>
      </c>
      <c r="E129" s="76">
        <f t="shared" si="48"/>
        <v>36.5</v>
      </c>
      <c r="F129" s="49">
        <f>3.5+1.5</f>
        <v>5</v>
      </c>
      <c r="G129" s="49">
        <f>7+3</f>
        <v>10</v>
      </c>
      <c r="H129" s="24">
        <f>18.5+3</f>
        <v>21.5</v>
      </c>
      <c r="I129" s="25">
        <f>21+7.5</f>
        <v>28.5</v>
      </c>
      <c r="J129" s="25">
        <f>95.2+0.1</f>
        <v>95.3</v>
      </c>
      <c r="K129" s="28" t="e">
        <f>J129/#REF!*100</f>
        <v>#REF!</v>
      </c>
      <c r="L129" s="28">
        <f t="shared" si="47"/>
        <v>443.2558139534883</v>
      </c>
      <c r="M129" s="69"/>
      <c r="N129" s="69"/>
      <c r="O129" s="24">
        <f t="shared" si="30"/>
        <v>334.3859649122807</v>
      </c>
      <c r="P129" s="28">
        <f t="shared" si="27"/>
        <v>261.09589041095893</v>
      </c>
      <c r="Q129" s="25">
        <f t="shared" si="28"/>
        <v>146.6153846153846</v>
      </c>
    </row>
    <row r="130" spans="1:17" ht="12.75">
      <c r="A130" s="38" t="s">
        <v>42</v>
      </c>
      <c r="B130" s="38"/>
      <c r="C130" s="36" t="s">
        <v>43</v>
      </c>
      <c r="D130" s="73">
        <f t="shared" si="49"/>
        <v>80</v>
      </c>
      <c r="E130" s="76">
        <f t="shared" si="48"/>
        <v>54</v>
      </c>
      <c r="F130" s="49">
        <v>15</v>
      </c>
      <c r="G130" s="49">
        <v>22</v>
      </c>
      <c r="H130" s="24">
        <v>17</v>
      </c>
      <c r="I130" s="25">
        <v>26</v>
      </c>
      <c r="J130" s="25">
        <v>60</v>
      </c>
      <c r="K130" s="28" t="e">
        <f>J130/#REF!*100</f>
        <v>#REF!</v>
      </c>
      <c r="L130" s="28">
        <f t="shared" si="47"/>
        <v>352.94117647058823</v>
      </c>
      <c r="M130" s="69"/>
      <c r="N130" s="69"/>
      <c r="O130" s="24">
        <f t="shared" si="30"/>
        <v>230.76923076923077</v>
      </c>
      <c r="P130" s="28">
        <f t="shared" si="27"/>
        <v>111.11111111111111</v>
      </c>
      <c r="Q130" s="25">
        <f t="shared" si="28"/>
        <v>75</v>
      </c>
    </row>
    <row r="131" spans="1:17" ht="13.5" customHeight="1" hidden="1">
      <c r="A131" s="38" t="s">
        <v>18</v>
      </c>
      <c r="B131" s="38"/>
      <c r="C131" s="36" t="s">
        <v>15</v>
      </c>
      <c r="D131" s="73">
        <f t="shared" si="49"/>
        <v>0</v>
      </c>
      <c r="E131" s="76">
        <f t="shared" si="48"/>
        <v>0</v>
      </c>
      <c r="F131" s="49"/>
      <c r="G131" s="49"/>
      <c r="H131" s="24"/>
      <c r="I131" s="25"/>
      <c r="J131" s="25"/>
      <c r="K131" s="28" t="e">
        <f>J131/#REF!*100</f>
        <v>#REF!</v>
      </c>
      <c r="L131" s="28" t="e">
        <f t="shared" si="47"/>
        <v>#DIV/0!</v>
      </c>
      <c r="M131" s="69"/>
      <c r="N131" s="69"/>
      <c r="O131" s="24" t="e">
        <f t="shared" si="30"/>
        <v>#DIV/0!</v>
      </c>
      <c r="P131" s="28"/>
      <c r="Q131" s="25"/>
    </row>
    <row r="132" spans="1:17" ht="14.25" customHeight="1" hidden="1">
      <c r="A132" s="29" t="s">
        <v>12</v>
      </c>
      <c r="B132" s="29"/>
      <c r="C132" s="36" t="s">
        <v>7</v>
      </c>
      <c r="D132" s="73">
        <f t="shared" si="49"/>
        <v>0</v>
      </c>
      <c r="E132" s="76">
        <f t="shared" si="48"/>
        <v>0</v>
      </c>
      <c r="F132" s="49"/>
      <c r="G132" s="49"/>
      <c r="H132" s="24"/>
      <c r="I132" s="25"/>
      <c r="J132" s="25"/>
      <c r="K132" s="28"/>
      <c r="L132" s="28"/>
      <c r="M132" s="69"/>
      <c r="N132" s="69"/>
      <c r="O132" s="24"/>
      <c r="P132" s="28"/>
      <c r="Q132" s="25"/>
    </row>
    <row r="133" spans="1:17" ht="12.75">
      <c r="A133" s="38" t="s">
        <v>39</v>
      </c>
      <c r="B133" s="56"/>
      <c r="C133" s="23" t="s">
        <v>40</v>
      </c>
      <c r="D133" s="73">
        <f t="shared" si="49"/>
        <v>0</v>
      </c>
      <c r="E133" s="76">
        <f t="shared" si="48"/>
        <v>0</v>
      </c>
      <c r="F133" s="49"/>
      <c r="G133" s="49"/>
      <c r="H133" s="24"/>
      <c r="I133" s="25"/>
      <c r="J133" s="24">
        <v>1</v>
      </c>
      <c r="K133" s="28"/>
      <c r="L133" s="28"/>
      <c r="M133" s="69"/>
      <c r="N133" s="69"/>
      <c r="O133" s="24"/>
      <c r="P133" s="28"/>
      <c r="Q133" s="25"/>
    </row>
    <row r="134" spans="1:17" ht="12.75">
      <c r="A134" s="45" t="s">
        <v>1</v>
      </c>
      <c r="B134" s="45"/>
      <c r="C134" s="41" t="s">
        <v>0</v>
      </c>
      <c r="D134" s="42">
        <f aca="true" t="shared" si="50" ref="D134:J134">D135+D136</f>
        <v>46294.8</v>
      </c>
      <c r="E134" s="42">
        <f t="shared" si="50"/>
        <v>35196.5</v>
      </c>
      <c r="F134" s="42">
        <f t="shared" si="50"/>
        <v>10444.3</v>
      </c>
      <c r="G134" s="42">
        <f t="shared" si="50"/>
        <v>13420</v>
      </c>
      <c r="H134" s="42">
        <f t="shared" si="50"/>
        <v>11332.2</v>
      </c>
      <c r="I134" s="42">
        <f t="shared" si="50"/>
        <v>11098.3</v>
      </c>
      <c r="J134" s="42">
        <f t="shared" si="50"/>
        <v>28600.7</v>
      </c>
      <c r="K134" s="35" t="e">
        <f>J134/#REF!*100</f>
        <v>#REF!</v>
      </c>
      <c r="L134" s="35">
        <f>J134/H134*100</f>
        <v>252.38435608266707</v>
      </c>
      <c r="M134" s="69"/>
      <c r="N134" s="69"/>
      <c r="O134" s="46">
        <f t="shared" si="30"/>
        <v>257.70343205716193</v>
      </c>
      <c r="P134" s="35">
        <f t="shared" si="27"/>
        <v>81.26006847271746</v>
      </c>
      <c r="Q134" s="32">
        <f t="shared" si="28"/>
        <v>61.779508713721626</v>
      </c>
    </row>
    <row r="135" spans="1:17" ht="24">
      <c r="A135" s="21" t="s">
        <v>67</v>
      </c>
      <c r="B135" s="19"/>
      <c r="C135" s="43" t="s">
        <v>20</v>
      </c>
      <c r="D135" s="73">
        <f t="shared" si="49"/>
        <v>46294.8</v>
      </c>
      <c r="E135" s="76">
        <f t="shared" si="48"/>
        <v>35196.5</v>
      </c>
      <c r="F135" s="49">
        <v>10444.3</v>
      </c>
      <c r="G135" s="49">
        <v>13420</v>
      </c>
      <c r="H135" s="24">
        <f>11114.2+187.8+30.2</f>
        <v>11332.2</v>
      </c>
      <c r="I135" s="25">
        <v>11098.3</v>
      </c>
      <c r="J135" s="25">
        <v>28600.7</v>
      </c>
      <c r="K135" s="28" t="e">
        <f>J135/#REF!*100</f>
        <v>#REF!</v>
      </c>
      <c r="L135" s="28">
        <f>J135/H135*100</f>
        <v>252.38435608266707</v>
      </c>
      <c r="M135" s="69"/>
      <c r="N135" s="69"/>
      <c r="O135" s="24">
        <f t="shared" si="30"/>
        <v>257.70343205716193</v>
      </c>
      <c r="P135" s="28">
        <f t="shared" si="27"/>
        <v>81.26006847271746</v>
      </c>
      <c r="Q135" s="25">
        <f t="shared" si="28"/>
        <v>61.779508713721626</v>
      </c>
    </row>
    <row r="136" spans="1:17" ht="12.75" customHeight="1" hidden="1">
      <c r="A136" s="21" t="s">
        <v>2</v>
      </c>
      <c r="B136" s="21"/>
      <c r="C136" s="44" t="s">
        <v>19</v>
      </c>
      <c r="D136" s="73">
        <f t="shared" si="49"/>
        <v>0</v>
      </c>
      <c r="E136" s="73">
        <f>F136</f>
        <v>0</v>
      </c>
      <c r="F136" s="80"/>
      <c r="G136" s="80"/>
      <c r="H136" s="24"/>
      <c r="I136" s="25"/>
      <c r="J136" s="25"/>
      <c r="K136" s="28"/>
      <c r="L136" s="28"/>
      <c r="M136" s="69"/>
      <c r="N136" s="69"/>
      <c r="O136" s="24" t="e">
        <f t="shared" si="30"/>
        <v>#DIV/0!</v>
      </c>
      <c r="P136" s="28"/>
      <c r="Q136" s="25"/>
    </row>
    <row r="137" spans="1:17" ht="12.75">
      <c r="A137" s="29"/>
      <c r="B137" s="30"/>
      <c r="C137" s="31" t="s">
        <v>4</v>
      </c>
      <c r="D137" s="32">
        <f aca="true" t="shared" si="51" ref="D137:J137">D134+D125</f>
        <v>48984.8</v>
      </c>
      <c r="E137" s="32">
        <f t="shared" si="51"/>
        <v>37124.4</v>
      </c>
      <c r="F137" s="46">
        <f t="shared" si="51"/>
        <v>10838.4</v>
      </c>
      <c r="G137" s="46">
        <f t="shared" si="51"/>
        <v>14199.8</v>
      </c>
      <c r="H137" s="46">
        <f t="shared" si="51"/>
        <v>12086.2</v>
      </c>
      <c r="I137" s="32">
        <f t="shared" si="51"/>
        <v>11860.4</v>
      </c>
      <c r="J137" s="32">
        <f t="shared" si="51"/>
        <v>30419</v>
      </c>
      <c r="K137" s="35" t="e">
        <f>J137/#REF!*100</f>
        <v>#REF!</v>
      </c>
      <c r="L137" s="35">
        <f>J137/H137*100</f>
        <v>251.6837384785954</v>
      </c>
      <c r="M137" s="69"/>
      <c r="N137" s="70" t="e">
        <f>I137+#REF!+#REF!</f>
        <v>#REF!</v>
      </c>
      <c r="O137" s="46">
        <f t="shared" si="30"/>
        <v>256.4753296684766</v>
      </c>
      <c r="P137" s="35">
        <f t="shared" si="27"/>
        <v>81.93802458760275</v>
      </c>
      <c r="Q137" s="32">
        <f t="shared" si="28"/>
        <v>62.098855155068506</v>
      </c>
    </row>
    <row r="138" spans="1:17" ht="12.75">
      <c r="A138" s="171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3"/>
      <c r="M138" s="69"/>
      <c r="N138" s="69"/>
      <c r="O138" s="67"/>
      <c r="P138" s="35"/>
      <c r="Q138" s="32"/>
    </row>
    <row r="139" spans="1:17" ht="12.75">
      <c r="A139" s="165" t="s">
        <v>32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35"/>
      <c r="Q139" s="32"/>
    </row>
    <row r="140" spans="1:17" ht="12.75">
      <c r="A140" s="33" t="s">
        <v>3</v>
      </c>
      <c r="B140" s="33"/>
      <c r="C140" s="34" t="s">
        <v>68</v>
      </c>
      <c r="D140" s="35">
        <f aca="true" t="shared" si="52" ref="D140:J140">D141+D143+D145+D147+D144+D148+D146+D149+D142</f>
        <v>14372.3</v>
      </c>
      <c r="E140" s="35">
        <f t="shared" si="52"/>
        <v>10919.199999999999</v>
      </c>
      <c r="F140" s="35">
        <f t="shared" si="52"/>
        <v>2709.3</v>
      </c>
      <c r="G140" s="35">
        <f t="shared" si="52"/>
        <v>4627.6</v>
      </c>
      <c r="H140" s="35">
        <f t="shared" si="52"/>
        <v>3582.3</v>
      </c>
      <c r="I140" s="35">
        <f t="shared" si="52"/>
        <v>3453.1</v>
      </c>
      <c r="J140" s="35">
        <f t="shared" si="52"/>
        <v>10490.3</v>
      </c>
      <c r="K140" s="35" t="e">
        <f>J140/#REF!*100</f>
        <v>#REF!</v>
      </c>
      <c r="L140" s="35">
        <f>J140/H140*100</f>
        <v>292.8370041593389</v>
      </c>
      <c r="M140" s="69"/>
      <c r="N140" s="69"/>
      <c r="O140" s="35">
        <f t="shared" si="30"/>
        <v>303.793692624019</v>
      </c>
      <c r="P140" s="35">
        <f t="shared" si="27"/>
        <v>96.07205656092022</v>
      </c>
      <c r="Q140" s="32">
        <f t="shared" si="28"/>
        <v>72.98970937149934</v>
      </c>
    </row>
    <row r="141" spans="1:17" ht="12.75">
      <c r="A141" s="29" t="s">
        <v>23</v>
      </c>
      <c r="B141" s="29"/>
      <c r="C141" s="36" t="s">
        <v>22</v>
      </c>
      <c r="D141" s="49">
        <f>F141+G141+H141+I141</f>
        <v>12500</v>
      </c>
      <c r="E141" s="76">
        <f aca="true" t="shared" si="53" ref="E141:E151">F141+G141+H141</f>
        <v>9490</v>
      </c>
      <c r="F141" s="49">
        <v>2590</v>
      </c>
      <c r="G141" s="49">
        <f>3500</f>
        <v>3500</v>
      </c>
      <c r="H141" s="24">
        <v>3400</v>
      </c>
      <c r="I141" s="25">
        <v>3010</v>
      </c>
      <c r="J141" s="25">
        <v>9466.3</v>
      </c>
      <c r="K141" s="28" t="e">
        <f>J141/#REF!*100</f>
        <v>#REF!</v>
      </c>
      <c r="L141" s="28">
        <f>J141/H141*100</f>
        <v>278.4205882352941</v>
      </c>
      <c r="M141" s="69"/>
      <c r="N141" s="69"/>
      <c r="O141" s="24">
        <f t="shared" si="30"/>
        <v>314.4950166112956</v>
      </c>
      <c r="P141" s="28">
        <f t="shared" si="27"/>
        <v>99.75026343519492</v>
      </c>
      <c r="Q141" s="25">
        <f t="shared" si="28"/>
        <v>75.73039999999999</v>
      </c>
    </row>
    <row r="142" spans="1:17" ht="12.75" customHeight="1">
      <c r="A142" s="19" t="s">
        <v>8</v>
      </c>
      <c r="B142" s="19"/>
      <c r="C142" s="36" t="s">
        <v>5</v>
      </c>
      <c r="D142" s="49">
        <f aca="true" t="shared" si="54" ref="D142:D151">F142+G142+H142+I142</f>
        <v>0</v>
      </c>
      <c r="E142" s="76">
        <f t="shared" si="53"/>
        <v>0</v>
      </c>
      <c r="F142" s="49"/>
      <c r="G142" s="49"/>
      <c r="H142" s="24"/>
      <c r="I142" s="25"/>
      <c r="J142" s="25">
        <v>13.2</v>
      </c>
      <c r="K142" s="28"/>
      <c r="L142" s="28"/>
      <c r="M142" s="69"/>
      <c r="N142" s="69"/>
      <c r="O142" s="24" t="e">
        <f t="shared" si="30"/>
        <v>#DIV/0!</v>
      </c>
      <c r="P142" s="28"/>
      <c r="Q142" s="25"/>
    </row>
    <row r="143" spans="1:17" ht="12.75">
      <c r="A143" s="19" t="s">
        <v>9</v>
      </c>
      <c r="B143" s="19"/>
      <c r="C143" s="36" t="s">
        <v>6</v>
      </c>
      <c r="D143" s="49">
        <f t="shared" si="54"/>
        <v>845</v>
      </c>
      <c r="E143" s="76">
        <f t="shared" si="53"/>
        <v>496</v>
      </c>
      <c r="F143" s="49">
        <f>40+9+12</f>
        <v>61</v>
      </c>
      <c r="G143" s="49">
        <f>351</f>
        <v>351</v>
      </c>
      <c r="H143" s="24">
        <f>60+9+15</f>
        <v>84</v>
      </c>
      <c r="I143" s="25">
        <f>270+28+51</f>
        <v>349</v>
      </c>
      <c r="J143" s="25">
        <v>589.5</v>
      </c>
      <c r="K143" s="28" t="e">
        <f>J143/#REF!*100</f>
        <v>#REF!</v>
      </c>
      <c r="L143" s="28">
        <f>J143/H143*100</f>
        <v>701.7857142857143</v>
      </c>
      <c r="M143" s="69"/>
      <c r="N143" s="69"/>
      <c r="O143" s="24">
        <f t="shared" si="30"/>
        <v>168.9111747851003</v>
      </c>
      <c r="P143" s="28">
        <f aca="true" t="shared" si="55" ref="P143:P206">J143*100/E143</f>
        <v>118.8508064516129</v>
      </c>
      <c r="Q143" s="25">
        <f aca="true" t="shared" si="56" ref="Q143:Q206">J143*100/D143</f>
        <v>69.76331360946746</v>
      </c>
    </row>
    <row r="144" spans="1:17" ht="12.75">
      <c r="A144" s="19" t="s">
        <v>10</v>
      </c>
      <c r="B144" s="19"/>
      <c r="C144" s="36" t="s">
        <v>21</v>
      </c>
      <c r="D144" s="49">
        <f t="shared" si="54"/>
        <v>160</v>
      </c>
      <c r="E144" s="76">
        <f t="shared" si="53"/>
        <v>102</v>
      </c>
      <c r="F144" s="49">
        <v>22</v>
      </c>
      <c r="G144" s="49">
        <v>53</v>
      </c>
      <c r="H144" s="24">
        <v>27</v>
      </c>
      <c r="I144" s="25">
        <v>58</v>
      </c>
      <c r="J144" s="25">
        <v>90.5</v>
      </c>
      <c r="K144" s="28" t="e">
        <f>J144/#REF!*100</f>
        <v>#REF!</v>
      </c>
      <c r="L144" s="28">
        <f>J144/H144*100</f>
        <v>335.18518518518516</v>
      </c>
      <c r="M144" s="69"/>
      <c r="N144" s="69"/>
      <c r="O144" s="24">
        <f t="shared" si="30"/>
        <v>156.0344827586207</v>
      </c>
      <c r="P144" s="28">
        <f t="shared" si="55"/>
        <v>88.72549019607843</v>
      </c>
      <c r="Q144" s="25">
        <f t="shared" si="56"/>
        <v>56.5625</v>
      </c>
    </row>
    <row r="145" spans="1:17" ht="24">
      <c r="A145" s="20" t="s">
        <v>11</v>
      </c>
      <c r="B145" s="20"/>
      <c r="C145" s="36" t="s">
        <v>17</v>
      </c>
      <c r="D145" s="49">
        <f t="shared" si="54"/>
        <v>145</v>
      </c>
      <c r="E145" s="76">
        <f t="shared" si="53"/>
        <v>108.89999999999999</v>
      </c>
      <c r="F145" s="49">
        <v>36.3</v>
      </c>
      <c r="G145" s="49">
        <v>36.3</v>
      </c>
      <c r="H145" s="24">
        <v>36.3</v>
      </c>
      <c r="I145" s="25">
        <v>36.1</v>
      </c>
      <c r="J145" s="25">
        <v>94.7</v>
      </c>
      <c r="K145" s="28" t="e">
        <f>J145/#REF!*100</f>
        <v>#REF!</v>
      </c>
      <c r="L145" s="28">
        <f>J145/H145*100</f>
        <v>260.88154269972455</v>
      </c>
      <c r="M145" s="69"/>
      <c r="N145" s="69"/>
      <c r="O145" s="24">
        <f t="shared" si="30"/>
        <v>262.3268698060942</v>
      </c>
      <c r="P145" s="28">
        <f t="shared" si="55"/>
        <v>86.96051423324151</v>
      </c>
      <c r="Q145" s="25">
        <f t="shared" si="56"/>
        <v>65.3103448275862</v>
      </c>
    </row>
    <row r="146" spans="1:17" ht="12.75" customHeight="1" hidden="1">
      <c r="A146" s="38" t="s">
        <v>42</v>
      </c>
      <c r="B146" s="38"/>
      <c r="C146" s="36" t="s">
        <v>43</v>
      </c>
      <c r="D146" s="49">
        <f t="shared" si="54"/>
        <v>35</v>
      </c>
      <c r="E146" s="76">
        <f t="shared" si="53"/>
        <v>35</v>
      </c>
      <c r="F146" s="49"/>
      <c r="G146" s="49"/>
      <c r="H146" s="24">
        <v>35</v>
      </c>
      <c r="I146" s="25"/>
      <c r="J146" s="25"/>
      <c r="K146" s="28"/>
      <c r="L146" s="28"/>
      <c r="M146" s="69"/>
      <c r="N146" s="69"/>
      <c r="O146" s="24" t="e">
        <f aca="true" t="shared" si="57" ref="O146:O210">J146*100/I146</f>
        <v>#DIV/0!</v>
      </c>
      <c r="P146" s="28">
        <f t="shared" si="55"/>
        <v>0</v>
      </c>
      <c r="Q146" s="25">
        <f t="shared" si="56"/>
        <v>0</v>
      </c>
    </row>
    <row r="147" spans="1:17" ht="18.75" customHeight="1">
      <c r="A147" s="37" t="s">
        <v>18</v>
      </c>
      <c r="B147" s="37"/>
      <c r="C147" s="36" t="s">
        <v>15</v>
      </c>
      <c r="D147" s="49">
        <f t="shared" si="54"/>
        <v>687.3</v>
      </c>
      <c r="E147" s="76">
        <f t="shared" si="53"/>
        <v>687.3</v>
      </c>
      <c r="F147" s="49"/>
      <c r="G147" s="49">
        <v>687.3</v>
      </c>
      <c r="H147" s="24"/>
      <c r="I147" s="25"/>
      <c r="J147" s="25">
        <v>96</v>
      </c>
      <c r="K147" s="28" t="e">
        <f>J147/#REF!*100</f>
        <v>#REF!</v>
      </c>
      <c r="L147" s="28" t="e">
        <f>J147/H147*100</f>
        <v>#DIV/0!</v>
      </c>
      <c r="M147" s="69"/>
      <c r="N147" s="69"/>
      <c r="O147" s="24" t="e">
        <f t="shared" si="57"/>
        <v>#DIV/0!</v>
      </c>
      <c r="P147" s="28">
        <f t="shared" si="55"/>
        <v>13.96769969445657</v>
      </c>
      <c r="Q147" s="25">
        <f t="shared" si="56"/>
        <v>13.96769969445657</v>
      </c>
    </row>
    <row r="148" spans="1:17" ht="15" customHeight="1">
      <c r="A148" s="29" t="s">
        <v>12</v>
      </c>
      <c r="B148" s="29"/>
      <c r="C148" s="36" t="s">
        <v>7</v>
      </c>
      <c r="D148" s="49">
        <f t="shared" si="54"/>
        <v>0</v>
      </c>
      <c r="E148" s="76">
        <f t="shared" si="53"/>
        <v>0</v>
      </c>
      <c r="F148" s="49"/>
      <c r="G148" s="49"/>
      <c r="H148" s="24"/>
      <c r="I148" s="25"/>
      <c r="J148" s="25">
        <v>49.3</v>
      </c>
      <c r="K148" s="28" t="e">
        <f>J148/#REF!*100</f>
        <v>#REF!</v>
      </c>
      <c r="L148" s="28"/>
      <c r="M148" s="69"/>
      <c r="N148" s="69"/>
      <c r="O148" s="24" t="e">
        <f t="shared" si="57"/>
        <v>#DIV/0!</v>
      </c>
      <c r="P148" s="28"/>
      <c r="Q148" s="25"/>
    </row>
    <row r="149" spans="1:17" ht="16.5" customHeight="1">
      <c r="A149" s="37" t="s">
        <v>39</v>
      </c>
      <c r="B149" s="57"/>
      <c r="C149" s="23" t="s">
        <v>40</v>
      </c>
      <c r="D149" s="49">
        <f t="shared" si="54"/>
        <v>0</v>
      </c>
      <c r="E149" s="76">
        <f t="shared" si="53"/>
        <v>0</v>
      </c>
      <c r="F149" s="49"/>
      <c r="G149" s="49"/>
      <c r="H149" s="24"/>
      <c r="I149" s="25"/>
      <c r="J149" s="25">
        <v>90.8</v>
      </c>
      <c r="K149" s="28"/>
      <c r="L149" s="28"/>
      <c r="M149" s="69"/>
      <c r="N149" s="69"/>
      <c r="O149" s="24" t="e">
        <f t="shared" si="57"/>
        <v>#DIV/0!</v>
      </c>
      <c r="P149" s="35"/>
      <c r="Q149" s="32"/>
    </row>
    <row r="150" spans="1:17" ht="12.75">
      <c r="A150" s="33" t="s">
        <v>1</v>
      </c>
      <c r="B150" s="33"/>
      <c r="C150" s="41" t="s">
        <v>0</v>
      </c>
      <c r="D150" s="42">
        <f>D151+D152</f>
        <v>42388.600000000006</v>
      </c>
      <c r="E150" s="42">
        <f aca="true" t="shared" si="58" ref="E150:J150">E151+E152</f>
        <v>32275.9</v>
      </c>
      <c r="F150" s="42">
        <f t="shared" si="58"/>
        <v>10643.7</v>
      </c>
      <c r="G150" s="42">
        <f t="shared" si="58"/>
        <v>11149.7</v>
      </c>
      <c r="H150" s="42">
        <f t="shared" si="58"/>
        <v>10482.5</v>
      </c>
      <c r="I150" s="42">
        <f t="shared" si="58"/>
        <v>10112.7</v>
      </c>
      <c r="J150" s="42">
        <f t="shared" si="58"/>
        <v>23709.5</v>
      </c>
      <c r="K150" s="35" t="e">
        <f>J150/#REF!*100</f>
        <v>#REF!</v>
      </c>
      <c r="L150" s="35">
        <f>J150/H150*100</f>
        <v>226.18173145719055</v>
      </c>
      <c r="M150" s="69"/>
      <c r="N150" s="69"/>
      <c r="O150" s="46">
        <f t="shared" si="57"/>
        <v>234.45271786960947</v>
      </c>
      <c r="P150" s="35">
        <f t="shared" si="55"/>
        <v>73.45883461034394</v>
      </c>
      <c r="Q150" s="32">
        <f t="shared" si="56"/>
        <v>55.93367084546316</v>
      </c>
    </row>
    <row r="151" spans="1:17" ht="24">
      <c r="A151" s="21" t="s">
        <v>67</v>
      </c>
      <c r="B151" s="19"/>
      <c r="C151" s="43" t="s">
        <v>20</v>
      </c>
      <c r="D151" s="49">
        <f t="shared" si="54"/>
        <v>42388.600000000006</v>
      </c>
      <c r="E151" s="76">
        <f t="shared" si="53"/>
        <v>32275.9</v>
      </c>
      <c r="F151" s="49">
        <f>10110+378+155.7</f>
        <v>10643.7</v>
      </c>
      <c r="G151" s="49">
        <v>11149.7</v>
      </c>
      <c r="H151" s="24">
        <f>10110+372.5</f>
        <v>10482.5</v>
      </c>
      <c r="I151" s="25">
        <v>10112.7</v>
      </c>
      <c r="J151" s="25">
        <v>23709.5</v>
      </c>
      <c r="K151" s="28" t="e">
        <f>J151/#REF!*100</f>
        <v>#REF!</v>
      </c>
      <c r="L151" s="28">
        <f>J151/H151*100</f>
        <v>226.18173145719055</v>
      </c>
      <c r="M151" s="69"/>
      <c r="N151" s="69"/>
      <c r="O151" s="24">
        <f t="shared" si="57"/>
        <v>234.45271786960947</v>
      </c>
      <c r="P151" s="28">
        <f t="shared" si="55"/>
        <v>73.45883461034394</v>
      </c>
      <c r="Q151" s="25">
        <f t="shared" si="56"/>
        <v>55.93367084546316</v>
      </c>
    </row>
    <row r="152" spans="1:17" ht="12.75" customHeight="1" hidden="1">
      <c r="A152" s="21" t="s">
        <v>2</v>
      </c>
      <c r="B152" s="21"/>
      <c r="C152" s="44" t="s">
        <v>19</v>
      </c>
      <c r="D152" s="49">
        <f>F152+G152+H152+I152</f>
        <v>0</v>
      </c>
      <c r="E152" s="73">
        <f>F152</f>
        <v>0</v>
      </c>
      <c r="F152" s="49"/>
      <c r="G152" s="49"/>
      <c r="H152" s="24"/>
      <c r="I152" s="25"/>
      <c r="J152" s="25"/>
      <c r="K152" s="28"/>
      <c r="L152" s="28"/>
      <c r="M152" s="69"/>
      <c r="N152" s="69"/>
      <c r="O152" s="24"/>
      <c r="P152" s="28"/>
      <c r="Q152" s="25"/>
    </row>
    <row r="153" spans="1:17" ht="12.75">
      <c r="A153" s="29"/>
      <c r="B153" s="30"/>
      <c r="C153" s="31" t="s">
        <v>4</v>
      </c>
      <c r="D153" s="32">
        <f aca="true" t="shared" si="59" ref="D153:J153">D150+D140</f>
        <v>56760.90000000001</v>
      </c>
      <c r="E153" s="32">
        <f t="shared" si="59"/>
        <v>43195.1</v>
      </c>
      <c r="F153" s="32">
        <f t="shared" si="59"/>
        <v>13353</v>
      </c>
      <c r="G153" s="32">
        <f t="shared" si="59"/>
        <v>15777.300000000001</v>
      </c>
      <c r="H153" s="32">
        <f t="shared" si="59"/>
        <v>14064.8</v>
      </c>
      <c r="I153" s="32">
        <f t="shared" si="59"/>
        <v>13565.800000000001</v>
      </c>
      <c r="J153" s="32">
        <f t="shared" si="59"/>
        <v>34199.8</v>
      </c>
      <c r="K153" s="35" t="e">
        <f>J153/#REF!*100</f>
        <v>#REF!</v>
      </c>
      <c r="L153" s="35">
        <f>J153/H153*100</f>
        <v>243.15880780387923</v>
      </c>
      <c r="M153" s="69"/>
      <c r="N153" s="70" t="e">
        <f>I153+#REF!+#REF!</f>
        <v>#REF!</v>
      </c>
      <c r="O153" s="46">
        <f t="shared" si="57"/>
        <v>252.10308275221513</v>
      </c>
      <c r="P153" s="35">
        <f t="shared" si="55"/>
        <v>79.17518422228449</v>
      </c>
      <c r="Q153" s="32">
        <f t="shared" si="56"/>
        <v>60.25239205157071</v>
      </c>
    </row>
    <row r="154" spans="1:17" ht="12.75">
      <c r="A154" s="166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8"/>
      <c r="M154" s="69"/>
      <c r="N154" s="69"/>
      <c r="O154" s="67"/>
      <c r="P154" s="35"/>
      <c r="Q154" s="32"/>
    </row>
    <row r="155" spans="1:17" ht="12.75">
      <c r="A155" s="165" t="s">
        <v>33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35"/>
      <c r="Q155" s="32"/>
    </row>
    <row r="156" spans="1:17" ht="12.75">
      <c r="A156" s="33" t="s">
        <v>3</v>
      </c>
      <c r="B156" s="33"/>
      <c r="C156" s="34" t="s">
        <v>68</v>
      </c>
      <c r="D156" s="35">
        <f aca="true" t="shared" si="60" ref="D156:J156">D157+D158+D159+D160+D162+D163+D164+D161</f>
        <v>4552</v>
      </c>
      <c r="E156" s="35">
        <f t="shared" si="60"/>
        <v>3374.5</v>
      </c>
      <c r="F156" s="35">
        <f t="shared" si="60"/>
        <v>921.5</v>
      </c>
      <c r="G156" s="35">
        <f t="shared" si="60"/>
        <v>1573.5</v>
      </c>
      <c r="H156" s="35">
        <f t="shared" si="60"/>
        <v>879.5</v>
      </c>
      <c r="I156" s="35">
        <f t="shared" si="60"/>
        <v>1177.5</v>
      </c>
      <c r="J156" s="35">
        <f t="shared" si="60"/>
        <v>3492.9</v>
      </c>
      <c r="K156" s="35" t="e">
        <f>J156/#REF!*100</f>
        <v>#REF!</v>
      </c>
      <c r="L156" s="35">
        <f aca="true" t="shared" si="61" ref="L156:L162">J156/H156*100</f>
        <v>397.14610574189885</v>
      </c>
      <c r="M156" s="69"/>
      <c r="N156" s="69"/>
      <c r="O156" s="35">
        <f t="shared" si="57"/>
        <v>296.6369426751592</v>
      </c>
      <c r="P156" s="35">
        <f t="shared" si="55"/>
        <v>103.50866795080752</v>
      </c>
      <c r="Q156" s="32">
        <f t="shared" si="56"/>
        <v>76.73330404217926</v>
      </c>
    </row>
    <row r="157" spans="1:17" ht="12.75">
      <c r="A157" s="29" t="s">
        <v>23</v>
      </c>
      <c r="B157" s="29"/>
      <c r="C157" s="36" t="s">
        <v>22</v>
      </c>
      <c r="D157" s="49">
        <f>F157+G157+H157+I157</f>
        <v>3206</v>
      </c>
      <c r="E157" s="76">
        <f aca="true" t="shared" si="62" ref="E157:E167">F157+G157+H157</f>
        <v>2150</v>
      </c>
      <c r="F157" s="73">
        <v>570</v>
      </c>
      <c r="G157" s="73">
        <v>900</v>
      </c>
      <c r="H157" s="24">
        <v>680</v>
      </c>
      <c r="I157" s="25">
        <v>1056</v>
      </c>
      <c r="J157" s="25">
        <v>1990.9</v>
      </c>
      <c r="K157" s="28" t="e">
        <f>J157/#REF!*100</f>
        <v>#REF!</v>
      </c>
      <c r="L157" s="28">
        <f t="shared" si="61"/>
        <v>292.77941176470586</v>
      </c>
      <c r="M157" s="69"/>
      <c r="N157" s="69"/>
      <c r="O157" s="24">
        <f t="shared" si="57"/>
        <v>188.53219696969697</v>
      </c>
      <c r="P157" s="28">
        <f t="shared" si="55"/>
        <v>92.6</v>
      </c>
      <c r="Q157" s="25">
        <f t="shared" si="56"/>
        <v>62.0991890205864</v>
      </c>
    </row>
    <row r="158" spans="1:17" ht="12.75">
      <c r="A158" s="19" t="s">
        <v>9</v>
      </c>
      <c r="B158" s="19"/>
      <c r="C158" s="36" t="s">
        <v>6</v>
      </c>
      <c r="D158" s="49">
        <f aca="true" t="shared" si="63" ref="D158:D166">F158+G158+H158+I158</f>
        <v>300</v>
      </c>
      <c r="E158" s="76">
        <f t="shared" si="62"/>
        <v>247.5</v>
      </c>
      <c r="F158" s="73">
        <v>52.5</v>
      </c>
      <c r="G158" s="73">
        <v>52.5</v>
      </c>
      <c r="H158" s="24">
        <f>70+52.5+20</f>
        <v>142.5</v>
      </c>
      <c r="I158" s="25">
        <v>52.5</v>
      </c>
      <c r="J158" s="25">
        <v>266.8</v>
      </c>
      <c r="K158" s="28" t="e">
        <f>J158/#REF!*100</f>
        <v>#REF!</v>
      </c>
      <c r="L158" s="28">
        <f t="shared" si="61"/>
        <v>187.2280701754386</v>
      </c>
      <c r="M158" s="69"/>
      <c r="N158" s="69"/>
      <c r="O158" s="24">
        <f t="shared" si="57"/>
        <v>508.1904761904762</v>
      </c>
      <c r="P158" s="28">
        <f t="shared" si="55"/>
        <v>107.79797979797979</v>
      </c>
      <c r="Q158" s="25">
        <f t="shared" si="56"/>
        <v>88.93333333333334</v>
      </c>
    </row>
    <row r="159" spans="1:17" ht="12.75">
      <c r="A159" s="19" t="s">
        <v>10</v>
      </c>
      <c r="B159" s="19"/>
      <c r="C159" s="36" t="s">
        <v>21</v>
      </c>
      <c r="D159" s="49">
        <f t="shared" si="63"/>
        <v>80</v>
      </c>
      <c r="E159" s="76">
        <f t="shared" si="62"/>
        <v>60</v>
      </c>
      <c r="F159" s="73">
        <v>25</v>
      </c>
      <c r="G159" s="73">
        <v>15</v>
      </c>
      <c r="H159" s="24">
        <v>20</v>
      </c>
      <c r="I159" s="25">
        <v>20</v>
      </c>
      <c r="J159" s="25">
        <v>36.2</v>
      </c>
      <c r="K159" s="28" t="e">
        <f>J159/#REF!*100</f>
        <v>#REF!</v>
      </c>
      <c r="L159" s="28">
        <f t="shared" si="61"/>
        <v>181</v>
      </c>
      <c r="M159" s="69"/>
      <c r="N159" s="69"/>
      <c r="O159" s="24">
        <f t="shared" si="57"/>
        <v>181.00000000000003</v>
      </c>
      <c r="P159" s="28">
        <f t="shared" si="55"/>
        <v>60.33333333333334</v>
      </c>
      <c r="Q159" s="25">
        <f t="shared" si="56"/>
        <v>45.25000000000001</v>
      </c>
    </row>
    <row r="160" spans="1:17" ht="24">
      <c r="A160" s="20" t="s">
        <v>11</v>
      </c>
      <c r="B160" s="20"/>
      <c r="C160" s="36" t="s">
        <v>17</v>
      </c>
      <c r="D160" s="49">
        <f t="shared" si="63"/>
        <v>510</v>
      </c>
      <c r="E160" s="76">
        <f t="shared" si="62"/>
        <v>481</v>
      </c>
      <c r="F160" s="73">
        <v>27</v>
      </c>
      <c r="G160" s="73">
        <v>427</v>
      </c>
      <c r="H160" s="24">
        <v>27</v>
      </c>
      <c r="I160" s="25">
        <v>29</v>
      </c>
      <c r="J160" s="25">
        <v>459.3</v>
      </c>
      <c r="K160" s="28" t="e">
        <f>J160/#REF!*100</f>
        <v>#REF!</v>
      </c>
      <c r="L160" s="28">
        <f t="shared" si="61"/>
        <v>1701.1111111111113</v>
      </c>
      <c r="M160" s="69"/>
      <c r="N160" s="69"/>
      <c r="O160" s="24">
        <f t="shared" si="57"/>
        <v>1583.7931034482758</v>
      </c>
      <c r="P160" s="28">
        <f t="shared" si="55"/>
        <v>95.48856548856548</v>
      </c>
      <c r="Q160" s="25">
        <f t="shared" si="56"/>
        <v>90.05882352941177</v>
      </c>
    </row>
    <row r="161" spans="1:17" ht="12.75">
      <c r="A161" s="38" t="s">
        <v>42</v>
      </c>
      <c r="B161" s="38"/>
      <c r="C161" s="36" t="s">
        <v>43</v>
      </c>
      <c r="D161" s="49">
        <f t="shared" si="63"/>
        <v>70</v>
      </c>
      <c r="E161" s="76">
        <f t="shared" si="62"/>
        <v>50</v>
      </c>
      <c r="F161" s="73">
        <v>10</v>
      </c>
      <c r="G161" s="73">
        <v>30</v>
      </c>
      <c r="H161" s="24">
        <v>10</v>
      </c>
      <c r="I161" s="25">
        <v>20</v>
      </c>
      <c r="J161" s="25">
        <v>46.1</v>
      </c>
      <c r="K161" s="28" t="e">
        <f>J161/#REF!*100</f>
        <v>#REF!</v>
      </c>
      <c r="L161" s="28">
        <f t="shared" si="61"/>
        <v>461.00000000000006</v>
      </c>
      <c r="M161" s="69"/>
      <c r="N161" s="69"/>
      <c r="O161" s="24">
        <f t="shared" si="57"/>
        <v>230.5</v>
      </c>
      <c r="P161" s="28">
        <f t="shared" si="55"/>
        <v>92.2</v>
      </c>
      <c r="Q161" s="25">
        <f t="shared" si="56"/>
        <v>65.85714285714286</v>
      </c>
    </row>
    <row r="162" spans="1:17" ht="12.75">
      <c r="A162" s="37" t="s">
        <v>18</v>
      </c>
      <c r="B162" s="37"/>
      <c r="C162" s="36" t="s">
        <v>15</v>
      </c>
      <c r="D162" s="49">
        <f t="shared" si="63"/>
        <v>386</v>
      </c>
      <c r="E162" s="76">
        <f t="shared" si="62"/>
        <v>386</v>
      </c>
      <c r="F162" s="73">
        <v>237</v>
      </c>
      <c r="G162" s="73">
        <v>149</v>
      </c>
      <c r="H162" s="24"/>
      <c r="I162" s="25"/>
      <c r="J162" s="25">
        <v>466.6</v>
      </c>
      <c r="K162" s="28" t="e">
        <f>J162/#REF!*100</f>
        <v>#REF!</v>
      </c>
      <c r="L162" s="28" t="e">
        <f t="shared" si="61"/>
        <v>#DIV/0!</v>
      </c>
      <c r="M162" s="69"/>
      <c r="N162" s="69"/>
      <c r="O162" s="24" t="e">
        <f t="shared" si="57"/>
        <v>#DIV/0!</v>
      </c>
      <c r="P162" s="28">
        <f>J162*100/E162</f>
        <v>120.88082901554404</v>
      </c>
      <c r="Q162" s="25">
        <f>J162*100/D162</f>
        <v>120.88082901554404</v>
      </c>
    </row>
    <row r="163" spans="1:17" ht="12.75" customHeight="1" hidden="1">
      <c r="A163" s="29" t="s">
        <v>12</v>
      </c>
      <c r="B163" s="29"/>
      <c r="C163" s="36" t="s">
        <v>7</v>
      </c>
      <c r="D163" s="49">
        <f t="shared" si="63"/>
        <v>0</v>
      </c>
      <c r="E163" s="76">
        <f t="shared" si="62"/>
        <v>0</v>
      </c>
      <c r="F163" s="73"/>
      <c r="G163" s="73"/>
      <c r="H163" s="24"/>
      <c r="I163" s="25"/>
      <c r="J163" s="25"/>
      <c r="K163" s="28"/>
      <c r="L163" s="28"/>
      <c r="M163" s="69"/>
      <c r="N163" s="69"/>
      <c r="O163" s="24" t="e">
        <f t="shared" si="57"/>
        <v>#DIV/0!</v>
      </c>
      <c r="P163" s="28" t="e">
        <f>J163*100/E163</f>
        <v>#DIV/0!</v>
      </c>
      <c r="Q163" s="25" t="e">
        <f>J163*100/D163</f>
        <v>#DIV/0!</v>
      </c>
    </row>
    <row r="164" spans="1:17" ht="14.25" customHeight="1">
      <c r="A164" s="52" t="s">
        <v>39</v>
      </c>
      <c r="B164" s="40"/>
      <c r="C164" s="23" t="s">
        <v>40</v>
      </c>
      <c r="D164" s="49">
        <f t="shared" si="63"/>
        <v>0</v>
      </c>
      <c r="E164" s="76">
        <f t="shared" si="62"/>
        <v>0</v>
      </c>
      <c r="F164" s="73"/>
      <c r="G164" s="73"/>
      <c r="H164" s="24"/>
      <c r="I164" s="25"/>
      <c r="J164" s="25">
        <v>227</v>
      </c>
      <c r="K164" s="28"/>
      <c r="L164" s="28"/>
      <c r="M164" s="69"/>
      <c r="N164" s="69"/>
      <c r="O164" s="24" t="e">
        <f t="shared" si="57"/>
        <v>#DIV/0!</v>
      </c>
      <c r="P164" s="35"/>
      <c r="Q164" s="32"/>
    </row>
    <row r="165" spans="1:17" ht="12.75">
      <c r="A165" s="33" t="s">
        <v>1</v>
      </c>
      <c r="B165" s="33"/>
      <c r="C165" s="41" t="s">
        <v>0</v>
      </c>
      <c r="D165" s="42">
        <f aca="true" t="shared" si="64" ref="D165:J165">D166+D167</f>
        <v>29394.8</v>
      </c>
      <c r="E165" s="82">
        <f t="shared" si="64"/>
        <v>24001.8</v>
      </c>
      <c r="F165" s="82">
        <f t="shared" si="64"/>
        <v>8356.7</v>
      </c>
      <c r="G165" s="82">
        <f t="shared" si="64"/>
        <v>6773.8</v>
      </c>
      <c r="H165" s="42">
        <f t="shared" si="64"/>
        <v>8871.3</v>
      </c>
      <c r="I165" s="42">
        <f t="shared" si="64"/>
        <v>5393</v>
      </c>
      <c r="J165" s="42">
        <f t="shared" si="64"/>
        <v>20233.2</v>
      </c>
      <c r="K165" s="35" t="e">
        <f>J165/#REF!*100</f>
        <v>#REF!</v>
      </c>
      <c r="L165" s="35">
        <f>J165/H165*100</f>
        <v>228.07480301646885</v>
      </c>
      <c r="M165" s="69"/>
      <c r="N165" s="69"/>
      <c r="O165" s="46">
        <f t="shared" si="57"/>
        <v>375.17522714630076</v>
      </c>
      <c r="P165" s="35">
        <f t="shared" si="55"/>
        <v>84.29867759918007</v>
      </c>
      <c r="Q165" s="32">
        <f t="shared" si="56"/>
        <v>68.8325826336631</v>
      </c>
    </row>
    <row r="166" spans="1:17" ht="24">
      <c r="A166" s="21" t="s">
        <v>67</v>
      </c>
      <c r="B166" s="19"/>
      <c r="C166" s="43" t="s">
        <v>20</v>
      </c>
      <c r="D166" s="49">
        <f t="shared" si="63"/>
        <v>29344.8</v>
      </c>
      <c r="E166" s="76">
        <f t="shared" si="62"/>
        <v>23951.8</v>
      </c>
      <c r="F166" s="73">
        <f>4403.5+3953.2</f>
        <v>8356.7</v>
      </c>
      <c r="G166" s="73">
        <v>6723.8</v>
      </c>
      <c r="H166" s="24">
        <f>8648.6+211.8+10.9</f>
        <v>8871.3</v>
      </c>
      <c r="I166" s="25">
        <v>5393</v>
      </c>
      <c r="J166" s="25">
        <v>20183.2</v>
      </c>
      <c r="K166" s="28" t="e">
        <f>J166/#REF!*100</f>
        <v>#REF!</v>
      </c>
      <c r="L166" s="28">
        <f>J166/H166*100</f>
        <v>227.51118776278565</v>
      </c>
      <c r="M166" s="69"/>
      <c r="N166" s="69"/>
      <c r="O166" s="24">
        <f t="shared" si="57"/>
        <v>374.2480993880957</v>
      </c>
      <c r="P166" s="28">
        <f t="shared" si="55"/>
        <v>84.26590068387345</v>
      </c>
      <c r="Q166" s="25">
        <f t="shared" si="56"/>
        <v>68.779477113492</v>
      </c>
    </row>
    <row r="167" spans="1:17" ht="16.5" customHeight="1">
      <c r="A167" s="21" t="s">
        <v>2</v>
      </c>
      <c r="B167" s="21"/>
      <c r="C167" s="44" t="s">
        <v>19</v>
      </c>
      <c r="D167" s="49">
        <f>F167+G167+H167+I167</f>
        <v>50</v>
      </c>
      <c r="E167" s="76">
        <f t="shared" si="62"/>
        <v>50</v>
      </c>
      <c r="F167" s="74"/>
      <c r="G167" s="74">
        <v>50</v>
      </c>
      <c r="H167" s="24"/>
      <c r="I167" s="25"/>
      <c r="J167" s="25">
        <v>50</v>
      </c>
      <c r="K167" s="28" t="e">
        <f>J167/#REF!*100</f>
        <v>#REF!</v>
      </c>
      <c r="L167" s="28"/>
      <c r="M167" s="69"/>
      <c r="N167" s="69"/>
      <c r="O167" s="24" t="e">
        <f t="shared" si="57"/>
        <v>#DIV/0!</v>
      </c>
      <c r="P167" s="28"/>
      <c r="Q167" s="25"/>
    </row>
    <row r="168" spans="1:17" ht="12.75">
      <c r="A168" s="29"/>
      <c r="B168" s="30"/>
      <c r="C168" s="31" t="s">
        <v>4</v>
      </c>
      <c r="D168" s="32">
        <f aca="true" t="shared" si="65" ref="D168:J168">D165+D156</f>
        <v>33946.8</v>
      </c>
      <c r="E168" s="32">
        <f t="shared" si="65"/>
        <v>27376.3</v>
      </c>
      <c r="F168" s="32">
        <f t="shared" si="65"/>
        <v>9278.2</v>
      </c>
      <c r="G168" s="32">
        <f t="shared" si="65"/>
        <v>8347.3</v>
      </c>
      <c r="H168" s="32">
        <f t="shared" si="65"/>
        <v>9750.8</v>
      </c>
      <c r="I168" s="32">
        <f t="shared" si="65"/>
        <v>6570.5</v>
      </c>
      <c r="J168" s="32">
        <f t="shared" si="65"/>
        <v>23726.100000000002</v>
      </c>
      <c r="K168" s="35" t="e">
        <f>J168/#REF!*100</f>
        <v>#REF!</v>
      </c>
      <c r="L168" s="35">
        <f>J168/H168*100</f>
        <v>243.32465028510484</v>
      </c>
      <c r="M168" s="69"/>
      <c r="N168" s="70" t="e">
        <f>I168+#REF!+#REF!</f>
        <v>#REF!</v>
      </c>
      <c r="O168" s="46">
        <f t="shared" si="57"/>
        <v>361.10037287877634</v>
      </c>
      <c r="P168" s="35">
        <f t="shared" si="55"/>
        <v>86.66656925881145</v>
      </c>
      <c r="Q168" s="32">
        <f t="shared" si="56"/>
        <v>69.89200749407897</v>
      </c>
    </row>
    <row r="169" spans="1:17" ht="12.75">
      <c r="A169" s="166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8"/>
      <c r="M169" s="69"/>
      <c r="N169" s="69"/>
      <c r="O169" s="67"/>
      <c r="P169" s="35"/>
      <c r="Q169" s="32"/>
    </row>
    <row r="170" spans="1:17" ht="12.75">
      <c r="A170" s="165" t="s">
        <v>34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35"/>
      <c r="Q170" s="32"/>
    </row>
    <row r="171" spans="1:17" ht="12.75">
      <c r="A171" s="33" t="s">
        <v>3</v>
      </c>
      <c r="B171" s="33"/>
      <c r="C171" s="34" t="s">
        <v>68</v>
      </c>
      <c r="D171" s="35">
        <f aca="true" t="shared" si="66" ref="D171:J171">D172+D173+D174+D175+D176+D178+D180+D179+D177</f>
        <v>16620.5</v>
      </c>
      <c r="E171" s="35">
        <f t="shared" si="66"/>
        <v>13396</v>
      </c>
      <c r="F171" s="35">
        <f t="shared" si="66"/>
        <v>3038</v>
      </c>
      <c r="G171" s="35">
        <f t="shared" si="66"/>
        <v>6933.5</v>
      </c>
      <c r="H171" s="35">
        <f t="shared" si="66"/>
        <v>3424.5</v>
      </c>
      <c r="I171" s="35">
        <f t="shared" si="66"/>
        <v>3224.5</v>
      </c>
      <c r="J171" s="35">
        <f t="shared" si="66"/>
        <v>12660.999999999998</v>
      </c>
      <c r="K171" s="35" t="e">
        <f>J171/#REF!*100</f>
        <v>#REF!</v>
      </c>
      <c r="L171" s="35">
        <f>J171/H171*100</f>
        <v>369.7182070375237</v>
      </c>
      <c r="M171" s="69"/>
      <c r="N171" s="69"/>
      <c r="O171" s="35">
        <f t="shared" si="57"/>
        <v>392.65002325942</v>
      </c>
      <c r="P171" s="35">
        <f t="shared" si="55"/>
        <v>94.51328754852193</v>
      </c>
      <c r="Q171" s="32">
        <f t="shared" si="56"/>
        <v>76.17701031858246</v>
      </c>
    </row>
    <row r="172" spans="1:17" ht="12.75">
      <c r="A172" s="29" t="s">
        <v>23</v>
      </c>
      <c r="B172" s="29"/>
      <c r="C172" s="36" t="s">
        <v>22</v>
      </c>
      <c r="D172" s="49">
        <f>F172+G172+H172+I172</f>
        <v>14220</v>
      </c>
      <c r="E172" s="76">
        <f aca="true" t="shared" si="67" ref="E172:E183">F172+G172+H172</f>
        <v>11812.5</v>
      </c>
      <c r="F172" s="49">
        <v>2900</v>
      </c>
      <c r="G172" s="49">
        <v>6161</v>
      </c>
      <c r="H172" s="24">
        <v>2751.5</v>
      </c>
      <c r="I172" s="25">
        <v>2407.5</v>
      </c>
      <c r="J172" s="25">
        <v>11517.4</v>
      </c>
      <c r="K172" s="28" t="e">
        <f>J172/#REF!*100</f>
        <v>#REF!</v>
      </c>
      <c r="L172" s="28">
        <f>J172/H172*100</f>
        <v>418.5862256950754</v>
      </c>
      <c r="M172" s="69"/>
      <c r="N172" s="69"/>
      <c r="O172" s="24">
        <f t="shared" si="57"/>
        <v>478.39667705088266</v>
      </c>
      <c r="P172" s="28">
        <f t="shared" si="55"/>
        <v>97.50179894179894</v>
      </c>
      <c r="Q172" s="25">
        <f t="shared" si="56"/>
        <v>80.9943741209564</v>
      </c>
    </row>
    <row r="173" spans="1:17" ht="12.75" customHeight="1" hidden="1">
      <c r="A173" s="19" t="s">
        <v>8</v>
      </c>
      <c r="B173" s="19"/>
      <c r="C173" s="36" t="s">
        <v>5</v>
      </c>
      <c r="D173" s="49">
        <f aca="true" t="shared" si="68" ref="D173:D182">F173+G173+H173+I173</f>
        <v>0</v>
      </c>
      <c r="E173" s="76">
        <f t="shared" si="67"/>
        <v>0</v>
      </c>
      <c r="F173" s="49"/>
      <c r="G173" s="49"/>
      <c r="H173" s="24"/>
      <c r="I173" s="25"/>
      <c r="J173" s="25"/>
      <c r="K173" s="28"/>
      <c r="L173" s="28"/>
      <c r="M173" s="69"/>
      <c r="N173" s="69"/>
      <c r="O173" s="24" t="e">
        <f t="shared" si="57"/>
        <v>#DIV/0!</v>
      </c>
      <c r="P173" s="28"/>
      <c r="Q173" s="25"/>
    </row>
    <row r="174" spans="1:17" ht="12.75">
      <c r="A174" s="19" t="s">
        <v>9</v>
      </c>
      <c r="B174" s="19"/>
      <c r="C174" s="36" t="s">
        <v>6</v>
      </c>
      <c r="D174" s="49">
        <f t="shared" si="68"/>
        <v>1827</v>
      </c>
      <c r="E174" s="76">
        <f t="shared" si="67"/>
        <v>1193</v>
      </c>
      <c r="F174" s="49">
        <f>20+3+30</f>
        <v>53</v>
      </c>
      <c r="G174" s="49">
        <v>625</v>
      </c>
      <c r="H174" s="24">
        <v>515</v>
      </c>
      <c r="I174" s="25">
        <v>634</v>
      </c>
      <c r="J174" s="25">
        <v>725</v>
      </c>
      <c r="K174" s="28" t="e">
        <f>J174/#REF!*100</f>
        <v>#REF!</v>
      </c>
      <c r="L174" s="28">
        <f>J174/H174*100</f>
        <v>140.7766990291262</v>
      </c>
      <c r="M174" s="69"/>
      <c r="N174" s="69"/>
      <c r="O174" s="24">
        <f t="shared" si="57"/>
        <v>114.35331230283911</v>
      </c>
      <c r="P174" s="28">
        <f t="shared" si="55"/>
        <v>60.77116512992456</v>
      </c>
      <c r="Q174" s="25">
        <f t="shared" si="56"/>
        <v>39.682539682539684</v>
      </c>
    </row>
    <row r="175" spans="1:17" ht="12.75">
      <c r="A175" s="19" t="s">
        <v>10</v>
      </c>
      <c r="B175" s="19"/>
      <c r="C175" s="36" t="s">
        <v>21</v>
      </c>
      <c r="D175" s="49">
        <f t="shared" si="68"/>
        <v>116</v>
      </c>
      <c r="E175" s="76">
        <f t="shared" si="67"/>
        <v>95</v>
      </c>
      <c r="F175" s="49">
        <v>15</v>
      </c>
      <c r="G175" s="49">
        <v>35</v>
      </c>
      <c r="H175" s="24">
        <v>45</v>
      </c>
      <c r="I175" s="25">
        <v>21</v>
      </c>
      <c r="J175" s="25">
        <v>81.3</v>
      </c>
      <c r="K175" s="28" t="e">
        <f>J175/#REF!*100</f>
        <v>#REF!</v>
      </c>
      <c r="L175" s="28">
        <f>J175/H175*100</f>
        <v>180.66666666666666</v>
      </c>
      <c r="M175" s="69"/>
      <c r="N175" s="69"/>
      <c r="O175" s="24">
        <f t="shared" si="57"/>
        <v>387.14285714285717</v>
      </c>
      <c r="P175" s="28">
        <f t="shared" si="55"/>
        <v>85.57894736842105</v>
      </c>
      <c r="Q175" s="25">
        <f t="shared" si="56"/>
        <v>70.08620689655173</v>
      </c>
    </row>
    <row r="176" spans="1:17" ht="24">
      <c r="A176" s="20" t="s">
        <v>11</v>
      </c>
      <c r="B176" s="20"/>
      <c r="C176" s="36" t="s">
        <v>17</v>
      </c>
      <c r="D176" s="49">
        <f t="shared" si="68"/>
        <v>341</v>
      </c>
      <c r="E176" s="76">
        <f t="shared" si="67"/>
        <v>239</v>
      </c>
      <c r="F176" s="49">
        <f>25+30</f>
        <v>55</v>
      </c>
      <c r="G176" s="49">
        <f>43+48</f>
        <v>91</v>
      </c>
      <c r="H176" s="24">
        <f>45+48</f>
        <v>93</v>
      </c>
      <c r="I176" s="25">
        <f>54+48</f>
        <v>102</v>
      </c>
      <c r="J176" s="25">
        <v>292.4</v>
      </c>
      <c r="K176" s="28" t="e">
        <f>J176/#REF!*100</f>
        <v>#REF!</v>
      </c>
      <c r="L176" s="28">
        <f>J176/H176*100</f>
        <v>314.4086021505376</v>
      </c>
      <c r="M176" s="69"/>
      <c r="N176" s="69"/>
      <c r="O176" s="24">
        <f t="shared" si="57"/>
        <v>286.66666666666663</v>
      </c>
      <c r="P176" s="28">
        <f t="shared" si="55"/>
        <v>122.34309623430961</v>
      </c>
      <c r="Q176" s="25">
        <f t="shared" si="56"/>
        <v>85.74780058651025</v>
      </c>
    </row>
    <row r="177" spans="1:17" ht="12.75">
      <c r="A177" s="37" t="s">
        <v>42</v>
      </c>
      <c r="B177" s="38"/>
      <c r="C177" s="36" t="s">
        <v>43</v>
      </c>
      <c r="D177" s="49">
        <f t="shared" si="68"/>
        <v>113.5</v>
      </c>
      <c r="E177" s="76">
        <f t="shared" si="67"/>
        <v>53.5</v>
      </c>
      <c r="F177" s="49">
        <v>15</v>
      </c>
      <c r="G177" s="49">
        <v>18.5</v>
      </c>
      <c r="H177" s="24">
        <v>20</v>
      </c>
      <c r="I177" s="25">
        <v>60</v>
      </c>
      <c r="J177" s="25">
        <v>41.9</v>
      </c>
      <c r="K177" s="28" t="e">
        <f>J177/#REF!*100</f>
        <v>#REF!</v>
      </c>
      <c r="L177" s="28">
        <f>J177/H177*100</f>
        <v>209.49999999999997</v>
      </c>
      <c r="M177" s="69"/>
      <c r="N177" s="69"/>
      <c r="O177" s="24">
        <f t="shared" si="57"/>
        <v>69.83333333333333</v>
      </c>
      <c r="P177" s="28">
        <f t="shared" si="55"/>
        <v>78.3177570093458</v>
      </c>
      <c r="Q177" s="25">
        <f t="shared" si="56"/>
        <v>36.91629955947136</v>
      </c>
    </row>
    <row r="178" spans="1:17" ht="12.75">
      <c r="A178" s="37" t="s">
        <v>18</v>
      </c>
      <c r="B178" s="38"/>
      <c r="C178" s="36" t="s">
        <v>15</v>
      </c>
      <c r="D178" s="49">
        <f t="shared" si="68"/>
        <v>3</v>
      </c>
      <c r="E178" s="76">
        <f t="shared" si="67"/>
        <v>3</v>
      </c>
      <c r="F178" s="49"/>
      <c r="G178" s="49">
        <v>3</v>
      </c>
      <c r="H178" s="24"/>
      <c r="I178" s="25"/>
      <c r="J178" s="25">
        <v>3</v>
      </c>
      <c r="K178" s="28" t="e">
        <f>J178/#REF!*100</f>
        <v>#REF!</v>
      </c>
      <c r="L178" s="28" t="e">
        <f>J178/H178*100</f>
        <v>#DIV/0!</v>
      </c>
      <c r="M178" s="69"/>
      <c r="N178" s="69"/>
      <c r="O178" s="24" t="e">
        <f t="shared" si="57"/>
        <v>#DIV/0!</v>
      </c>
      <c r="P178" s="28"/>
      <c r="Q178" s="25"/>
    </row>
    <row r="179" spans="1:17" ht="18" customHeight="1" hidden="1">
      <c r="A179" s="29" t="s">
        <v>12</v>
      </c>
      <c r="B179" s="29"/>
      <c r="C179" s="36" t="s">
        <v>7</v>
      </c>
      <c r="D179" s="49">
        <f t="shared" si="68"/>
        <v>0</v>
      </c>
      <c r="E179" s="76">
        <f t="shared" si="67"/>
        <v>0</v>
      </c>
      <c r="F179" s="49"/>
      <c r="G179" s="49"/>
      <c r="H179" s="24"/>
      <c r="I179" s="25"/>
      <c r="J179" s="25"/>
      <c r="K179" s="28" t="e">
        <f>J179/#REF!*100</f>
        <v>#REF!</v>
      </c>
      <c r="L179" s="28"/>
      <c r="M179" s="69"/>
      <c r="N179" s="69"/>
      <c r="O179" s="24" t="e">
        <f t="shared" si="57"/>
        <v>#DIV/0!</v>
      </c>
      <c r="P179" s="28"/>
      <c r="Q179" s="25"/>
    </row>
    <row r="180" spans="1:17" ht="11.25" customHeight="1">
      <c r="A180" s="52" t="s">
        <v>39</v>
      </c>
      <c r="B180" s="40"/>
      <c r="C180" s="23" t="s">
        <v>40</v>
      </c>
      <c r="D180" s="49">
        <f t="shared" si="68"/>
        <v>0</v>
      </c>
      <c r="E180" s="76">
        <f t="shared" si="67"/>
        <v>0</v>
      </c>
      <c r="F180" s="81"/>
      <c r="G180" s="81"/>
      <c r="H180" s="24"/>
      <c r="I180" s="25"/>
      <c r="J180" s="25"/>
      <c r="K180" s="28" t="e">
        <f>J180/#REF!*100</f>
        <v>#REF!</v>
      </c>
      <c r="L180" s="28"/>
      <c r="M180" s="69"/>
      <c r="N180" s="69"/>
      <c r="O180" s="24" t="e">
        <f t="shared" si="57"/>
        <v>#DIV/0!</v>
      </c>
      <c r="P180" s="35"/>
      <c r="Q180" s="32"/>
    </row>
    <row r="181" spans="1:17" ht="12.75">
      <c r="A181" s="45" t="s">
        <v>1</v>
      </c>
      <c r="B181" s="33"/>
      <c r="C181" s="41" t="s">
        <v>0</v>
      </c>
      <c r="D181" s="46">
        <f>D182+D183</f>
        <v>40138.4</v>
      </c>
      <c r="E181" s="46">
        <f aca="true" t="shared" si="69" ref="E181:O181">E182+E183</f>
        <v>33221.3</v>
      </c>
      <c r="F181" s="46">
        <f t="shared" si="69"/>
        <v>8653.4</v>
      </c>
      <c r="G181" s="46">
        <f t="shared" si="69"/>
        <v>10200</v>
      </c>
      <c r="H181" s="46">
        <f t="shared" si="69"/>
        <v>14367.9</v>
      </c>
      <c r="I181" s="46">
        <f t="shared" si="69"/>
        <v>6917.1</v>
      </c>
      <c r="J181" s="46">
        <f t="shared" si="69"/>
        <v>28982</v>
      </c>
      <c r="K181" s="46" t="e">
        <f t="shared" si="69"/>
        <v>#REF!</v>
      </c>
      <c r="L181" s="46">
        <f t="shared" si="69"/>
        <v>199.62555418676357</v>
      </c>
      <c r="M181" s="46">
        <f t="shared" si="69"/>
        <v>0</v>
      </c>
      <c r="N181" s="46">
        <f t="shared" si="69"/>
        <v>0</v>
      </c>
      <c r="O181" s="46">
        <f t="shared" si="69"/>
        <v>414.65353977823077</v>
      </c>
      <c r="P181" s="35">
        <f t="shared" si="55"/>
        <v>87.2392109881311</v>
      </c>
      <c r="Q181" s="32">
        <f t="shared" si="56"/>
        <v>72.2051701114145</v>
      </c>
    </row>
    <row r="182" spans="1:17" ht="24">
      <c r="A182" s="84" t="s">
        <v>67</v>
      </c>
      <c r="B182" s="19"/>
      <c r="C182" s="43" t="s">
        <v>20</v>
      </c>
      <c r="D182" s="49">
        <f t="shared" si="68"/>
        <v>39838.4</v>
      </c>
      <c r="E182" s="76">
        <f t="shared" si="67"/>
        <v>32921.3</v>
      </c>
      <c r="F182" s="49">
        <v>8653.4</v>
      </c>
      <c r="G182" s="49">
        <v>9900</v>
      </c>
      <c r="H182" s="24">
        <f>14151.3+185.4+31.2</f>
        <v>14367.9</v>
      </c>
      <c r="I182" s="25">
        <v>6917.1</v>
      </c>
      <c r="J182" s="25">
        <v>28682</v>
      </c>
      <c r="K182" s="28" t="e">
        <f>J182/#REF!*100</f>
        <v>#REF!</v>
      </c>
      <c r="L182" s="28">
        <f>J182/H182*100</f>
        <v>199.62555418676357</v>
      </c>
      <c r="M182" s="69"/>
      <c r="N182" s="69"/>
      <c r="O182" s="24">
        <f t="shared" si="57"/>
        <v>414.65353977823077</v>
      </c>
      <c r="P182" s="28">
        <f t="shared" si="55"/>
        <v>87.12292649439723</v>
      </c>
      <c r="Q182" s="25">
        <f t="shared" si="56"/>
        <v>71.99586328768224</v>
      </c>
    </row>
    <row r="183" spans="1:17" ht="12.75">
      <c r="A183" s="21" t="s">
        <v>2</v>
      </c>
      <c r="B183" s="21"/>
      <c r="C183" s="44" t="s">
        <v>19</v>
      </c>
      <c r="D183" s="49">
        <f>F183+G183+H183+I183</f>
        <v>300</v>
      </c>
      <c r="E183" s="76">
        <f t="shared" si="67"/>
        <v>300</v>
      </c>
      <c r="F183" s="49"/>
      <c r="G183" s="49">
        <v>300</v>
      </c>
      <c r="H183" s="24"/>
      <c r="I183" s="25"/>
      <c r="J183" s="25">
        <v>300</v>
      </c>
      <c r="K183" s="28"/>
      <c r="L183" s="28"/>
      <c r="M183" s="69"/>
      <c r="N183" s="69"/>
      <c r="O183" s="24"/>
      <c r="P183" s="28"/>
      <c r="Q183" s="25"/>
    </row>
    <row r="184" spans="1:17" ht="12.75">
      <c r="A184" s="29"/>
      <c r="B184" s="30"/>
      <c r="C184" s="31" t="s">
        <v>4</v>
      </c>
      <c r="D184" s="32">
        <f aca="true" t="shared" si="70" ref="D184:J184">D181+D171</f>
        <v>56758.9</v>
      </c>
      <c r="E184" s="32">
        <f t="shared" si="70"/>
        <v>46617.3</v>
      </c>
      <c r="F184" s="32">
        <f t="shared" si="70"/>
        <v>11691.4</v>
      </c>
      <c r="G184" s="32">
        <f t="shared" si="70"/>
        <v>17133.5</v>
      </c>
      <c r="H184" s="32">
        <f t="shared" si="70"/>
        <v>17792.4</v>
      </c>
      <c r="I184" s="32">
        <f t="shared" si="70"/>
        <v>10141.6</v>
      </c>
      <c r="J184" s="32">
        <f t="shared" si="70"/>
        <v>41643</v>
      </c>
      <c r="K184" s="35" t="e">
        <f>J184/#REF!*100</f>
        <v>#REF!</v>
      </c>
      <c r="L184" s="35">
        <f>J184/H184*100</f>
        <v>234.0493693936737</v>
      </c>
      <c r="M184" s="69"/>
      <c r="N184" s="70" t="e">
        <f>I184+#REF!+#REF!</f>
        <v>#REF!</v>
      </c>
      <c r="O184" s="46">
        <f t="shared" si="57"/>
        <v>410.6156819436775</v>
      </c>
      <c r="P184" s="35">
        <f t="shared" si="55"/>
        <v>89.32949784736567</v>
      </c>
      <c r="Q184" s="32">
        <f t="shared" si="56"/>
        <v>73.36822947590598</v>
      </c>
    </row>
    <row r="185" spans="1:17" ht="12.75">
      <c r="A185" s="166"/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8"/>
      <c r="M185" s="69"/>
      <c r="N185" s="69"/>
      <c r="O185" s="67"/>
      <c r="P185" s="35"/>
      <c r="Q185" s="32"/>
    </row>
    <row r="186" spans="1:17" ht="12.75">
      <c r="A186" s="165" t="s">
        <v>35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35"/>
      <c r="Q186" s="32"/>
    </row>
    <row r="187" spans="1:17" ht="12.75">
      <c r="A187" s="33" t="s">
        <v>3</v>
      </c>
      <c r="B187" s="33"/>
      <c r="C187" s="34" t="s">
        <v>68</v>
      </c>
      <c r="D187" s="35">
        <f aca="true" t="shared" si="71" ref="D187:J187">D188+D190+D192+D193+D191+D194+D195+D189</f>
        <v>1291.3</v>
      </c>
      <c r="E187" s="35">
        <f t="shared" si="71"/>
        <v>903.3000000000001</v>
      </c>
      <c r="F187" s="35">
        <f t="shared" si="71"/>
        <v>211</v>
      </c>
      <c r="G187" s="35">
        <f t="shared" si="71"/>
        <v>416.40000000000003</v>
      </c>
      <c r="H187" s="35">
        <f t="shared" si="71"/>
        <v>275.9</v>
      </c>
      <c r="I187" s="35">
        <f t="shared" si="71"/>
        <v>388</v>
      </c>
      <c r="J187" s="35">
        <f t="shared" si="71"/>
        <v>950.8000000000001</v>
      </c>
      <c r="K187" s="35" t="e">
        <f>J187/#REF!*100</f>
        <v>#REF!</v>
      </c>
      <c r="L187" s="35">
        <f aca="true" t="shared" si="72" ref="L187:L193">J187/H187*100</f>
        <v>344.61761507792687</v>
      </c>
      <c r="M187" s="69"/>
      <c r="N187" s="69"/>
      <c r="O187" s="35">
        <f t="shared" si="57"/>
        <v>245.05154639175257</v>
      </c>
      <c r="P187" s="35">
        <f t="shared" si="55"/>
        <v>105.25849662349164</v>
      </c>
      <c r="Q187" s="32">
        <f t="shared" si="56"/>
        <v>73.63122434755672</v>
      </c>
    </row>
    <row r="188" spans="1:17" ht="12.75">
      <c r="A188" s="29" t="s">
        <v>23</v>
      </c>
      <c r="B188" s="29"/>
      <c r="C188" s="36" t="s">
        <v>22</v>
      </c>
      <c r="D188" s="49">
        <f>F188+G188+H188+I188</f>
        <v>1015</v>
      </c>
      <c r="E188" s="76">
        <f aca="true" t="shared" si="73" ref="E188:E197">F188+G188+H188</f>
        <v>710</v>
      </c>
      <c r="F188" s="49">
        <v>190</v>
      </c>
      <c r="G188" s="49">
        <v>285</v>
      </c>
      <c r="H188" s="24">
        <v>235</v>
      </c>
      <c r="I188" s="24">
        <v>305</v>
      </c>
      <c r="J188" s="25">
        <v>758.7</v>
      </c>
      <c r="K188" s="28" t="e">
        <f>J188/#REF!*100</f>
        <v>#REF!</v>
      </c>
      <c r="L188" s="28">
        <f t="shared" si="72"/>
        <v>322.8510638297872</v>
      </c>
      <c r="M188" s="69"/>
      <c r="N188" s="69"/>
      <c r="O188" s="24">
        <f t="shared" si="57"/>
        <v>248.75409836065575</v>
      </c>
      <c r="P188" s="28">
        <f t="shared" si="55"/>
        <v>106.85915492957747</v>
      </c>
      <c r="Q188" s="25">
        <f t="shared" si="56"/>
        <v>74.7487684729064</v>
      </c>
    </row>
    <row r="189" spans="1:17" ht="12.75">
      <c r="A189" s="19" t="s">
        <v>8</v>
      </c>
      <c r="B189" s="58" t="s">
        <v>55</v>
      </c>
      <c r="C189" s="36" t="s">
        <v>5</v>
      </c>
      <c r="D189" s="49">
        <f aca="true" t="shared" si="74" ref="D189:D197">F189+G189+H189+I189</f>
        <v>6.6</v>
      </c>
      <c r="E189" s="76">
        <f t="shared" si="73"/>
        <v>6.6</v>
      </c>
      <c r="F189" s="49"/>
      <c r="G189" s="49">
        <v>6.6</v>
      </c>
      <c r="H189" s="24"/>
      <c r="I189" s="24"/>
      <c r="J189" s="25">
        <v>6.6</v>
      </c>
      <c r="K189" s="28" t="e">
        <f>J189/#REF!*100</f>
        <v>#REF!</v>
      </c>
      <c r="L189" s="28"/>
      <c r="M189" s="69"/>
      <c r="N189" s="69"/>
      <c r="O189" s="24" t="e">
        <f t="shared" si="57"/>
        <v>#DIV/0!</v>
      </c>
      <c r="P189" s="28"/>
      <c r="Q189" s="25">
        <f t="shared" si="56"/>
        <v>100</v>
      </c>
    </row>
    <row r="190" spans="1:17" ht="12.75">
      <c r="A190" s="19" t="s">
        <v>9</v>
      </c>
      <c r="B190" s="19"/>
      <c r="C190" s="36" t="s">
        <v>6</v>
      </c>
      <c r="D190" s="49">
        <f t="shared" si="74"/>
        <v>169.7</v>
      </c>
      <c r="E190" s="76">
        <f t="shared" si="73"/>
        <v>116.7</v>
      </c>
      <c r="F190" s="49">
        <f>3+1</f>
        <v>4</v>
      </c>
      <c r="G190" s="49">
        <v>97.8</v>
      </c>
      <c r="H190" s="24">
        <f>6+0.9+8</f>
        <v>14.9</v>
      </c>
      <c r="I190" s="24">
        <f>37+16</f>
        <v>53</v>
      </c>
      <c r="J190" s="25">
        <v>123</v>
      </c>
      <c r="K190" s="28" t="e">
        <f>J190/#REF!*100</f>
        <v>#REF!</v>
      </c>
      <c r="L190" s="28">
        <f t="shared" si="72"/>
        <v>825.503355704698</v>
      </c>
      <c r="M190" s="69"/>
      <c r="N190" s="69"/>
      <c r="O190" s="24">
        <f t="shared" si="57"/>
        <v>232.0754716981132</v>
      </c>
      <c r="P190" s="28">
        <f t="shared" si="55"/>
        <v>105.39845758354755</v>
      </c>
      <c r="Q190" s="25">
        <f t="shared" si="56"/>
        <v>72.48084855627579</v>
      </c>
    </row>
    <row r="191" spans="1:17" ht="12.75">
      <c r="A191" s="19" t="s">
        <v>10</v>
      </c>
      <c r="B191" s="19"/>
      <c r="C191" s="36" t="s">
        <v>21</v>
      </c>
      <c r="D191" s="49">
        <f t="shared" si="74"/>
        <v>35</v>
      </c>
      <c r="E191" s="76">
        <f t="shared" si="73"/>
        <v>22</v>
      </c>
      <c r="F191" s="49">
        <v>1</v>
      </c>
      <c r="G191" s="49">
        <v>11</v>
      </c>
      <c r="H191" s="24">
        <v>10</v>
      </c>
      <c r="I191" s="24">
        <v>13</v>
      </c>
      <c r="J191" s="25">
        <v>22.7</v>
      </c>
      <c r="K191" s="28" t="e">
        <f>J191/#REF!*100</f>
        <v>#REF!</v>
      </c>
      <c r="L191" s="28">
        <f t="shared" si="72"/>
        <v>227</v>
      </c>
      <c r="M191" s="69"/>
      <c r="N191" s="69"/>
      <c r="O191" s="24">
        <f t="shared" si="57"/>
        <v>174.6153846153846</v>
      </c>
      <c r="P191" s="28">
        <f t="shared" si="55"/>
        <v>103.18181818181819</v>
      </c>
      <c r="Q191" s="25">
        <f t="shared" si="56"/>
        <v>64.85714285714286</v>
      </c>
    </row>
    <row r="192" spans="1:17" ht="24">
      <c r="A192" s="20" t="s">
        <v>11</v>
      </c>
      <c r="B192" s="20"/>
      <c r="C192" s="36" t="s">
        <v>17</v>
      </c>
      <c r="D192" s="49">
        <f t="shared" si="74"/>
        <v>65</v>
      </c>
      <c r="E192" s="76">
        <f t="shared" si="73"/>
        <v>48</v>
      </c>
      <c r="F192" s="49">
        <v>16</v>
      </c>
      <c r="G192" s="49">
        <v>16</v>
      </c>
      <c r="H192" s="24">
        <v>16</v>
      </c>
      <c r="I192" s="24">
        <v>17</v>
      </c>
      <c r="J192" s="25">
        <v>39.8</v>
      </c>
      <c r="K192" s="28" t="e">
        <f>J192/#REF!*100</f>
        <v>#REF!</v>
      </c>
      <c r="L192" s="28">
        <f t="shared" si="72"/>
        <v>248.74999999999997</v>
      </c>
      <c r="M192" s="69"/>
      <c r="N192" s="69"/>
      <c r="O192" s="24">
        <f t="shared" si="57"/>
        <v>234.1176470588235</v>
      </c>
      <c r="P192" s="28">
        <f t="shared" si="55"/>
        <v>82.91666666666666</v>
      </c>
      <c r="Q192" s="25">
        <f t="shared" si="56"/>
        <v>61.230769230769226</v>
      </c>
    </row>
    <row r="193" spans="1:17" ht="12.75" customHeight="1" hidden="1">
      <c r="A193" s="37" t="s">
        <v>18</v>
      </c>
      <c r="B193" s="37"/>
      <c r="C193" s="36" t="s">
        <v>15</v>
      </c>
      <c r="D193" s="49">
        <f t="shared" si="74"/>
        <v>0</v>
      </c>
      <c r="E193" s="76">
        <f t="shared" si="73"/>
        <v>0</v>
      </c>
      <c r="F193" s="49"/>
      <c r="G193" s="49"/>
      <c r="H193" s="24"/>
      <c r="I193" s="24"/>
      <c r="J193" s="25"/>
      <c r="K193" s="28" t="e">
        <f>J193/#REF!*100</f>
        <v>#REF!</v>
      </c>
      <c r="L193" s="28" t="e">
        <f t="shared" si="72"/>
        <v>#DIV/0!</v>
      </c>
      <c r="M193" s="69"/>
      <c r="N193" s="69"/>
      <c r="O193" s="24" t="e">
        <f t="shared" si="57"/>
        <v>#DIV/0!</v>
      </c>
      <c r="P193" s="28"/>
      <c r="Q193" s="25"/>
    </row>
    <row r="194" spans="1:17" ht="15.75" customHeight="1" hidden="1">
      <c r="A194" s="37" t="s">
        <v>12</v>
      </c>
      <c r="B194" s="57"/>
      <c r="C194" s="36" t="s">
        <v>7</v>
      </c>
      <c r="D194" s="49">
        <f t="shared" si="74"/>
        <v>0</v>
      </c>
      <c r="E194" s="76">
        <f t="shared" si="73"/>
        <v>0</v>
      </c>
      <c r="F194" s="49"/>
      <c r="G194" s="49"/>
      <c r="H194" s="24"/>
      <c r="I194" s="24"/>
      <c r="J194" s="25"/>
      <c r="K194" s="28" t="e">
        <f>J194/#REF!*100</f>
        <v>#REF!</v>
      </c>
      <c r="L194" s="28"/>
      <c r="M194" s="69"/>
      <c r="N194" s="69"/>
      <c r="O194" s="24" t="e">
        <f t="shared" si="57"/>
        <v>#DIV/0!</v>
      </c>
      <c r="P194" s="28"/>
      <c r="Q194" s="25"/>
    </row>
    <row r="195" spans="1:17" ht="13.5" customHeight="1">
      <c r="A195" s="52" t="s">
        <v>39</v>
      </c>
      <c r="B195" s="40"/>
      <c r="C195" s="23" t="s">
        <v>40</v>
      </c>
      <c r="D195" s="49">
        <f t="shared" si="74"/>
        <v>0</v>
      </c>
      <c r="E195" s="76">
        <f t="shared" si="73"/>
        <v>0</v>
      </c>
      <c r="F195" s="49"/>
      <c r="G195" s="49"/>
      <c r="H195" s="24"/>
      <c r="I195" s="24"/>
      <c r="J195" s="25"/>
      <c r="K195" s="28" t="e">
        <f>J195/#REF!*100</f>
        <v>#REF!</v>
      </c>
      <c r="L195" s="28"/>
      <c r="M195" s="69"/>
      <c r="N195" s="69"/>
      <c r="O195" s="24"/>
      <c r="P195" s="28"/>
      <c r="Q195" s="25"/>
    </row>
    <row r="196" spans="1:17" ht="12.75">
      <c r="A196" s="33" t="s">
        <v>1</v>
      </c>
      <c r="B196" s="33"/>
      <c r="C196" s="41" t="s">
        <v>0</v>
      </c>
      <c r="D196" s="42">
        <f aca="true" t="shared" si="75" ref="D196:J196">D197</f>
        <v>22921.300000000003</v>
      </c>
      <c r="E196" s="42">
        <f t="shared" si="75"/>
        <v>18636.7</v>
      </c>
      <c r="F196" s="42">
        <f t="shared" si="75"/>
        <v>4922.8</v>
      </c>
      <c r="G196" s="42">
        <f t="shared" si="75"/>
        <v>6842</v>
      </c>
      <c r="H196" s="42">
        <f t="shared" si="75"/>
        <v>6871.900000000001</v>
      </c>
      <c r="I196" s="42">
        <f t="shared" si="75"/>
        <v>4284.6</v>
      </c>
      <c r="J196" s="42">
        <f t="shared" si="75"/>
        <v>15443</v>
      </c>
      <c r="K196" s="35" t="e">
        <f>J196/#REF!*100</f>
        <v>#REF!</v>
      </c>
      <c r="L196" s="35">
        <f>J196/H196*100</f>
        <v>224.7267858961859</v>
      </c>
      <c r="M196" s="69"/>
      <c r="N196" s="69"/>
      <c r="O196" s="46">
        <f t="shared" si="57"/>
        <v>360.4303785650936</v>
      </c>
      <c r="P196" s="35">
        <f t="shared" si="55"/>
        <v>82.86338246577988</v>
      </c>
      <c r="Q196" s="32">
        <f t="shared" si="56"/>
        <v>67.37401456287382</v>
      </c>
    </row>
    <row r="197" spans="1:17" ht="24">
      <c r="A197" s="21" t="s">
        <v>67</v>
      </c>
      <c r="B197" s="19"/>
      <c r="C197" s="43" t="s">
        <v>20</v>
      </c>
      <c r="D197" s="49">
        <f t="shared" si="74"/>
        <v>22921.300000000003</v>
      </c>
      <c r="E197" s="76">
        <f t="shared" si="73"/>
        <v>18636.7</v>
      </c>
      <c r="F197" s="49">
        <f>4815.9+83.1+23.8</f>
        <v>4922.8</v>
      </c>
      <c r="G197" s="49">
        <v>6842</v>
      </c>
      <c r="H197" s="24">
        <f>6239.6+624.3+8</f>
        <v>6871.900000000001</v>
      </c>
      <c r="I197" s="24">
        <v>4284.6</v>
      </c>
      <c r="J197" s="25">
        <v>15443</v>
      </c>
      <c r="K197" s="28" t="e">
        <f>J197/#REF!*100</f>
        <v>#REF!</v>
      </c>
      <c r="L197" s="28">
        <f>J197/H197*100</f>
        <v>224.7267858961859</v>
      </c>
      <c r="M197" s="69"/>
      <c r="N197" s="69"/>
      <c r="O197" s="24">
        <f t="shared" si="57"/>
        <v>360.4303785650936</v>
      </c>
      <c r="P197" s="28">
        <f t="shared" si="55"/>
        <v>82.86338246577988</v>
      </c>
      <c r="Q197" s="25">
        <f t="shared" si="56"/>
        <v>67.37401456287382</v>
      </c>
    </row>
    <row r="198" spans="1:17" ht="12.75">
      <c r="A198" s="29"/>
      <c r="B198" s="30"/>
      <c r="C198" s="31" t="s">
        <v>4</v>
      </c>
      <c r="D198" s="32">
        <f aca="true" t="shared" si="76" ref="D198:J198">D196+D187</f>
        <v>24212.600000000002</v>
      </c>
      <c r="E198" s="32">
        <f t="shared" si="76"/>
        <v>19540</v>
      </c>
      <c r="F198" s="46">
        <f t="shared" si="76"/>
        <v>5133.8</v>
      </c>
      <c r="G198" s="46">
        <f t="shared" si="76"/>
        <v>7258.4</v>
      </c>
      <c r="H198" s="46">
        <f t="shared" si="76"/>
        <v>7147.8</v>
      </c>
      <c r="I198" s="46">
        <f t="shared" si="76"/>
        <v>4672.6</v>
      </c>
      <c r="J198" s="32">
        <f t="shared" si="76"/>
        <v>16393.8</v>
      </c>
      <c r="K198" s="35" t="e">
        <f>J198/#REF!*100</f>
        <v>#REF!</v>
      </c>
      <c r="L198" s="35">
        <f>J198/H198*100</f>
        <v>229.3544866952069</v>
      </c>
      <c r="M198" s="69"/>
      <c r="N198" s="70" t="e">
        <f>I198+#REF!+#REF!</f>
        <v>#REF!</v>
      </c>
      <c r="O198" s="46">
        <f t="shared" si="57"/>
        <v>350.8496340367247</v>
      </c>
      <c r="P198" s="35">
        <f t="shared" si="55"/>
        <v>83.89866939611055</v>
      </c>
      <c r="Q198" s="32">
        <f t="shared" si="56"/>
        <v>67.70772242551398</v>
      </c>
    </row>
    <row r="199" spans="1:17" ht="12.75">
      <c r="A199" s="166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8"/>
      <c r="M199" s="69"/>
      <c r="N199" s="69"/>
      <c r="O199" s="67"/>
      <c r="P199" s="35"/>
      <c r="Q199" s="32"/>
    </row>
    <row r="200" spans="1:17" ht="12.75">
      <c r="A200" s="156" t="s">
        <v>36</v>
      </c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8"/>
    </row>
    <row r="201" spans="1:17" ht="12.75">
      <c r="A201" s="33" t="s">
        <v>3</v>
      </c>
      <c r="B201" s="59"/>
      <c r="C201" s="34" t="s">
        <v>68</v>
      </c>
      <c r="D201" s="35">
        <f aca="true" t="shared" si="77" ref="D201:J201">D202+D204+D205+D206+D208+D209+D211+D213+D210+D207+D214+D212+D203</f>
        <v>833662.3999999999</v>
      </c>
      <c r="E201" s="35">
        <f t="shared" si="77"/>
        <v>607517.0999999999</v>
      </c>
      <c r="F201" s="35">
        <f t="shared" si="77"/>
        <v>196002.99999999997</v>
      </c>
      <c r="G201" s="35">
        <f t="shared" si="77"/>
        <v>224707.49999999997</v>
      </c>
      <c r="H201" s="35">
        <f t="shared" si="77"/>
        <v>186806.6</v>
      </c>
      <c r="I201" s="35">
        <f t="shared" si="77"/>
        <v>226145.29999999996</v>
      </c>
      <c r="J201" s="35">
        <f t="shared" si="77"/>
        <v>620805.0000000001</v>
      </c>
      <c r="K201" s="35" t="e">
        <f>J201/#REF!*100</f>
        <v>#REF!</v>
      </c>
      <c r="L201" s="35">
        <f aca="true" t="shared" si="78" ref="L201:L212">J201/H201*100</f>
        <v>332.3249820937805</v>
      </c>
      <c r="M201" s="69"/>
      <c r="N201" s="69"/>
      <c r="O201" s="35">
        <f t="shared" si="57"/>
        <v>274.5159859612383</v>
      </c>
      <c r="P201" s="35">
        <f t="shared" si="55"/>
        <v>102.18724707502065</v>
      </c>
      <c r="Q201" s="32">
        <f t="shared" si="56"/>
        <v>74.46719439427761</v>
      </c>
    </row>
    <row r="202" spans="1:17" ht="12.75">
      <c r="A202" s="29" t="s">
        <v>23</v>
      </c>
      <c r="B202" s="60" t="s">
        <v>54</v>
      </c>
      <c r="C202" s="36" t="s">
        <v>22</v>
      </c>
      <c r="D202" s="204">
        <f>F202+G202+H202+I202</f>
        <v>577723.9999999999</v>
      </c>
      <c r="E202" s="76">
        <f aca="true" t="shared" si="79" ref="E202:E218">F202+G202+H202</f>
        <v>421538.29999999993</v>
      </c>
      <c r="F202" s="25">
        <f>F9+F31+F46+F62+F78+F95+F110+F126+F141+F157+F172+F188</f>
        <v>134098.09999999998</v>
      </c>
      <c r="G202" s="25">
        <f>G9+G31+G46+G62+G78+G95+G110+G126+G141+G157+G172+G188</f>
        <v>153649.3</v>
      </c>
      <c r="H202" s="25">
        <f>H9+H31+H46+H62+H78+H95+H110+H126+H141+H157+H172+H188</f>
        <v>133790.9</v>
      </c>
      <c r="I202" s="25">
        <f>I9+I31+I46+I62+I78+I95+I110+I126+I141+I157+I172+I188</f>
        <v>156185.69999999998</v>
      </c>
      <c r="J202" s="25">
        <f>J9+J31+J46+J62+J78+J95+J110+J126+J141+J157+J172+J188+0.2</f>
        <v>406263.9000000001</v>
      </c>
      <c r="K202" s="28" t="e">
        <f>J202/#REF!*100</f>
        <v>#REF!</v>
      </c>
      <c r="L202" s="28">
        <f t="shared" si="78"/>
        <v>303.6558540229568</v>
      </c>
      <c r="M202" s="69"/>
      <c r="N202" s="69"/>
      <c r="O202" s="24">
        <f t="shared" si="57"/>
        <v>260.1159389111808</v>
      </c>
      <c r="P202" s="28">
        <f t="shared" si="55"/>
        <v>96.37650956034129</v>
      </c>
      <c r="Q202" s="25">
        <f t="shared" si="56"/>
        <v>70.32145107352302</v>
      </c>
    </row>
    <row r="203" spans="1:17" ht="12.75">
      <c r="A203" s="19" t="s">
        <v>70</v>
      </c>
      <c r="B203" s="19"/>
      <c r="C203" s="36" t="s">
        <v>71</v>
      </c>
      <c r="D203" s="204">
        <f aca="true" t="shared" si="80" ref="D203:D218">F203+G203+H203+I203</f>
        <v>35821</v>
      </c>
      <c r="E203" s="76">
        <f t="shared" si="79"/>
        <v>26888</v>
      </c>
      <c r="F203" s="25">
        <f aca="true" t="shared" si="81" ref="F203:O203">F10</f>
        <v>9590</v>
      </c>
      <c r="G203" s="25">
        <f t="shared" si="81"/>
        <v>8649</v>
      </c>
      <c r="H203" s="25">
        <f t="shared" si="81"/>
        <v>8649</v>
      </c>
      <c r="I203" s="25">
        <f t="shared" si="81"/>
        <v>8933</v>
      </c>
      <c r="J203" s="205">
        <f>J10</f>
        <v>32699.9</v>
      </c>
      <c r="K203" s="25">
        <f t="shared" si="81"/>
        <v>0</v>
      </c>
      <c r="L203" s="25">
        <f t="shared" si="81"/>
        <v>0</v>
      </c>
      <c r="M203" s="25">
        <f t="shared" si="81"/>
        <v>0</v>
      </c>
      <c r="N203" s="25">
        <f t="shared" si="81"/>
        <v>0</v>
      </c>
      <c r="O203" s="25">
        <f t="shared" si="81"/>
        <v>0</v>
      </c>
      <c r="P203" s="28">
        <f t="shared" si="55"/>
        <v>121.6152186849152</v>
      </c>
      <c r="Q203" s="25">
        <f t="shared" si="56"/>
        <v>91.28695457971581</v>
      </c>
    </row>
    <row r="204" spans="1:17" ht="12.75">
      <c r="A204" s="19" t="s">
        <v>8</v>
      </c>
      <c r="B204" s="58" t="s">
        <v>55</v>
      </c>
      <c r="C204" s="36" t="s">
        <v>5</v>
      </c>
      <c r="D204" s="204">
        <f t="shared" si="80"/>
        <v>40029.600000000006</v>
      </c>
      <c r="E204" s="76">
        <f t="shared" si="79"/>
        <v>31668.100000000002</v>
      </c>
      <c r="F204" s="25">
        <f>F11+F47+F63+F189+F142+F111+F173+F79+F96</f>
        <v>11959.6</v>
      </c>
      <c r="G204" s="25">
        <f>G11+G47+G63+G189+G142+G111+G173+G79</f>
        <v>11715.800000000001</v>
      </c>
      <c r="H204" s="25">
        <f>H11+H47+H63+H189+H142+H111+H173+H79</f>
        <v>7992.7</v>
      </c>
      <c r="I204" s="25">
        <f>I11+I47+I63+I189+I142+I111+I173+I79</f>
        <v>8361.5</v>
      </c>
      <c r="J204" s="205">
        <f>J11+J47+J63+J189+J142+J111+J173+J79-0.1</f>
        <v>34615.2</v>
      </c>
      <c r="K204" s="28" t="e">
        <f>J204/#REF!*100</f>
        <v>#REF!</v>
      </c>
      <c r="L204" s="28">
        <f t="shared" si="78"/>
        <v>433.0851902360904</v>
      </c>
      <c r="M204" s="69"/>
      <c r="N204" s="69"/>
      <c r="O204" s="24">
        <f t="shared" si="57"/>
        <v>413.98313699695024</v>
      </c>
      <c r="P204" s="28">
        <f t="shared" si="55"/>
        <v>109.30621035047885</v>
      </c>
      <c r="Q204" s="25">
        <f t="shared" si="56"/>
        <v>86.47400923316744</v>
      </c>
    </row>
    <row r="205" spans="1:17" ht="12.75">
      <c r="A205" s="19" t="s">
        <v>9</v>
      </c>
      <c r="B205" s="58" t="s">
        <v>56</v>
      </c>
      <c r="C205" s="36" t="s">
        <v>6</v>
      </c>
      <c r="D205" s="204">
        <f t="shared" si="80"/>
        <v>17465</v>
      </c>
      <c r="E205" s="76">
        <f t="shared" si="79"/>
        <v>13203.300000000001</v>
      </c>
      <c r="F205" s="25">
        <f>F12+F32+F48+F64+F80+F97+F112+F127+F143+F158+F174+F190</f>
        <v>3787.4</v>
      </c>
      <c r="G205" s="25">
        <f>G12+G32+G48+G64+G80+G97+G112+G127+G143+G158+G174+G190</f>
        <v>5488.7</v>
      </c>
      <c r="H205" s="25">
        <f>H12+H32+H48+H64+H80+H97+H112+H127+H143+H158+H174+H190</f>
        <v>3927.2000000000003</v>
      </c>
      <c r="I205" s="25">
        <f>I12+I32+I48+I64+I80+I97+I112+I127+I143+I158+I174+I190</f>
        <v>4261.7</v>
      </c>
      <c r="J205" s="205">
        <f>J12+J32+J48+J64+J80+J97+J112+J127+J143+J158+J174+J190+0.1</f>
        <v>11525.1</v>
      </c>
      <c r="K205" s="28" t="e">
        <f>J205/#REF!*100</f>
        <v>#REF!</v>
      </c>
      <c r="L205" s="28">
        <f t="shared" si="78"/>
        <v>293.46862904868607</v>
      </c>
      <c r="M205" s="69"/>
      <c r="N205" s="69"/>
      <c r="O205" s="24">
        <f t="shared" si="57"/>
        <v>270.434333716592</v>
      </c>
      <c r="P205" s="28">
        <f t="shared" si="55"/>
        <v>87.28954125105086</v>
      </c>
      <c r="Q205" s="25">
        <f t="shared" si="56"/>
        <v>65.9896936730604</v>
      </c>
    </row>
    <row r="206" spans="1:17" ht="12.75">
      <c r="A206" s="19" t="s">
        <v>10</v>
      </c>
      <c r="B206" s="58" t="s">
        <v>49</v>
      </c>
      <c r="C206" s="36" t="s">
        <v>21</v>
      </c>
      <c r="D206" s="204">
        <f t="shared" si="80"/>
        <v>3884</v>
      </c>
      <c r="E206" s="76">
        <f t="shared" si="79"/>
        <v>2914</v>
      </c>
      <c r="F206" s="25">
        <f>F13+F33+F65+F81+F98+F113+F128+F144+F159+F175+F191</f>
        <v>921</v>
      </c>
      <c r="G206" s="25">
        <f>G13+G33+G65+G81+G98+G113+G128+G144+G159+G175+G191</f>
        <v>1036</v>
      </c>
      <c r="H206" s="25">
        <f>H13+H33+H65+H81+H98+H113+H128+H144+H159+H175+H191</f>
        <v>957</v>
      </c>
      <c r="I206" s="25">
        <f>I13+I33+I65+I81+I98+I113+I128+I144+I159+I175+I191</f>
        <v>970</v>
      </c>
      <c r="J206" s="205">
        <f>J13+J33+J49+J65+J81+J98+J113+J128+J144+J159+J175+J191</f>
        <v>3078.6</v>
      </c>
      <c r="K206" s="28" t="e">
        <f>J206/#REF!*100</f>
        <v>#REF!</v>
      </c>
      <c r="L206" s="28">
        <f t="shared" si="78"/>
        <v>321.69278996865205</v>
      </c>
      <c r="M206" s="69"/>
      <c r="N206" s="69"/>
      <c r="O206" s="24">
        <f t="shared" si="57"/>
        <v>317.3814432989691</v>
      </c>
      <c r="P206" s="28">
        <f t="shared" si="55"/>
        <v>105.64859299931366</v>
      </c>
      <c r="Q206" s="25">
        <f t="shared" si="56"/>
        <v>79.26364572605561</v>
      </c>
    </row>
    <row r="207" spans="1:17" ht="24" customHeight="1" hidden="1">
      <c r="A207" s="19" t="s">
        <v>37</v>
      </c>
      <c r="B207" s="58" t="s">
        <v>57</v>
      </c>
      <c r="C207" s="36" t="s">
        <v>38</v>
      </c>
      <c r="D207" s="204">
        <f t="shared" si="80"/>
        <v>0</v>
      </c>
      <c r="E207" s="76">
        <f t="shared" si="79"/>
        <v>0</v>
      </c>
      <c r="F207" s="61">
        <f>F14</f>
        <v>0</v>
      </c>
      <c r="G207" s="61">
        <f>G14</f>
        <v>0</v>
      </c>
      <c r="H207" s="61">
        <f>H14</f>
        <v>0</v>
      </c>
      <c r="I207" s="61">
        <f>I14</f>
        <v>0</v>
      </c>
      <c r="J207" s="206">
        <f>J14</f>
        <v>0</v>
      </c>
      <c r="K207" s="28" t="e">
        <f>J207/#REF!*100</f>
        <v>#REF!</v>
      </c>
      <c r="L207" s="28"/>
      <c r="M207" s="69"/>
      <c r="N207" s="69"/>
      <c r="O207" s="24" t="e">
        <f t="shared" si="57"/>
        <v>#DIV/0!</v>
      </c>
      <c r="P207" s="28"/>
      <c r="Q207" s="25"/>
    </row>
    <row r="208" spans="1:17" ht="24">
      <c r="A208" s="20" t="s">
        <v>11</v>
      </c>
      <c r="B208" s="62" t="s">
        <v>48</v>
      </c>
      <c r="C208" s="36" t="s">
        <v>17</v>
      </c>
      <c r="D208" s="204">
        <f t="shared" si="80"/>
        <v>106250.4</v>
      </c>
      <c r="E208" s="76">
        <f t="shared" si="79"/>
        <v>69736.5</v>
      </c>
      <c r="F208" s="25">
        <f>F15+F34+F50+F66+F82+F99+F114+F129+F145+F160+F176+F192</f>
        <v>16907.499999999996</v>
      </c>
      <c r="G208" s="25">
        <f>G15+G34+G50+G66+G82+G99+G114+G129+G145+G160+G176+G192</f>
        <v>28526</v>
      </c>
      <c r="H208" s="25">
        <f>H15+H34+H50+H66+H82+H99+H114+H129+H145+H160+H176+H192</f>
        <v>24302.999999999996</v>
      </c>
      <c r="I208" s="25">
        <f>I15+I34+I50+I66+I82+I99+I114+I129+I145+I160+I176+I192</f>
        <v>36513.899999999994</v>
      </c>
      <c r="J208" s="205">
        <f>J15+J34+J50+J66+J82+J99+J114+J129+J145+J160+J176+J192</f>
        <v>82771.4</v>
      </c>
      <c r="K208" s="28" t="e">
        <f>J208/#REF!*100</f>
        <v>#REF!</v>
      </c>
      <c r="L208" s="28">
        <f t="shared" si="78"/>
        <v>340.5809982306711</v>
      </c>
      <c r="M208" s="69"/>
      <c r="N208" s="69"/>
      <c r="O208" s="24">
        <f t="shared" si="57"/>
        <v>226.68463242765085</v>
      </c>
      <c r="P208" s="28">
        <f aca="true" t="shared" si="82" ref="P208:P219">J208*100/E208</f>
        <v>118.69164641185031</v>
      </c>
      <c r="Q208" s="25">
        <f aca="true" t="shared" si="83" ref="Q208:Q219">J208*100/D208</f>
        <v>77.90220083877331</v>
      </c>
    </row>
    <row r="209" spans="1:17" ht="12.75">
      <c r="A209" s="37" t="s">
        <v>14</v>
      </c>
      <c r="B209" s="63" t="s">
        <v>47</v>
      </c>
      <c r="C209" s="36" t="s">
        <v>13</v>
      </c>
      <c r="D209" s="204">
        <f t="shared" si="80"/>
        <v>13331.2</v>
      </c>
      <c r="E209" s="76">
        <f t="shared" si="79"/>
        <v>11847.2</v>
      </c>
      <c r="F209" s="25">
        <f>F16</f>
        <v>7342.8</v>
      </c>
      <c r="G209" s="25">
        <f>G16</f>
        <v>3020.4</v>
      </c>
      <c r="H209" s="25">
        <f>H16</f>
        <v>1484</v>
      </c>
      <c r="I209" s="25">
        <f>I16</f>
        <v>1484</v>
      </c>
      <c r="J209" s="205">
        <f>J16</f>
        <v>14555.9</v>
      </c>
      <c r="K209" s="28" t="e">
        <f>J209/#REF!*100</f>
        <v>#REF!</v>
      </c>
      <c r="L209" s="28">
        <f t="shared" si="78"/>
        <v>980.8557951482479</v>
      </c>
      <c r="M209" s="69"/>
      <c r="N209" s="69"/>
      <c r="O209" s="24">
        <f t="shared" si="57"/>
        <v>980.855795148248</v>
      </c>
      <c r="P209" s="28">
        <f t="shared" si="82"/>
        <v>122.86363022486326</v>
      </c>
      <c r="Q209" s="25">
        <f t="shared" si="83"/>
        <v>109.18671987518002</v>
      </c>
    </row>
    <row r="210" spans="1:17" ht="12.75">
      <c r="A210" s="38" t="s">
        <v>42</v>
      </c>
      <c r="B210" s="64" t="s">
        <v>58</v>
      </c>
      <c r="C210" s="36" t="s">
        <v>43</v>
      </c>
      <c r="D210" s="204">
        <f t="shared" si="80"/>
        <v>10188.5</v>
      </c>
      <c r="E210" s="76">
        <f t="shared" si="79"/>
        <v>8002.7</v>
      </c>
      <c r="F210" s="65">
        <f>F17+F83+F100+F130+F146+F161+F177+F115+F67+F35</f>
        <v>2384.5</v>
      </c>
      <c r="G210" s="65">
        <f>G17+G83+G100+G130+G146+G161+G177+G115+G67+G35</f>
        <v>3650.4</v>
      </c>
      <c r="H210" s="65">
        <f>H17+H83+H100+H130+H146+H161+H177+H115+H67+H35</f>
        <v>1967.8</v>
      </c>
      <c r="I210" s="65">
        <f>I17+I83+I100+I130+I146+I161+I177+I115+I67+I35</f>
        <v>2185.8</v>
      </c>
      <c r="J210" s="207">
        <f>J17+J83+J100+J130+J146+J161+J177+J115+J67+J35</f>
        <v>8868.9</v>
      </c>
      <c r="K210" s="28" t="e">
        <f>J210/#REF!*100</f>
        <v>#REF!</v>
      </c>
      <c r="L210" s="28">
        <f t="shared" si="78"/>
        <v>450.70129078158345</v>
      </c>
      <c r="M210" s="69"/>
      <c r="N210" s="69"/>
      <c r="O210" s="24">
        <f t="shared" si="57"/>
        <v>405.7507548723579</v>
      </c>
      <c r="P210" s="28">
        <f t="shared" si="82"/>
        <v>110.82384695165382</v>
      </c>
      <c r="Q210" s="25">
        <f t="shared" si="83"/>
        <v>87.0481425136183</v>
      </c>
    </row>
    <row r="211" spans="1:17" ht="12.75">
      <c r="A211" s="38" t="s">
        <v>18</v>
      </c>
      <c r="B211" s="64" t="s">
        <v>53</v>
      </c>
      <c r="C211" s="36" t="s">
        <v>15</v>
      </c>
      <c r="D211" s="204">
        <f t="shared" si="80"/>
        <v>22645.9</v>
      </c>
      <c r="E211" s="76">
        <f t="shared" si="79"/>
        <v>15806.1</v>
      </c>
      <c r="F211" s="25">
        <f>F18+F36+F51+F68+F84+F101+F116+F147+F162+F178+F193+F131</f>
        <v>5952.499999999999</v>
      </c>
      <c r="G211" s="25">
        <f>G18+G36+G51+G68+G84+G101+G116+G147+G162+G178+G193+G131</f>
        <v>6525.400000000001</v>
      </c>
      <c r="H211" s="25">
        <f>H18+H36+H51+H68+H84+H101+H116+H147+H162+H178+H193+H131</f>
        <v>3328.2000000000003</v>
      </c>
      <c r="I211" s="25">
        <f>I18+I36+I51+I68+I84+I101+I116+I147+I162+I178+I193+I131</f>
        <v>6839.8</v>
      </c>
      <c r="J211" s="25">
        <f>J18+J36+J51+J68+J84+J101+J116+J147+J162+J178+J193+J131-0.1</f>
        <v>16108</v>
      </c>
      <c r="K211" s="28" t="e">
        <f>J211/#REF!*100</f>
        <v>#REF!</v>
      </c>
      <c r="L211" s="28">
        <f t="shared" si="78"/>
        <v>483.9853374196262</v>
      </c>
      <c r="M211" s="69"/>
      <c r="N211" s="69"/>
      <c r="O211" s="24">
        <f aca="true" t="shared" si="84" ref="O211:O219">J211*100/I211</f>
        <v>235.50396210415508</v>
      </c>
      <c r="P211" s="28">
        <f t="shared" si="82"/>
        <v>101.91002208008301</v>
      </c>
      <c r="Q211" s="25">
        <f t="shared" si="83"/>
        <v>71.12987339871677</v>
      </c>
    </row>
    <row r="212" spans="1:17" ht="12.75">
      <c r="A212" s="38" t="s">
        <v>60</v>
      </c>
      <c r="B212" s="38"/>
      <c r="C212" s="36" t="s">
        <v>61</v>
      </c>
      <c r="D212" s="204">
        <f t="shared" si="80"/>
        <v>5</v>
      </c>
      <c r="E212" s="76">
        <f t="shared" si="79"/>
        <v>5</v>
      </c>
      <c r="F212" s="25">
        <f>F19</f>
        <v>5</v>
      </c>
      <c r="G212" s="25">
        <f>G19</f>
        <v>0</v>
      </c>
      <c r="H212" s="25">
        <f>H19</f>
        <v>0</v>
      </c>
      <c r="I212" s="25">
        <f>I19</f>
        <v>0</v>
      </c>
      <c r="J212" s="25">
        <f>J19</f>
        <v>16</v>
      </c>
      <c r="K212" s="28" t="e">
        <f>J212/#REF!*100</f>
        <v>#REF!</v>
      </c>
      <c r="L212" s="28" t="e">
        <f t="shared" si="78"/>
        <v>#DIV/0!</v>
      </c>
      <c r="M212" s="69"/>
      <c r="N212" s="69"/>
      <c r="O212" s="24" t="e">
        <f t="shared" si="84"/>
        <v>#DIV/0!</v>
      </c>
      <c r="P212" s="28">
        <f t="shared" si="82"/>
        <v>320</v>
      </c>
      <c r="Q212" s="25">
        <f t="shared" si="83"/>
        <v>320</v>
      </c>
    </row>
    <row r="213" spans="1:17" ht="12.75">
      <c r="A213" s="29" t="s">
        <v>12</v>
      </c>
      <c r="B213" s="60" t="s">
        <v>50</v>
      </c>
      <c r="C213" s="36" t="s">
        <v>7</v>
      </c>
      <c r="D213" s="204">
        <f t="shared" si="80"/>
        <v>6317.8</v>
      </c>
      <c r="E213" s="76">
        <f t="shared" si="79"/>
        <v>5907.900000000001</v>
      </c>
      <c r="F213" s="25">
        <f>F20+F179+F194+F69+F132+F52+F148+F85+F37</f>
        <v>3054.6</v>
      </c>
      <c r="G213" s="25">
        <f>G20+G179+G194+G69+G132+G52+G148+G85+G37</f>
        <v>2446.5</v>
      </c>
      <c r="H213" s="25">
        <f>H20+H179+H194+H69+H132+H52+H148+H85+H37</f>
        <v>406.8</v>
      </c>
      <c r="I213" s="25">
        <f>I20+I179+I194+I69+I132+I52+I148+I85+I37</f>
        <v>409.9</v>
      </c>
      <c r="J213" s="25">
        <f>J20+J179+J194+J69+J132+J52+J148+J85+J37</f>
        <v>10319.999999999998</v>
      </c>
      <c r="K213" s="25" t="e">
        <f>K20+K179+K194+K69+K132+K52+K148+K85</f>
        <v>#REF!</v>
      </c>
      <c r="L213" s="25">
        <f>L20+L179+L194+L69+L132+L52+L148+L85</f>
        <v>2481.6617502458207</v>
      </c>
      <c r="M213" s="25">
        <f>M20+M179+M194+M69+M132+M52+M148+M85</f>
        <v>0</v>
      </c>
      <c r="N213" s="25">
        <f>N20+N179+N194+N69+N132+N52+N148+N85</f>
        <v>0</v>
      </c>
      <c r="O213" s="25" t="e">
        <f>O20+O179+O194+O69+O132+O52+O148+O85</f>
        <v>#DIV/0!</v>
      </c>
      <c r="P213" s="28">
        <f t="shared" si="82"/>
        <v>174.68135885847758</v>
      </c>
      <c r="Q213" s="25">
        <f t="shared" si="83"/>
        <v>163.34800088638445</v>
      </c>
    </row>
    <row r="214" spans="1:17" ht="12.75">
      <c r="A214" s="39" t="s">
        <v>39</v>
      </c>
      <c r="B214" s="66" t="s">
        <v>57</v>
      </c>
      <c r="C214" s="23" t="s">
        <v>40</v>
      </c>
      <c r="D214" s="49">
        <f t="shared" si="80"/>
        <v>0</v>
      </c>
      <c r="E214" s="76">
        <f t="shared" si="79"/>
        <v>0</v>
      </c>
      <c r="F214" s="25">
        <f>F21+F38+F53+F70+F86+F102+F118+F133+F149+F164+F180+F195</f>
        <v>0</v>
      </c>
      <c r="G214" s="25">
        <f>G21+G38+G53+G70+G86+G102+G118+G133+G149+G164+G180+G195</f>
        <v>0</v>
      </c>
      <c r="H214" s="25">
        <f>H21+H38+H53+H70+H86+H102+H118+H133+H149+H164+H180+H195</f>
        <v>0</v>
      </c>
      <c r="I214" s="25">
        <f>I21+I38+I53+I70+I86+I102+I118+I133+I149+I164+I180+I195</f>
        <v>0</v>
      </c>
      <c r="J214" s="25">
        <f>J21+J38+J53+J70+J86+J102+J118+J133+J149+J164+J180+J195</f>
        <v>-17.899999999999977</v>
      </c>
      <c r="K214" s="28"/>
      <c r="L214" s="28"/>
      <c r="M214" s="69"/>
      <c r="N214" s="69"/>
      <c r="O214" s="24" t="e">
        <f t="shared" si="84"/>
        <v>#DIV/0!</v>
      </c>
      <c r="P214" s="28"/>
      <c r="Q214" s="25"/>
    </row>
    <row r="215" spans="1:17" ht="12.75">
      <c r="A215" s="33" t="s">
        <v>1</v>
      </c>
      <c r="B215" s="59"/>
      <c r="C215" s="41" t="s">
        <v>0</v>
      </c>
      <c r="D215" s="42">
        <f aca="true" t="shared" si="85" ref="D215:J215">D216+D217+D218</f>
        <v>3161843.9000000004</v>
      </c>
      <c r="E215" s="42">
        <f t="shared" si="85"/>
        <v>2405267.4000000004</v>
      </c>
      <c r="F215" s="42">
        <f t="shared" si="85"/>
        <v>652462.7000000001</v>
      </c>
      <c r="G215" s="42">
        <f t="shared" si="85"/>
        <v>863302.9</v>
      </c>
      <c r="H215" s="42">
        <f t="shared" si="85"/>
        <v>889501.8</v>
      </c>
      <c r="I215" s="42">
        <f t="shared" si="85"/>
        <v>756576.5</v>
      </c>
      <c r="J215" s="42">
        <f t="shared" si="85"/>
        <v>2208100.5</v>
      </c>
      <c r="K215" s="35" t="e">
        <f>J215/#REF!*100</f>
        <v>#REF!</v>
      </c>
      <c r="L215" s="35">
        <f>J215/H215*100</f>
        <v>248.24013846852247</v>
      </c>
      <c r="M215" s="69"/>
      <c r="N215" s="69"/>
      <c r="O215" s="46">
        <f t="shared" si="84"/>
        <v>291.85422756324044</v>
      </c>
      <c r="P215" s="35">
        <f t="shared" si="82"/>
        <v>91.80270351645724</v>
      </c>
      <c r="Q215" s="32">
        <f t="shared" si="83"/>
        <v>69.83584799995977</v>
      </c>
    </row>
    <row r="216" spans="1:17" ht="24">
      <c r="A216" s="21" t="s">
        <v>67</v>
      </c>
      <c r="B216" s="58" t="s">
        <v>51</v>
      </c>
      <c r="C216" s="43" t="s">
        <v>20</v>
      </c>
      <c r="D216" s="49">
        <f t="shared" si="80"/>
        <v>3108231.2</v>
      </c>
      <c r="E216" s="76">
        <f t="shared" si="79"/>
        <v>2356654.7</v>
      </c>
      <c r="F216" s="24">
        <f>F23</f>
        <v>709965.8</v>
      </c>
      <c r="G216" s="24">
        <f>G23-104.5</f>
        <v>762337.1</v>
      </c>
      <c r="H216" s="24">
        <f>H23</f>
        <v>884351.8</v>
      </c>
      <c r="I216" s="24">
        <f>I23-114.9</f>
        <v>751576.5</v>
      </c>
      <c r="J216" s="24">
        <f>J23-104.5</f>
        <v>2160614.2</v>
      </c>
      <c r="K216" s="28" t="e">
        <f>J216/#REF!*100</f>
        <v>#REF!</v>
      </c>
      <c r="L216" s="28">
        <f>J216/H216*100</f>
        <v>244.31614206020726</v>
      </c>
      <c r="M216" s="69"/>
      <c r="N216" s="69"/>
      <c r="O216" s="24">
        <f t="shared" si="84"/>
        <v>287.47761538579243</v>
      </c>
      <c r="P216" s="28">
        <f t="shared" si="82"/>
        <v>91.6814075477413</v>
      </c>
      <c r="Q216" s="25">
        <f t="shared" si="83"/>
        <v>69.51266044816744</v>
      </c>
    </row>
    <row r="217" spans="1:17" ht="12.75">
      <c r="A217" s="21" t="s">
        <v>2</v>
      </c>
      <c r="B217" s="21" t="s">
        <v>52</v>
      </c>
      <c r="C217" s="44" t="s">
        <v>19</v>
      </c>
      <c r="D217" s="204">
        <f t="shared" si="80"/>
        <v>60480</v>
      </c>
      <c r="E217" s="76">
        <f t="shared" si="79"/>
        <v>55480</v>
      </c>
      <c r="F217" s="25">
        <f>F24+F90+F105+F167+F136+F56+F41+F152+F73+F183+F121</f>
        <v>5010</v>
      </c>
      <c r="G217" s="25">
        <f>G24+G90+G105+G167+G136+G56+G41+G152+G73+G183+G121</f>
        <v>45320</v>
      </c>
      <c r="H217" s="25">
        <f>H24+H90+H105+H167+H136+H56+H41+H152+H73+H183+H121</f>
        <v>5150</v>
      </c>
      <c r="I217" s="25">
        <f>I24+I90+I105+I167+I136+I56+I41+I152+I73+I183+I121</f>
        <v>5000</v>
      </c>
      <c r="J217" s="25">
        <f>J24+J90+J105+J167+J136+J56+J41+J152+J73+J183+J121</f>
        <v>55704.5</v>
      </c>
      <c r="K217" s="28" t="e">
        <f>J217/#REF!*100</f>
        <v>#REF!</v>
      </c>
      <c r="L217" s="28">
        <f>J217/H217*100</f>
        <v>1081.6407766990292</v>
      </c>
      <c r="M217" s="69"/>
      <c r="N217" s="69"/>
      <c r="O217" s="24">
        <f t="shared" si="84"/>
        <v>1114.09</v>
      </c>
      <c r="P217" s="28">
        <f t="shared" si="82"/>
        <v>100.40465032444123</v>
      </c>
      <c r="Q217" s="25">
        <f t="shared" si="83"/>
        <v>92.10400132275132</v>
      </c>
    </row>
    <row r="218" spans="1:17" ht="24">
      <c r="A218" s="21" t="s">
        <v>66</v>
      </c>
      <c r="B218" s="22"/>
      <c r="C218" s="27" t="s">
        <v>63</v>
      </c>
      <c r="D218" s="204">
        <f t="shared" si="80"/>
        <v>-6867.299999999996</v>
      </c>
      <c r="E218" s="76">
        <f t="shared" si="79"/>
        <v>-6867.299999999996</v>
      </c>
      <c r="F218" s="25">
        <f>F26</f>
        <v>-62513.1</v>
      </c>
      <c r="G218" s="25">
        <f>G26</f>
        <v>55645.8</v>
      </c>
      <c r="H218" s="25">
        <f>H26</f>
        <v>0</v>
      </c>
      <c r="I218" s="25">
        <f>I26</f>
        <v>0</v>
      </c>
      <c r="J218" s="25">
        <f>J26</f>
        <v>-8218.2</v>
      </c>
      <c r="K218" s="28" t="e">
        <f>J218/#REF!*100</f>
        <v>#REF!</v>
      </c>
      <c r="L218" s="28"/>
      <c r="M218" s="69"/>
      <c r="N218" s="69"/>
      <c r="O218" s="24" t="e">
        <f t="shared" si="84"/>
        <v>#DIV/0!</v>
      </c>
      <c r="P218" s="28">
        <f>J218*100/E218</f>
        <v>119.67148661045835</v>
      </c>
      <c r="Q218" s="25">
        <f>J218*100/D218</f>
        <v>119.67148661045835</v>
      </c>
    </row>
    <row r="219" spans="1:17" ht="12.75">
      <c r="A219" s="29"/>
      <c r="B219" s="30"/>
      <c r="C219" s="31" t="s">
        <v>4</v>
      </c>
      <c r="D219" s="32">
        <f aca="true" t="shared" si="86" ref="D219:J219">D215+D201</f>
        <v>3995506.3000000003</v>
      </c>
      <c r="E219" s="32">
        <f t="shared" si="86"/>
        <v>3012784.5</v>
      </c>
      <c r="F219" s="32">
        <f t="shared" si="86"/>
        <v>848465.7000000001</v>
      </c>
      <c r="G219" s="32">
        <f t="shared" si="86"/>
        <v>1088010.4</v>
      </c>
      <c r="H219" s="32">
        <f t="shared" si="86"/>
        <v>1076308.4000000001</v>
      </c>
      <c r="I219" s="32">
        <f t="shared" si="86"/>
        <v>982721.7999999999</v>
      </c>
      <c r="J219" s="32">
        <f t="shared" si="86"/>
        <v>2828905.5</v>
      </c>
      <c r="K219" s="35" t="e">
        <f>J219/#REF!*100</f>
        <v>#REF!</v>
      </c>
      <c r="L219" s="35">
        <f>J219/H219*100</f>
        <v>262.8341003377842</v>
      </c>
      <c r="M219" s="69"/>
      <c r="N219" s="70" t="e">
        <f>I219+#REF!+#REF!</f>
        <v>#REF!</v>
      </c>
      <c r="O219" s="46">
        <f t="shared" si="84"/>
        <v>287.8643274220639</v>
      </c>
      <c r="P219" s="35">
        <f t="shared" si="82"/>
        <v>93.89670917385561</v>
      </c>
      <c r="Q219" s="32">
        <f t="shared" si="83"/>
        <v>70.80217843731093</v>
      </c>
    </row>
    <row r="220" spans="3:8" ht="12.75">
      <c r="C220" s="8"/>
      <c r="D220" s="8"/>
      <c r="E220" s="8"/>
      <c r="F220" s="8"/>
      <c r="G220" s="8"/>
      <c r="H220" s="2"/>
    </row>
    <row r="221" spans="3:11" ht="25.5" customHeight="1">
      <c r="C221" s="9" t="s">
        <v>59</v>
      </c>
      <c r="D221" s="9"/>
      <c r="E221" s="9"/>
      <c r="F221" s="9"/>
      <c r="G221" s="9"/>
      <c r="H221" s="3"/>
      <c r="I221" s="3"/>
      <c r="J221" s="5"/>
      <c r="K221" s="5"/>
    </row>
    <row r="222" spans="3:12" ht="18" customHeight="1">
      <c r="C222" s="9"/>
      <c r="D222" s="9"/>
      <c r="E222" s="9"/>
      <c r="F222" s="9"/>
      <c r="G222" s="9"/>
      <c r="H222" s="3" t="s">
        <v>62</v>
      </c>
      <c r="I222" s="3">
        <f>I221-I201</f>
        <v>-226145.29999999996</v>
      </c>
      <c r="J222" s="4"/>
      <c r="K222" s="5"/>
      <c r="L222" s="2" t="e">
        <f>N27+N42+N58+N74+N91+N106+N122+N137+N153+N168+N184+N198-#REF!-#REF!-#REF!-#REF!-#REF!-#REF!-#REF!-#REF!-#REF!-#REF!-#REF!-#REF!-5301.3-7951.9-535.1-7243.1</f>
        <v>#REF!</v>
      </c>
    </row>
    <row r="223" spans="1:12" ht="13.5" customHeight="1">
      <c r="A223" s="2"/>
      <c r="C223" s="9"/>
      <c r="D223" s="4">
        <f aca="true" t="shared" si="87" ref="D223:I223">D40+D55+D72+D89+D104+D120+D135+D151+D166+D182+D197</f>
        <v>411500</v>
      </c>
      <c r="E223" s="4"/>
      <c r="F223" s="4">
        <f t="shared" si="87"/>
        <v>89540.99999999999</v>
      </c>
      <c r="G223" s="4">
        <f t="shared" si="87"/>
        <v>112413.3</v>
      </c>
      <c r="H223" s="4">
        <f t="shared" si="87"/>
        <v>125116.09999999999</v>
      </c>
      <c r="I223" s="4">
        <f t="shared" si="87"/>
        <v>84429.6</v>
      </c>
      <c r="J223" s="4">
        <f>J40+J55+J72+J89+J104+J120+J135+J151+J166+J182+J197</f>
        <v>272547.60000000003</v>
      </c>
      <c r="K223" s="5"/>
      <c r="L223" s="2" t="e">
        <f>N219-L222</f>
        <v>#REF!</v>
      </c>
    </row>
    <row r="224" spans="3:11" ht="12.75" customHeight="1">
      <c r="C224" s="10"/>
      <c r="D224" s="10"/>
      <c r="E224" s="10"/>
      <c r="F224" s="10"/>
      <c r="G224" s="10"/>
      <c r="H224" s="3"/>
      <c r="I224" s="3">
        <f>I223-I215</f>
        <v>-672146.9</v>
      </c>
      <c r="J224" s="5"/>
      <c r="K224" s="5"/>
    </row>
    <row r="225" spans="3:11" ht="15.75" customHeight="1">
      <c r="C225" s="10"/>
      <c r="D225" s="10"/>
      <c r="E225" s="10"/>
      <c r="F225" s="10"/>
      <c r="G225" s="10"/>
      <c r="H225" s="6"/>
      <c r="I225" s="3" t="e">
        <f>#REF!+#REF!+#REF!+#REF!+#REF!+#REF!+#REF!+#REF!+#REF!+#REF!</f>
        <v>#REF!</v>
      </c>
      <c r="J225" s="5"/>
      <c r="K225" s="5"/>
    </row>
    <row r="226" spans="1:11" ht="19.5" customHeight="1">
      <c r="A226" s="2"/>
      <c r="C226" s="18"/>
      <c r="D226" s="18"/>
      <c r="E226" s="18"/>
      <c r="F226" s="18"/>
      <c r="G226" s="18"/>
      <c r="H226" s="6"/>
      <c r="I226" s="3" t="e">
        <f>I225-#REF!</f>
        <v>#REF!</v>
      </c>
      <c r="J226" s="5"/>
      <c r="K226" s="5"/>
    </row>
    <row r="227" spans="1:11" ht="16.5" customHeight="1">
      <c r="A227" s="2"/>
      <c r="C227" s="10"/>
      <c r="D227" s="10"/>
      <c r="E227" s="10"/>
      <c r="F227" s="10"/>
      <c r="G227" s="10"/>
      <c r="H227" s="6"/>
      <c r="I227" s="3" t="e">
        <f>I221+I223+I225</f>
        <v>#REF!</v>
      </c>
      <c r="J227" s="5"/>
      <c r="K227" s="5"/>
    </row>
    <row r="228" spans="1:11" ht="15.75" customHeight="1">
      <c r="A228" s="2"/>
      <c r="C228" s="9"/>
      <c r="D228" s="9"/>
      <c r="E228" s="9"/>
      <c r="F228" s="9"/>
      <c r="G228" s="9"/>
      <c r="H228" s="6"/>
      <c r="I228" s="3">
        <f>I27+I42+I58+I74+I91+I106+I122+I137+I153+I168+I184+I198-I196-I181-I165-I150-I134-I119-I103-I88-I71-I39-I54</f>
        <v>982836.7000000001</v>
      </c>
      <c r="J228" s="5"/>
      <c r="K228" s="5"/>
    </row>
    <row r="229" spans="1:11" ht="18.75" customHeight="1">
      <c r="A229" s="2"/>
      <c r="C229" s="9"/>
      <c r="D229" s="9"/>
      <c r="E229" s="9"/>
      <c r="F229" s="9"/>
      <c r="G229" s="9"/>
      <c r="H229" s="6"/>
      <c r="I229" s="3">
        <f>I228-I219</f>
        <v>114.9000000001397</v>
      </c>
      <c r="J229" s="5"/>
      <c r="K229" s="5"/>
    </row>
    <row r="230" spans="3:11" ht="20.25" customHeight="1">
      <c r="C230" s="9"/>
      <c r="D230" s="9"/>
      <c r="E230" s="9"/>
      <c r="F230" s="9"/>
      <c r="G230" s="9"/>
      <c r="H230" s="6"/>
      <c r="I230" s="3"/>
      <c r="J230" s="5"/>
      <c r="K230" s="5"/>
    </row>
    <row r="231" spans="3:11" ht="17.25" customHeight="1">
      <c r="C231" s="8"/>
      <c r="D231" s="8"/>
      <c r="E231" s="8"/>
      <c r="F231" s="8"/>
      <c r="G231" s="8"/>
      <c r="H231" s="5"/>
      <c r="I231" s="4"/>
      <c r="J231" s="5"/>
      <c r="K231" s="5"/>
    </row>
    <row r="232" spans="3:11" ht="12.75">
      <c r="C232" s="8"/>
      <c r="D232" s="8"/>
      <c r="E232" s="8"/>
      <c r="F232" s="83">
        <f>F8+F30+F45+F61+F77+F94+F109+F125+F140+F156+F171+F187</f>
        <v>196002.99999999997</v>
      </c>
      <c r="G232" s="83">
        <f>G8+G30+G45+G61+G77+G94+G109+G125+G140+G156+G171+G187</f>
        <v>224707.49999999994</v>
      </c>
      <c r="H232" s="83">
        <f>H8+H30+H45+H61+H77+H94+H109+H125+H140+H156+H171+H187</f>
        <v>186806.59999999995</v>
      </c>
      <c r="I232" s="83">
        <f>I8+I30+I45+I61+I77+I94+I109+I125+I140+I156+I171+I187</f>
        <v>226145.30000000005</v>
      </c>
      <c r="J232" s="83"/>
      <c r="K232" s="5"/>
    </row>
    <row r="233" spans="3:11" ht="12.75">
      <c r="C233" s="8"/>
      <c r="D233" s="8"/>
      <c r="E233" s="8"/>
      <c r="F233" s="8"/>
      <c r="G233" s="8"/>
      <c r="H233" s="5"/>
      <c r="I233" s="4"/>
      <c r="J233" s="5"/>
      <c r="K233" s="5"/>
    </row>
    <row r="234" spans="3:11" ht="12.75">
      <c r="C234" s="8"/>
      <c r="D234" s="83"/>
      <c r="E234" s="83"/>
      <c r="F234" s="83"/>
      <c r="G234" s="83"/>
      <c r="H234" s="83"/>
      <c r="I234" s="83"/>
      <c r="J234" s="83"/>
      <c r="K234" s="5"/>
    </row>
    <row r="235" spans="8:11" ht="12.75">
      <c r="H235" s="5"/>
      <c r="I235" s="4"/>
      <c r="J235" s="5"/>
      <c r="K235" s="5"/>
    </row>
    <row r="236" spans="8:11" ht="12.75">
      <c r="H236" s="5"/>
      <c r="I236" s="4"/>
      <c r="J236" s="5"/>
      <c r="K236" s="5"/>
    </row>
    <row r="237" spans="8:11" ht="12.75">
      <c r="H237" s="5"/>
      <c r="I237" s="4"/>
      <c r="J237" s="5"/>
      <c r="K237" s="5"/>
    </row>
    <row r="238" spans="3:11" ht="12.75">
      <c r="C238" s="8"/>
      <c r="D238" s="8"/>
      <c r="E238" s="8"/>
      <c r="F238" s="8"/>
      <c r="G238" s="8"/>
      <c r="H238" s="5"/>
      <c r="I238" s="4"/>
      <c r="J238" s="5"/>
      <c r="K238" s="5"/>
    </row>
    <row r="239" spans="3:11" ht="12.75">
      <c r="C239" s="8"/>
      <c r="D239" s="8"/>
      <c r="E239" s="8"/>
      <c r="F239" s="8"/>
      <c r="G239" s="8"/>
      <c r="H239" s="5"/>
      <c r="I239" s="4"/>
      <c r="J239" s="5"/>
      <c r="K239" s="5"/>
    </row>
    <row r="240" spans="3:11" ht="12.75">
      <c r="C240" s="8"/>
      <c r="D240" s="8"/>
      <c r="E240" s="8"/>
      <c r="F240" s="8"/>
      <c r="G240" s="8"/>
      <c r="H240" s="5"/>
      <c r="I240" s="4"/>
      <c r="J240" s="5"/>
      <c r="K240" s="5"/>
    </row>
    <row r="241" spans="3:11" ht="12.75">
      <c r="C241" s="8"/>
      <c r="D241" s="8"/>
      <c r="E241" s="8"/>
      <c r="F241" s="8"/>
      <c r="G241" s="8"/>
      <c r="H241" s="5"/>
      <c r="I241" s="4"/>
      <c r="J241" s="5"/>
      <c r="K241" s="5"/>
    </row>
    <row r="242" spans="3:11" ht="12.75">
      <c r="C242" s="8"/>
      <c r="D242" s="8"/>
      <c r="E242" s="8"/>
      <c r="F242" s="8"/>
      <c r="G242" s="8"/>
      <c r="H242" s="4"/>
      <c r="I242" s="4"/>
      <c r="J242" s="4"/>
      <c r="K242" s="5"/>
    </row>
    <row r="243" spans="3:11" ht="12.75">
      <c r="C243" s="8"/>
      <c r="D243" s="8"/>
      <c r="E243" s="8"/>
      <c r="F243" s="8"/>
      <c r="G243" s="8"/>
      <c r="H243" s="5"/>
      <c r="I243" s="5"/>
      <c r="J243" s="5"/>
      <c r="K243" s="5"/>
    </row>
    <row r="244" spans="3:11" ht="12.75">
      <c r="C244" s="8"/>
      <c r="D244" s="8"/>
      <c r="E244" s="8"/>
      <c r="F244" s="8"/>
      <c r="G244" s="8"/>
      <c r="H244" s="7"/>
      <c r="I244" s="4"/>
      <c r="J244" s="5"/>
      <c r="K244" s="5"/>
    </row>
  </sheetData>
  <sheetProtection/>
  <mergeCells count="41">
    <mergeCell ref="A199:L199"/>
    <mergeCell ref="A185:L185"/>
    <mergeCell ref="A154:L154"/>
    <mergeCell ref="A169:L169"/>
    <mergeCell ref="A170:O170"/>
    <mergeCell ref="A2:L2"/>
    <mergeCell ref="A92:L92"/>
    <mergeCell ref="A107:L107"/>
    <mergeCell ref="A29:O29"/>
    <mergeCell ref="A44:O44"/>
    <mergeCell ref="C43:L43"/>
    <mergeCell ref="A28:L28"/>
    <mergeCell ref="A138:L138"/>
    <mergeCell ref="A123:L123"/>
    <mergeCell ref="A59:L59"/>
    <mergeCell ref="A7:O7"/>
    <mergeCell ref="A155:O155"/>
    <mergeCell ref="A186:O186"/>
    <mergeCell ref="A60:O60"/>
    <mergeCell ref="A76:O76"/>
    <mergeCell ref="A93:O93"/>
    <mergeCell ref="A108:O108"/>
    <mergeCell ref="A124:O124"/>
    <mergeCell ref="A139:O139"/>
    <mergeCell ref="A75:L75"/>
    <mergeCell ref="E4:E6"/>
    <mergeCell ref="F4:F6"/>
    <mergeCell ref="G4:G6"/>
    <mergeCell ref="H4:H6"/>
    <mergeCell ref="I4:I6"/>
    <mergeCell ref="Q4:Q6"/>
    <mergeCell ref="A1:Q1"/>
    <mergeCell ref="A200:Q200"/>
    <mergeCell ref="P4:P6"/>
    <mergeCell ref="J4:J6"/>
    <mergeCell ref="K4:K6"/>
    <mergeCell ref="L4:L6"/>
    <mergeCell ref="M4:M6"/>
    <mergeCell ref="N4:N6"/>
    <mergeCell ref="O4:O6"/>
    <mergeCell ref="D4:D6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97">
      <selection activeCell="A1" sqref="A1:K119"/>
    </sheetView>
  </sheetViews>
  <sheetFormatPr defaultColWidth="9.00390625" defaultRowHeight="12.75"/>
  <cols>
    <col min="2" max="2" width="48.625" style="0" customWidth="1"/>
    <col min="3" max="3" width="14.375" style="0" customWidth="1"/>
    <col min="4" max="4" width="14.25390625" style="0" customWidth="1"/>
    <col min="6" max="6" width="14.625" style="0" customWidth="1"/>
    <col min="7" max="7" width="14.375" style="0" customWidth="1"/>
    <col min="9" max="9" width="15.00390625" style="0" customWidth="1"/>
    <col min="10" max="10" width="14.75390625" style="0" customWidth="1"/>
  </cols>
  <sheetData>
    <row r="1" spans="1:11" ht="15.75" customHeight="1">
      <c r="A1" s="185" t="s">
        <v>240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3.5" thickBot="1">
      <c r="A2" s="85"/>
      <c r="B2" s="86"/>
      <c r="C2" s="87"/>
      <c r="D2" s="88"/>
      <c r="E2" s="89"/>
      <c r="F2" s="90"/>
      <c r="G2" s="91"/>
      <c r="H2" s="91"/>
      <c r="I2" s="92"/>
      <c r="J2" s="93"/>
      <c r="K2" s="93"/>
    </row>
    <row r="3" spans="1:11" ht="15" customHeight="1">
      <c r="A3" s="186" t="s">
        <v>84</v>
      </c>
      <c r="B3" s="188" t="s">
        <v>85</v>
      </c>
      <c r="C3" s="190" t="s">
        <v>86</v>
      </c>
      <c r="D3" s="190"/>
      <c r="E3" s="190"/>
      <c r="F3" s="191" t="s">
        <v>87</v>
      </c>
      <c r="G3" s="191"/>
      <c r="H3" s="191"/>
      <c r="I3" s="192" t="s">
        <v>88</v>
      </c>
      <c r="J3" s="192"/>
      <c r="K3" s="193"/>
    </row>
    <row r="4" spans="1:11" ht="12.75" customHeight="1">
      <c r="A4" s="187"/>
      <c r="B4" s="189"/>
      <c r="C4" s="194" t="s">
        <v>89</v>
      </c>
      <c r="D4" s="194" t="s">
        <v>241</v>
      </c>
      <c r="E4" s="194" t="s">
        <v>90</v>
      </c>
      <c r="F4" s="194" t="s">
        <v>89</v>
      </c>
      <c r="G4" s="197" t="s">
        <v>241</v>
      </c>
      <c r="H4" s="197" t="s">
        <v>90</v>
      </c>
      <c r="I4" s="198" t="s">
        <v>89</v>
      </c>
      <c r="J4" s="200" t="s">
        <v>242</v>
      </c>
      <c r="K4" s="181" t="s">
        <v>90</v>
      </c>
    </row>
    <row r="5" spans="1:11" ht="32.25" customHeight="1">
      <c r="A5" s="187"/>
      <c r="B5" s="189"/>
      <c r="C5" s="195"/>
      <c r="D5" s="194"/>
      <c r="E5" s="201"/>
      <c r="F5" s="195"/>
      <c r="G5" s="197"/>
      <c r="H5" s="195"/>
      <c r="I5" s="199"/>
      <c r="J5" s="200"/>
      <c r="K5" s="182"/>
    </row>
    <row r="6" spans="1:11" ht="12.75" customHeight="1">
      <c r="A6" s="187"/>
      <c r="B6" s="183" t="s">
        <v>91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1:11" ht="12.75" customHeight="1">
      <c r="A7" s="187"/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1" ht="12.75" customHeight="1">
      <c r="A8" s="187"/>
      <c r="B8" s="183"/>
      <c r="C8" s="183"/>
      <c r="D8" s="183"/>
      <c r="E8" s="183"/>
      <c r="F8" s="183"/>
      <c r="G8" s="183"/>
      <c r="H8" s="183"/>
      <c r="I8" s="183"/>
      <c r="J8" s="183"/>
      <c r="K8" s="184"/>
    </row>
    <row r="9" spans="1:11" ht="15">
      <c r="A9" s="96" t="s">
        <v>92</v>
      </c>
      <c r="B9" s="97" t="s">
        <v>93</v>
      </c>
      <c r="C9" s="98">
        <f>SUM(C10:C17)</f>
        <v>315138.9</v>
      </c>
      <c r="D9" s="98">
        <f>SUM(D10:D17)</f>
        <v>178934.9</v>
      </c>
      <c r="E9" s="98">
        <f>D9/C9*100</f>
        <v>56.779693017904165</v>
      </c>
      <c r="F9" s="98">
        <f>F10+F11+F12+F13+F14+F16+F17+F15</f>
        <v>193104.7</v>
      </c>
      <c r="G9" s="98">
        <f>SUM(G10:G17)</f>
        <v>132512.59999999998</v>
      </c>
      <c r="H9" s="99">
        <f>G9/F9*100</f>
        <v>68.6221516099815</v>
      </c>
      <c r="I9" s="98">
        <f>SUM(I10:I17)</f>
        <v>507954.3</v>
      </c>
      <c r="J9" s="98">
        <f>SUM(J10:J17)</f>
        <v>311273</v>
      </c>
      <c r="K9" s="100">
        <f>J9/I9*100</f>
        <v>61.279725361120086</v>
      </c>
    </row>
    <row r="10" spans="1:11" ht="15">
      <c r="A10" s="101" t="s">
        <v>94</v>
      </c>
      <c r="B10" s="102" t="s">
        <v>95</v>
      </c>
      <c r="C10" s="94">
        <v>3567</v>
      </c>
      <c r="D10" s="94">
        <v>2535.7</v>
      </c>
      <c r="E10" s="94">
        <f>D10/C10*100</f>
        <v>71.08774880852256</v>
      </c>
      <c r="F10" s="103">
        <v>38945</v>
      </c>
      <c r="G10" s="103">
        <v>29535.6</v>
      </c>
      <c r="H10" s="103">
        <f>G10/F10*100</f>
        <v>75.83926049557067</v>
      </c>
      <c r="I10" s="104">
        <f aca="true" t="shared" si="0" ref="I10:J79">C10+F10</f>
        <v>42512</v>
      </c>
      <c r="J10" s="95">
        <f t="shared" si="0"/>
        <v>32071.3</v>
      </c>
      <c r="K10" s="105">
        <f aca="true" t="shared" si="1" ref="K10:K81">J10/I10*100</f>
        <v>75.44058148287543</v>
      </c>
    </row>
    <row r="11" spans="1:11" ht="30">
      <c r="A11" s="101" t="s">
        <v>96</v>
      </c>
      <c r="B11" s="102" t="s">
        <v>97</v>
      </c>
      <c r="C11" s="94">
        <v>12259.6</v>
      </c>
      <c r="D11" s="94">
        <v>9691.6</v>
      </c>
      <c r="E11" s="94">
        <f aca="true" t="shared" si="2" ref="E11:E19">D11/C11*100</f>
        <v>79.05315018434533</v>
      </c>
      <c r="F11" s="103">
        <v>0</v>
      </c>
      <c r="G11" s="103"/>
      <c r="H11" s="103">
        <v>0</v>
      </c>
      <c r="I11" s="104">
        <f t="shared" si="0"/>
        <v>12259.6</v>
      </c>
      <c r="J11" s="95">
        <f t="shared" si="0"/>
        <v>9691.6</v>
      </c>
      <c r="K11" s="105">
        <f t="shared" si="1"/>
        <v>79.05315018434533</v>
      </c>
    </row>
    <row r="12" spans="1:11" ht="30">
      <c r="A12" s="101" t="s">
        <v>98</v>
      </c>
      <c r="B12" s="102" t="s">
        <v>99</v>
      </c>
      <c r="C12" s="94">
        <v>134181</v>
      </c>
      <c r="D12" s="94">
        <v>94865.5</v>
      </c>
      <c r="E12" s="94">
        <f t="shared" si="2"/>
        <v>70.69965196264747</v>
      </c>
      <c r="F12" s="103">
        <v>118088.7</v>
      </c>
      <c r="G12" s="103">
        <v>82929.2</v>
      </c>
      <c r="H12" s="103">
        <f aca="true" t="shared" si="3" ref="H12:H19">G12/F12*100</f>
        <v>70.22619437761615</v>
      </c>
      <c r="I12" s="104">
        <f t="shared" si="0"/>
        <v>252269.7</v>
      </c>
      <c r="J12" s="95">
        <f t="shared" si="0"/>
        <v>177794.7</v>
      </c>
      <c r="K12" s="105">
        <f t="shared" si="1"/>
        <v>70.47802411466776</v>
      </c>
    </row>
    <row r="13" spans="1:11" ht="15">
      <c r="A13" s="101" t="s">
        <v>100</v>
      </c>
      <c r="B13" s="102" t="s">
        <v>101</v>
      </c>
      <c r="C13" s="94">
        <v>24.7</v>
      </c>
      <c r="D13" s="94"/>
      <c r="E13" s="94">
        <v>0</v>
      </c>
      <c r="F13" s="103">
        <v>0</v>
      </c>
      <c r="G13" s="103"/>
      <c r="H13" s="103">
        <v>0</v>
      </c>
      <c r="I13" s="104">
        <f t="shared" si="0"/>
        <v>24.7</v>
      </c>
      <c r="J13" s="95">
        <f t="shared" si="0"/>
        <v>0</v>
      </c>
      <c r="K13" s="105"/>
    </row>
    <row r="14" spans="1:11" ht="15">
      <c r="A14" s="101" t="s">
        <v>102</v>
      </c>
      <c r="B14" s="102" t="s">
        <v>103</v>
      </c>
      <c r="C14" s="94">
        <v>28515.8</v>
      </c>
      <c r="D14" s="94">
        <v>20482.2</v>
      </c>
      <c r="E14" s="94">
        <f t="shared" si="2"/>
        <v>71.8275482364163</v>
      </c>
      <c r="F14" s="103">
        <v>0</v>
      </c>
      <c r="G14" s="103"/>
      <c r="H14" s="103">
        <v>0</v>
      </c>
      <c r="I14" s="104">
        <f>C14+F14</f>
        <v>28515.8</v>
      </c>
      <c r="J14" s="95">
        <f>D14+G14</f>
        <v>20482.2</v>
      </c>
      <c r="K14" s="105">
        <f t="shared" si="1"/>
        <v>71.8275482364163</v>
      </c>
    </row>
    <row r="15" spans="1:11" ht="15">
      <c r="A15" s="106" t="s">
        <v>104</v>
      </c>
      <c r="B15" s="102" t="s">
        <v>105</v>
      </c>
      <c r="C15" s="94">
        <v>0</v>
      </c>
      <c r="D15" s="94"/>
      <c r="E15" s="94"/>
      <c r="F15" s="103">
        <v>0</v>
      </c>
      <c r="G15" s="103"/>
      <c r="H15" s="103">
        <v>0</v>
      </c>
      <c r="I15" s="104">
        <f>C15+F15</f>
        <v>0</v>
      </c>
      <c r="J15" s="95">
        <f t="shared" si="0"/>
        <v>0</v>
      </c>
      <c r="K15" s="105"/>
    </row>
    <row r="16" spans="1:11" ht="15">
      <c r="A16" s="106" t="s">
        <v>106</v>
      </c>
      <c r="B16" s="102" t="s">
        <v>107</v>
      </c>
      <c r="C16" s="94">
        <v>4036</v>
      </c>
      <c r="D16" s="94"/>
      <c r="E16" s="94">
        <f t="shared" si="2"/>
        <v>0</v>
      </c>
      <c r="F16" s="103">
        <v>1072.2</v>
      </c>
      <c r="G16" s="103"/>
      <c r="H16" s="103">
        <f t="shared" si="3"/>
        <v>0</v>
      </c>
      <c r="I16" s="104">
        <f t="shared" si="0"/>
        <v>5108.2</v>
      </c>
      <c r="J16" s="95">
        <f t="shared" si="0"/>
        <v>0</v>
      </c>
      <c r="K16" s="105">
        <f t="shared" si="1"/>
        <v>0</v>
      </c>
    </row>
    <row r="17" spans="1:11" ht="15">
      <c r="A17" s="101" t="s">
        <v>108</v>
      </c>
      <c r="B17" s="102" t="s">
        <v>109</v>
      </c>
      <c r="C17" s="94">
        <v>132554.8</v>
      </c>
      <c r="D17" s="94">
        <v>51359.9</v>
      </c>
      <c r="E17" s="94">
        <f t="shared" si="2"/>
        <v>38.746163850724386</v>
      </c>
      <c r="F17" s="103">
        <v>34998.8</v>
      </c>
      <c r="G17" s="103">
        <v>20047.8</v>
      </c>
      <c r="H17" s="103">
        <f t="shared" si="3"/>
        <v>57.28139250488587</v>
      </c>
      <c r="I17" s="104">
        <f>C17+F17-289.3</f>
        <v>167264.3</v>
      </c>
      <c r="J17" s="95">
        <f>D17+G17-174.5</f>
        <v>71233.2</v>
      </c>
      <c r="K17" s="105">
        <f t="shared" si="1"/>
        <v>42.587210779586556</v>
      </c>
    </row>
    <row r="18" spans="1:11" ht="15">
      <c r="A18" s="96" t="s">
        <v>110</v>
      </c>
      <c r="B18" s="97" t="s">
        <v>111</v>
      </c>
      <c r="C18" s="98">
        <f aca="true" t="shared" si="4" ref="C18:J18">C19</f>
        <v>4840</v>
      </c>
      <c r="D18" s="98">
        <f t="shared" si="4"/>
        <v>4477</v>
      </c>
      <c r="E18" s="98">
        <f t="shared" si="4"/>
        <v>92.5</v>
      </c>
      <c r="F18" s="98">
        <f t="shared" si="4"/>
        <v>4840</v>
      </c>
      <c r="G18" s="98">
        <f t="shared" si="4"/>
        <v>2211.1</v>
      </c>
      <c r="H18" s="107">
        <f t="shared" si="4"/>
        <v>45.68388429752066</v>
      </c>
      <c r="I18" s="98">
        <f t="shared" si="4"/>
        <v>4840</v>
      </c>
      <c r="J18" s="98">
        <f t="shared" si="4"/>
        <v>2211.1000000000004</v>
      </c>
      <c r="K18" s="108">
        <f t="shared" si="1"/>
        <v>45.68388429752066</v>
      </c>
    </row>
    <row r="19" spans="1:11" ht="15">
      <c r="A19" s="101" t="s">
        <v>112</v>
      </c>
      <c r="B19" s="102" t="s">
        <v>113</v>
      </c>
      <c r="C19" s="94">
        <v>4840</v>
      </c>
      <c r="D19" s="94">
        <v>4477</v>
      </c>
      <c r="E19" s="94">
        <f t="shared" si="2"/>
        <v>92.5</v>
      </c>
      <c r="F19" s="103">
        <v>4840</v>
      </c>
      <c r="G19" s="103">
        <v>2211.1</v>
      </c>
      <c r="H19" s="103">
        <f t="shared" si="3"/>
        <v>45.68388429752066</v>
      </c>
      <c r="I19" s="104">
        <f>C19+F19-4840</f>
        <v>4840</v>
      </c>
      <c r="J19" s="95">
        <f>D19+G19-4477</f>
        <v>2211.1000000000004</v>
      </c>
      <c r="K19" s="105">
        <f t="shared" si="1"/>
        <v>45.68388429752066</v>
      </c>
    </row>
    <row r="20" spans="1:11" ht="12.75" customHeight="1">
      <c r="A20" s="202" t="s">
        <v>114</v>
      </c>
      <c r="B20" s="203" t="s">
        <v>115</v>
      </c>
      <c r="C20" s="196">
        <f>C23+C24+C22</f>
        <v>14720.3</v>
      </c>
      <c r="D20" s="196">
        <f>D23+D24+D22</f>
        <v>10865.2</v>
      </c>
      <c r="E20" s="196">
        <f>D20/C20*100</f>
        <v>73.8109956998159</v>
      </c>
      <c r="F20" s="196">
        <f>F23+F24+F22</f>
        <v>7057.3</v>
      </c>
      <c r="G20" s="196">
        <f>G23+G24+G22</f>
        <v>3398.7000000000003</v>
      </c>
      <c r="H20" s="196">
        <f>G20/F20*100</f>
        <v>48.15864424071529</v>
      </c>
      <c r="I20" s="196">
        <f>I23+I24+I22</f>
        <v>20028.3</v>
      </c>
      <c r="J20" s="196">
        <f>SUM(J22:J24)</f>
        <v>12738</v>
      </c>
      <c r="K20" s="196">
        <f>J20/I20*100</f>
        <v>63.600005991522</v>
      </c>
    </row>
    <row r="21" spans="1:11" ht="12.75" customHeight="1">
      <c r="A21" s="202"/>
      <c r="B21" s="203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ht="15">
      <c r="A22" s="106" t="s">
        <v>116</v>
      </c>
      <c r="B22" s="102" t="s">
        <v>117</v>
      </c>
      <c r="C22" s="94">
        <v>4442.7</v>
      </c>
      <c r="D22" s="94">
        <v>2832</v>
      </c>
      <c r="E22" s="94">
        <f aca="true" t="shared" si="5" ref="E22:E92">D22/C22*100</f>
        <v>63.745019920318725</v>
      </c>
      <c r="F22" s="103">
        <v>759</v>
      </c>
      <c r="G22" s="103">
        <v>372.8</v>
      </c>
      <c r="H22" s="103">
        <f>G22/F22*100</f>
        <v>49.117259552042164</v>
      </c>
      <c r="I22" s="104">
        <f>C22+F22-759</f>
        <v>4442.7</v>
      </c>
      <c r="J22" s="95">
        <f>D22+G22-535.6</f>
        <v>2669.2000000000003</v>
      </c>
      <c r="K22" s="105">
        <f>J22/I22*100</f>
        <v>60.08058162828911</v>
      </c>
    </row>
    <row r="23" spans="1:11" ht="15">
      <c r="A23" s="101" t="s">
        <v>118</v>
      </c>
      <c r="B23" s="102" t="s">
        <v>119</v>
      </c>
      <c r="C23" s="94">
        <v>9776.9</v>
      </c>
      <c r="D23" s="94">
        <v>7702.5</v>
      </c>
      <c r="E23" s="94">
        <f t="shared" si="5"/>
        <v>78.78264071433686</v>
      </c>
      <c r="F23" s="103">
        <v>5890.5</v>
      </c>
      <c r="G23" s="103">
        <v>2869.4</v>
      </c>
      <c r="H23" s="103">
        <f>G23/F23*100</f>
        <v>48.71233341821578</v>
      </c>
      <c r="I23" s="104">
        <f>C23+F23-659.6</f>
        <v>15007.8</v>
      </c>
      <c r="J23" s="95">
        <f>D23+G23-659.6</f>
        <v>9912.3</v>
      </c>
      <c r="K23" s="105">
        <f>J23/I23*100</f>
        <v>66.04765521928597</v>
      </c>
    </row>
    <row r="24" spans="1:11" ht="30">
      <c r="A24" s="106" t="s">
        <v>120</v>
      </c>
      <c r="B24" s="102" t="s">
        <v>121</v>
      </c>
      <c r="C24" s="94">
        <v>500.7</v>
      </c>
      <c r="D24" s="94">
        <v>330.7</v>
      </c>
      <c r="E24" s="94">
        <f t="shared" si="5"/>
        <v>66.04753345316556</v>
      </c>
      <c r="F24" s="103">
        <v>407.8</v>
      </c>
      <c r="G24" s="103">
        <v>156.5</v>
      </c>
      <c r="H24" s="103">
        <f>G24/F24*100</f>
        <v>38.3766552231486</v>
      </c>
      <c r="I24" s="104">
        <f>C24+F24-330.7</f>
        <v>577.8</v>
      </c>
      <c r="J24" s="104">
        <f>D24+G24-330.7</f>
        <v>156.5</v>
      </c>
      <c r="K24" s="105">
        <f>J24/I24*100</f>
        <v>27.085496711664938</v>
      </c>
    </row>
    <row r="25" spans="1:11" ht="15">
      <c r="A25" s="96" t="s">
        <v>122</v>
      </c>
      <c r="B25" s="97" t="s">
        <v>123</v>
      </c>
      <c r="C25" s="98">
        <f>SUM(C26:C45)</f>
        <v>212456.6</v>
      </c>
      <c r="D25" s="98">
        <f>SUM(D26:D45)</f>
        <v>151821.99999999994</v>
      </c>
      <c r="E25" s="98">
        <f>D25/C25*100</f>
        <v>71.46024176231755</v>
      </c>
      <c r="F25" s="98">
        <f>SUM(F26:F45)</f>
        <v>83117.30000000002</v>
      </c>
      <c r="G25" s="98">
        <f>SUM(G26:G45)</f>
        <v>47247.4</v>
      </c>
      <c r="H25" s="99">
        <f>G25/F25*100</f>
        <v>56.84424301559361</v>
      </c>
      <c r="I25" s="98">
        <f>SUM(I26:I45)</f>
        <v>239308.7</v>
      </c>
      <c r="J25" s="98">
        <f>SUM(J26:J45)</f>
        <v>160517.09999999995</v>
      </c>
      <c r="K25" s="100">
        <f t="shared" si="1"/>
        <v>67.0753298981608</v>
      </c>
    </row>
    <row r="26" spans="1:11" ht="45">
      <c r="A26" s="106" t="s">
        <v>124</v>
      </c>
      <c r="B26" s="109" t="s">
        <v>125</v>
      </c>
      <c r="C26" s="94">
        <v>16281.2</v>
      </c>
      <c r="D26" s="94">
        <v>9660.9</v>
      </c>
      <c r="E26" s="94">
        <f t="shared" si="5"/>
        <v>59.33776380119401</v>
      </c>
      <c r="F26" s="94">
        <v>10192.3</v>
      </c>
      <c r="G26" s="103">
        <v>9500.4</v>
      </c>
      <c r="H26" s="103">
        <f>G26/F26*100</f>
        <v>93.21154204644682</v>
      </c>
      <c r="I26" s="104">
        <f>C26+F26-7844.1</f>
        <v>18629.4</v>
      </c>
      <c r="J26" s="104">
        <f>D26+G26-7844.1</f>
        <v>11317.199999999999</v>
      </c>
      <c r="K26" s="105">
        <f t="shared" si="1"/>
        <v>60.74913845856549</v>
      </c>
    </row>
    <row r="27" spans="1:11" ht="15">
      <c r="A27" s="101" t="s">
        <v>126</v>
      </c>
      <c r="B27" s="102" t="s">
        <v>127</v>
      </c>
      <c r="C27" s="94">
        <v>49700</v>
      </c>
      <c r="D27" s="94">
        <v>40793.6</v>
      </c>
      <c r="E27" s="94">
        <f t="shared" si="5"/>
        <v>82.07967806841046</v>
      </c>
      <c r="F27" s="103">
        <v>0</v>
      </c>
      <c r="G27" s="103">
        <v>0</v>
      </c>
      <c r="H27" s="103">
        <v>0</v>
      </c>
      <c r="I27" s="104">
        <f t="shared" si="0"/>
        <v>49700</v>
      </c>
      <c r="J27" s="95">
        <f t="shared" si="0"/>
        <v>40793.6</v>
      </c>
      <c r="K27" s="105">
        <f t="shared" si="1"/>
        <v>82.07967806841046</v>
      </c>
    </row>
    <row r="28" spans="1:11" ht="15">
      <c r="A28" s="101" t="s">
        <v>128</v>
      </c>
      <c r="B28" s="102" t="s">
        <v>129</v>
      </c>
      <c r="C28" s="94">
        <v>13150</v>
      </c>
      <c r="D28" s="94">
        <v>10680.5</v>
      </c>
      <c r="E28" s="94">
        <f t="shared" si="5"/>
        <v>81.22053231939164</v>
      </c>
      <c r="F28" s="103">
        <v>0</v>
      </c>
      <c r="G28" s="103">
        <v>0</v>
      </c>
      <c r="H28" s="103">
        <v>0</v>
      </c>
      <c r="I28" s="104">
        <f t="shared" si="0"/>
        <v>13150</v>
      </c>
      <c r="J28" s="95">
        <f t="shared" si="0"/>
        <v>10680.5</v>
      </c>
      <c r="K28" s="105">
        <f t="shared" si="1"/>
        <v>81.22053231939164</v>
      </c>
    </row>
    <row r="29" spans="1:11" ht="30">
      <c r="A29" s="101" t="s">
        <v>128</v>
      </c>
      <c r="B29" s="102" t="s">
        <v>130</v>
      </c>
      <c r="C29" s="94">
        <v>16751</v>
      </c>
      <c r="D29" s="94">
        <v>15563.1</v>
      </c>
      <c r="E29" s="94">
        <f t="shared" si="5"/>
        <v>92.90848307563728</v>
      </c>
      <c r="F29" s="103">
        <v>14076.6</v>
      </c>
      <c r="G29" s="103">
        <v>8557</v>
      </c>
      <c r="H29" s="103">
        <f>G29/F29*100</f>
        <v>60.788826847392116</v>
      </c>
      <c r="I29" s="104">
        <f t="shared" si="0"/>
        <v>30827.6</v>
      </c>
      <c r="J29" s="95">
        <f t="shared" si="0"/>
        <v>24120.1</v>
      </c>
      <c r="K29" s="105">
        <f t="shared" si="1"/>
        <v>78.24190011548093</v>
      </c>
    </row>
    <row r="30" spans="1:11" ht="15">
      <c r="A30" s="101" t="s">
        <v>128</v>
      </c>
      <c r="B30" s="102" t="s">
        <v>131</v>
      </c>
      <c r="C30" s="94">
        <v>8704</v>
      </c>
      <c r="D30" s="94">
        <v>6622.7</v>
      </c>
      <c r="E30" s="94">
        <f t="shared" si="5"/>
        <v>76.08800551470588</v>
      </c>
      <c r="F30" s="103">
        <v>0</v>
      </c>
      <c r="G30" s="103">
        <v>0</v>
      </c>
      <c r="H30" s="103">
        <v>0</v>
      </c>
      <c r="I30" s="104">
        <f t="shared" si="0"/>
        <v>8704</v>
      </c>
      <c r="J30" s="95">
        <f t="shared" si="0"/>
        <v>6622.7</v>
      </c>
      <c r="K30" s="105">
        <f t="shared" si="1"/>
        <v>76.08800551470588</v>
      </c>
    </row>
    <row r="31" spans="1:11" ht="60">
      <c r="A31" s="101" t="s">
        <v>132</v>
      </c>
      <c r="B31" s="110" t="s">
        <v>133</v>
      </c>
      <c r="C31" s="94">
        <v>1958.5</v>
      </c>
      <c r="D31" s="94">
        <v>18.4</v>
      </c>
      <c r="E31" s="94">
        <f t="shared" si="5"/>
        <v>0.9394945111054378</v>
      </c>
      <c r="F31" s="103">
        <v>544.2</v>
      </c>
      <c r="G31" s="103">
        <v>263.1</v>
      </c>
      <c r="H31" s="103">
        <f aca="true" t="shared" si="6" ref="H31:H37">G31/F31*100</f>
        <v>48.346196251378174</v>
      </c>
      <c r="I31" s="104">
        <f t="shared" si="0"/>
        <v>2502.7</v>
      </c>
      <c r="J31" s="95">
        <f t="shared" si="0"/>
        <v>281.5</v>
      </c>
      <c r="K31" s="105">
        <f t="shared" si="1"/>
        <v>11.247852319494946</v>
      </c>
    </row>
    <row r="32" spans="1:11" ht="60">
      <c r="A32" s="106" t="s">
        <v>132</v>
      </c>
      <c r="B32" s="110" t="s">
        <v>134</v>
      </c>
      <c r="C32" s="94">
        <v>15582.7</v>
      </c>
      <c r="D32" s="94">
        <v>5183.2</v>
      </c>
      <c r="E32" s="94">
        <f t="shared" si="5"/>
        <v>33.26252831665886</v>
      </c>
      <c r="F32" s="103">
        <v>10310.7</v>
      </c>
      <c r="G32" s="103">
        <v>4833.5</v>
      </c>
      <c r="H32" s="103">
        <f t="shared" si="6"/>
        <v>46.87848545685549</v>
      </c>
      <c r="I32" s="104">
        <f>C32+F32-10310.7</f>
        <v>15582.7</v>
      </c>
      <c r="J32" s="95">
        <f>D32+G32-4833.5</f>
        <v>5183.200000000001</v>
      </c>
      <c r="K32" s="105">
        <f>J32/I32*100</f>
        <v>33.262528316658866</v>
      </c>
    </row>
    <row r="33" spans="1:11" ht="105">
      <c r="A33" s="106" t="s">
        <v>132</v>
      </c>
      <c r="B33" s="102" t="s">
        <v>135</v>
      </c>
      <c r="C33" s="94">
        <v>3296</v>
      </c>
      <c r="D33" s="94">
        <v>545.9</v>
      </c>
      <c r="E33" s="94">
        <f t="shared" si="5"/>
        <v>16.5625</v>
      </c>
      <c r="F33" s="103">
        <v>3296</v>
      </c>
      <c r="G33" s="103">
        <v>545.9</v>
      </c>
      <c r="H33" s="103">
        <f t="shared" si="6"/>
        <v>16.5625</v>
      </c>
      <c r="I33" s="104">
        <f>C33+F33-3296</f>
        <v>3296</v>
      </c>
      <c r="J33" s="95">
        <f>D33+G33-545.9</f>
        <v>545.9</v>
      </c>
      <c r="K33" s="105">
        <f>J33/I33*100</f>
        <v>16.5625</v>
      </c>
    </row>
    <row r="34" spans="1:11" ht="45">
      <c r="A34" s="106" t="s">
        <v>132</v>
      </c>
      <c r="B34" s="102" t="s">
        <v>136</v>
      </c>
      <c r="C34" s="94">
        <v>38137.3</v>
      </c>
      <c r="D34" s="94">
        <v>27545</v>
      </c>
      <c r="E34" s="94">
        <f t="shared" si="5"/>
        <v>72.22587860178879</v>
      </c>
      <c r="F34" s="103">
        <v>32612.4</v>
      </c>
      <c r="G34" s="103">
        <v>15829.8</v>
      </c>
      <c r="H34" s="103">
        <f t="shared" si="6"/>
        <v>48.539205946204504</v>
      </c>
      <c r="I34" s="104">
        <f>C34+F34-31877.4</f>
        <v>38872.30000000001</v>
      </c>
      <c r="J34" s="95">
        <f>D34+G34-22448</f>
        <v>20926.800000000003</v>
      </c>
      <c r="K34" s="105">
        <f>J34/I34*100</f>
        <v>53.834735788723584</v>
      </c>
    </row>
    <row r="35" spans="1:11" ht="45">
      <c r="A35" s="106" t="s">
        <v>132</v>
      </c>
      <c r="B35" s="102" t="s">
        <v>137</v>
      </c>
      <c r="C35" s="94"/>
      <c r="D35" s="94"/>
      <c r="E35" s="94"/>
      <c r="F35" s="103">
        <v>3407.1</v>
      </c>
      <c r="G35" s="103">
        <v>2410.7</v>
      </c>
      <c r="H35" s="103">
        <f t="shared" si="6"/>
        <v>70.7551876962813</v>
      </c>
      <c r="I35" s="104">
        <f>C35+F35</f>
        <v>3407.1</v>
      </c>
      <c r="J35" s="95">
        <f t="shared" si="0"/>
        <v>2410.7</v>
      </c>
      <c r="K35" s="105">
        <f t="shared" si="1"/>
        <v>70.7551876962813</v>
      </c>
    </row>
    <row r="36" spans="1:11" ht="15">
      <c r="A36" s="101" t="s">
        <v>138</v>
      </c>
      <c r="B36" s="102" t="s">
        <v>139</v>
      </c>
      <c r="C36" s="94">
        <v>5080.6</v>
      </c>
      <c r="D36" s="94">
        <v>3604.9</v>
      </c>
      <c r="E36" s="111">
        <f t="shared" si="5"/>
        <v>70.95421800574735</v>
      </c>
      <c r="F36" s="103">
        <v>5334.9</v>
      </c>
      <c r="G36" s="103">
        <v>3487.3</v>
      </c>
      <c r="H36" s="112">
        <f t="shared" si="6"/>
        <v>65.36767324598401</v>
      </c>
      <c r="I36" s="104">
        <f t="shared" si="0"/>
        <v>10415.5</v>
      </c>
      <c r="J36" s="95">
        <f t="shared" si="0"/>
        <v>7092.200000000001</v>
      </c>
      <c r="K36" s="105">
        <f t="shared" si="1"/>
        <v>68.09274638759541</v>
      </c>
    </row>
    <row r="37" spans="1:11" ht="60">
      <c r="A37" s="101" t="s">
        <v>140</v>
      </c>
      <c r="B37" s="110" t="s">
        <v>141</v>
      </c>
      <c r="C37" s="94">
        <v>3064.6</v>
      </c>
      <c r="D37" s="94">
        <v>2733</v>
      </c>
      <c r="E37" s="111">
        <f t="shared" si="5"/>
        <v>89.17966455654897</v>
      </c>
      <c r="F37" s="103">
        <v>2883</v>
      </c>
      <c r="G37" s="103">
        <v>1651.3</v>
      </c>
      <c r="H37" s="112">
        <f t="shared" si="6"/>
        <v>57.27714186611169</v>
      </c>
      <c r="I37" s="104">
        <f>C37+F37-2733</f>
        <v>3214.6000000000004</v>
      </c>
      <c r="J37" s="95">
        <f>D37+G37-2733</f>
        <v>1651.3000000000002</v>
      </c>
      <c r="K37" s="105">
        <f t="shared" si="1"/>
        <v>51.368755055061285</v>
      </c>
    </row>
    <row r="38" spans="1:11" ht="75">
      <c r="A38" s="101" t="s">
        <v>140</v>
      </c>
      <c r="B38" s="110" t="s">
        <v>142</v>
      </c>
      <c r="C38" s="94">
        <v>4500</v>
      </c>
      <c r="D38" s="103">
        <v>3884.4</v>
      </c>
      <c r="E38" s="111">
        <f t="shared" si="5"/>
        <v>86.32</v>
      </c>
      <c r="F38" s="103">
        <v>0</v>
      </c>
      <c r="G38" s="103">
        <v>0</v>
      </c>
      <c r="H38" s="112">
        <v>0</v>
      </c>
      <c r="I38" s="104">
        <f t="shared" si="0"/>
        <v>4500</v>
      </c>
      <c r="J38" s="95">
        <f t="shared" si="0"/>
        <v>3884.4</v>
      </c>
      <c r="K38" s="105">
        <f t="shared" si="1"/>
        <v>86.32</v>
      </c>
    </row>
    <row r="39" spans="1:11" ht="135">
      <c r="A39" s="101" t="s">
        <v>140</v>
      </c>
      <c r="B39" s="110" t="s">
        <v>143</v>
      </c>
      <c r="C39" s="94">
        <f>11133.9+2400</f>
        <v>13533.9</v>
      </c>
      <c r="D39" s="103">
        <v>12133.8</v>
      </c>
      <c r="E39" s="111">
        <f t="shared" si="5"/>
        <v>89.65486666814444</v>
      </c>
      <c r="F39" s="103"/>
      <c r="G39" s="103"/>
      <c r="H39" s="112"/>
      <c r="I39" s="104">
        <f t="shared" si="0"/>
        <v>13533.9</v>
      </c>
      <c r="J39" s="95">
        <f t="shared" si="0"/>
        <v>12133.8</v>
      </c>
      <c r="K39" s="105">
        <f t="shared" si="1"/>
        <v>89.65486666814444</v>
      </c>
    </row>
    <row r="40" spans="1:11" ht="75">
      <c r="A40" s="106" t="s">
        <v>140</v>
      </c>
      <c r="B40" s="110" t="s">
        <v>144</v>
      </c>
      <c r="C40" s="94">
        <v>18058.5</v>
      </c>
      <c r="D40" s="103">
        <v>11164.6</v>
      </c>
      <c r="E40" s="111">
        <f t="shared" si="5"/>
        <v>61.82462552260708</v>
      </c>
      <c r="F40" s="103"/>
      <c r="G40" s="103"/>
      <c r="H40" s="112"/>
      <c r="I40" s="104">
        <f t="shared" si="0"/>
        <v>18058.5</v>
      </c>
      <c r="J40" s="95">
        <f t="shared" si="0"/>
        <v>11164.6</v>
      </c>
      <c r="K40" s="105">
        <f t="shared" si="1"/>
        <v>61.82462552260708</v>
      </c>
    </row>
    <row r="41" spans="1:11" ht="90">
      <c r="A41" s="106" t="s">
        <v>140</v>
      </c>
      <c r="B41" s="110" t="s">
        <v>145</v>
      </c>
      <c r="C41" s="94">
        <v>2800</v>
      </c>
      <c r="D41" s="103">
        <v>500</v>
      </c>
      <c r="E41" s="111">
        <f t="shared" si="5"/>
        <v>17.857142857142858</v>
      </c>
      <c r="F41" s="103"/>
      <c r="G41" s="103"/>
      <c r="H41" s="112"/>
      <c r="I41" s="104">
        <f t="shared" si="0"/>
        <v>2800</v>
      </c>
      <c r="J41" s="95">
        <f t="shared" si="0"/>
        <v>500</v>
      </c>
      <c r="K41" s="105">
        <f t="shared" si="1"/>
        <v>17.857142857142858</v>
      </c>
    </row>
    <row r="42" spans="1:11" ht="45">
      <c r="A42" s="106" t="s">
        <v>140</v>
      </c>
      <c r="B42" s="110" t="s">
        <v>146</v>
      </c>
      <c r="C42" s="94">
        <v>1455.8</v>
      </c>
      <c r="D42" s="103">
        <v>931.9</v>
      </c>
      <c r="E42" s="111">
        <f t="shared" si="5"/>
        <v>64.0129138617942</v>
      </c>
      <c r="F42" s="103">
        <v>0</v>
      </c>
      <c r="G42" s="103">
        <v>0</v>
      </c>
      <c r="H42" s="112">
        <v>0</v>
      </c>
      <c r="I42" s="104">
        <f t="shared" si="0"/>
        <v>1455.8</v>
      </c>
      <c r="J42" s="95">
        <f t="shared" si="0"/>
        <v>931.9</v>
      </c>
      <c r="K42" s="105">
        <f t="shared" si="1"/>
        <v>64.0129138617942</v>
      </c>
    </row>
    <row r="43" spans="1:11" ht="45">
      <c r="A43" s="106" t="s">
        <v>140</v>
      </c>
      <c r="B43" s="110" t="s">
        <v>147</v>
      </c>
      <c r="C43" s="94">
        <v>198.5</v>
      </c>
      <c r="D43" s="103">
        <v>108.3</v>
      </c>
      <c r="E43" s="111">
        <f t="shared" si="5"/>
        <v>54.559193954659946</v>
      </c>
      <c r="F43" s="103"/>
      <c r="G43" s="103"/>
      <c r="H43" s="112">
        <v>0</v>
      </c>
      <c r="I43" s="104">
        <f t="shared" si="0"/>
        <v>198.5</v>
      </c>
      <c r="J43" s="95">
        <f t="shared" si="0"/>
        <v>108.3</v>
      </c>
      <c r="K43" s="105">
        <f t="shared" si="1"/>
        <v>54.559193954659946</v>
      </c>
    </row>
    <row r="44" spans="1:11" ht="45">
      <c r="A44" s="106" t="s">
        <v>140</v>
      </c>
      <c r="B44" s="110" t="s">
        <v>148</v>
      </c>
      <c r="C44" s="94"/>
      <c r="D44" s="103"/>
      <c r="E44" s="111"/>
      <c r="F44" s="103">
        <f>206.1+50</f>
        <v>256.1</v>
      </c>
      <c r="G44" s="103">
        <v>20.6</v>
      </c>
      <c r="H44" s="112">
        <v>0</v>
      </c>
      <c r="I44" s="104">
        <f t="shared" si="0"/>
        <v>256.1</v>
      </c>
      <c r="J44" s="95">
        <f t="shared" si="0"/>
        <v>20.6</v>
      </c>
      <c r="K44" s="105">
        <f t="shared" si="1"/>
        <v>8.043732916829363</v>
      </c>
    </row>
    <row r="45" spans="1:11" ht="75">
      <c r="A45" s="106" t="s">
        <v>140</v>
      </c>
      <c r="B45" s="110" t="s">
        <v>149</v>
      </c>
      <c r="C45" s="94">
        <v>204</v>
      </c>
      <c r="D45" s="103">
        <v>147.8</v>
      </c>
      <c r="E45" s="111">
        <f t="shared" si="5"/>
        <v>72.45098039215688</v>
      </c>
      <c r="F45" s="103">
        <v>204</v>
      </c>
      <c r="G45" s="103">
        <v>147.8</v>
      </c>
      <c r="H45" s="112">
        <f>G45/F45*100</f>
        <v>72.45098039215688</v>
      </c>
      <c r="I45" s="104">
        <f>C45+F45-204</f>
        <v>204</v>
      </c>
      <c r="J45" s="95">
        <f>D45+G45-147.8</f>
        <v>147.8</v>
      </c>
      <c r="K45" s="105">
        <f t="shared" si="1"/>
        <v>72.45098039215688</v>
      </c>
    </row>
    <row r="46" spans="1:11" ht="14.25">
      <c r="A46" s="96" t="s">
        <v>150</v>
      </c>
      <c r="B46" s="97" t="s">
        <v>151</v>
      </c>
      <c r="C46" s="113">
        <f>SUM(C47:C69)</f>
        <v>292756.19999999995</v>
      </c>
      <c r="D46" s="113">
        <f>SUM(D47:D69)</f>
        <v>233107.89999999997</v>
      </c>
      <c r="E46" s="98">
        <f t="shared" si="5"/>
        <v>79.62526498157852</v>
      </c>
      <c r="F46" s="114">
        <f>SUM(F47:F69)</f>
        <v>160522.8</v>
      </c>
      <c r="G46" s="114">
        <f>SUM(G47:G69)</f>
        <v>78804.59999999999</v>
      </c>
      <c r="H46" s="114">
        <f>G46/F46*100</f>
        <v>49.09246536940547</v>
      </c>
      <c r="I46" s="113">
        <f>SUM(I47:I69)</f>
        <v>394703.3</v>
      </c>
      <c r="J46" s="113">
        <f>SUM(J47:J69)</f>
        <v>282247.5</v>
      </c>
      <c r="K46" s="100">
        <f t="shared" si="1"/>
        <v>71.50877633908812</v>
      </c>
    </row>
    <row r="47" spans="1:11" ht="105">
      <c r="A47" s="101" t="s">
        <v>152</v>
      </c>
      <c r="B47" s="102" t="s">
        <v>153</v>
      </c>
      <c r="C47" s="94">
        <v>153200.8</v>
      </c>
      <c r="D47" s="94">
        <v>152157.4</v>
      </c>
      <c r="E47" s="111">
        <f t="shared" si="5"/>
        <v>99.31893306040178</v>
      </c>
      <c r="F47" s="103">
        <v>0</v>
      </c>
      <c r="G47" s="103">
        <v>0</v>
      </c>
      <c r="H47" s="103">
        <v>0</v>
      </c>
      <c r="I47" s="104">
        <f t="shared" si="0"/>
        <v>153200.8</v>
      </c>
      <c r="J47" s="95">
        <f t="shared" si="0"/>
        <v>152157.4</v>
      </c>
      <c r="K47" s="105">
        <f t="shared" si="1"/>
        <v>99.31893306040178</v>
      </c>
    </row>
    <row r="48" spans="1:11" ht="120">
      <c r="A48" s="101" t="s">
        <v>152</v>
      </c>
      <c r="B48" s="102" t="s">
        <v>154</v>
      </c>
      <c r="C48" s="94">
        <f>4403.9+544.3</f>
        <v>4948.2</v>
      </c>
      <c r="D48" s="94">
        <v>4041.4</v>
      </c>
      <c r="E48" s="111">
        <f t="shared" si="5"/>
        <v>81.67414413322017</v>
      </c>
      <c r="F48" s="103"/>
      <c r="G48" s="103"/>
      <c r="H48" s="103">
        <v>0</v>
      </c>
      <c r="I48" s="104">
        <f t="shared" si="0"/>
        <v>4948.2</v>
      </c>
      <c r="J48" s="95">
        <f t="shared" si="0"/>
        <v>4041.4</v>
      </c>
      <c r="K48" s="105">
        <f t="shared" si="1"/>
        <v>81.67414413322017</v>
      </c>
    </row>
    <row r="49" spans="1:11" ht="60">
      <c r="A49" s="106" t="s">
        <v>152</v>
      </c>
      <c r="B49" s="102" t="s">
        <v>155</v>
      </c>
      <c r="C49" s="94">
        <f>2140.1+21.6</f>
        <v>2161.7</v>
      </c>
      <c r="D49" s="94">
        <v>1303.2</v>
      </c>
      <c r="E49" s="111">
        <f t="shared" si="5"/>
        <v>60.28588610815563</v>
      </c>
      <c r="F49" s="103"/>
      <c r="G49" s="103"/>
      <c r="H49" s="103">
        <v>0</v>
      </c>
      <c r="I49" s="104">
        <f t="shared" si="0"/>
        <v>2161.7</v>
      </c>
      <c r="J49" s="95">
        <f t="shared" si="0"/>
        <v>1303.2</v>
      </c>
      <c r="K49" s="105">
        <f t="shared" si="1"/>
        <v>60.28588610815563</v>
      </c>
    </row>
    <row r="50" spans="1:11" ht="45">
      <c r="A50" s="106" t="s">
        <v>152</v>
      </c>
      <c r="B50" s="110" t="s">
        <v>156</v>
      </c>
      <c r="C50" s="94">
        <v>50</v>
      </c>
      <c r="D50" s="94">
        <v>50</v>
      </c>
      <c r="E50" s="111">
        <f t="shared" si="5"/>
        <v>100</v>
      </c>
      <c r="F50" s="103">
        <v>50</v>
      </c>
      <c r="G50" s="103">
        <v>50</v>
      </c>
      <c r="H50" s="103">
        <f>G50/F50*100</f>
        <v>100</v>
      </c>
      <c r="I50" s="104">
        <f>C50+F50-50</f>
        <v>50</v>
      </c>
      <c r="J50" s="95">
        <f>D50+G50-50</f>
        <v>50</v>
      </c>
      <c r="K50" s="105">
        <f t="shared" si="1"/>
        <v>100</v>
      </c>
    </row>
    <row r="51" spans="1:11" ht="75">
      <c r="A51" s="106" t="s">
        <v>152</v>
      </c>
      <c r="B51" s="102" t="s">
        <v>157</v>
      </c>
      <c r="C51" s="94"/>
      <c r="D51" s="94"/>
      <c r="E51" s="111"/>
      <c r="F51" s="103">
        <v>27469</v>
      </c>
      <c r="G51" s="103">
        <v>11676.1</v>
      </c>
      <c r="H51" s="103">
        <f>G51/F51*100</f>
        <v>42.506461829698935</v>
      </c>
      <c r="I51" s="104">
        <f t="shared" si="0"/>
        <v>27469</v>
      </c>
      <c r="J51" s="95">
        <f t="shared" si="0"/>
        <v>11676.1</v>
      </c>
      <c r="K51" s="105">
        <f t="shared" si="1"/>
        <v>42.506461829698935</v>
      </c>
    </row>
    <row r="52" spans="1:11" ht="30">
      <c r="A52" s="106" t="s">
        <v>152</v>
      </c>
      <c r="B52" s="102" t="s">
        <v>158</v>
      </c>
      <c r="C52" s="94"/>
      <c r="D52" s="94"/>
      <c r="E52" s="111"/>
      <c r="F52" s="103">
        <v>4956.6</v>
      </c>
      <c r="G52" s="103">
        <v>2912.5</v>
      </c>
      <c r="H52" s="103">
        <f>G52/F52*100</f>
        <v>58.76003712222088</v>
      </c>
      <c r="I52" s="104">
        <f t="shared" si="0"/>
        <v>4956.6</v>
      </c>
      <c r="J52" s="95">
        <f t="shared" si="0"/>
        <v>2912.5</v>
      </c>
      <c r="K52" s="105">
        <f t="shared" si="1"/>
        <v>58.76003712222088</v>
      </c>
    </row>
    <row r="53" spans="1:11" ht="135">
      <c r="A53" s="101" t="s">
        <v>159</v>
      </c>
      <c r="B53" s="102" t="s">
        <v>160</v>
      </c>
      <c r="C53" s="94">
        <v>7095.2</v>
      </c>
      <c r="D53" s="94">
        <v>6779.3</v>
      </c>
      <c r="E53" s="111">
        <f t="shared" si="5"/>
        <v>95.54769421580788</v>
      </c>
      <c r="F53" s="103"/>
      <c r="G53" s="103"/>
      <c r="H53" s="103"/>
      <c r="I53" s="104">
        <f t="shared" si="0"/>
        <v>7095.2</v>
      </c>
      <c r="J53" s="95">
        <f t="shared" si="0"/>
        <v>6779.3</v>
      </c>
      <c r="K53" s="105">
        <f t="shared" si="1"/>
        <v>95.54769421580788</v>
      </c>
    </row>
    <row r="54" spans="1:11" ht="135">
      <c r="A54" s="101" t="s">
        <v>159</v>
      </c>
      <c r="B54" s="102" t="s">
        <v>161</v>
      </c>
      <c r="C54" s="94">
        <v>7812</v>
      </c>
      <c r="D54" s="115">
        <v>7156.8</v>
      </c>
      <c r="E54" s="111">
        <f t="shared" si="5"/>
        <v>91.61290322580645</v>
      </c>
      <c r="F54" s="103"/>
      <c r="G54" s="103"/>
      <c r="H54" s="103"/>
      <c r="I54" s="104">
        <f t="shared" si="0"/>
        <v>7812</v>
      </c>
      <c r="J54" s="95">
        <f t="shared" si="0"/>
        <v>7156.8</v>
      </c>
      <c r="K54" s="105">
        <f t="shared" si="1"/>
        <v>91.61290322580645</v>
      </c>
    </row>
    <row r="55" spans="1:11" ht="135">
      <c r="A55" s="106" t="s">
        <v>159</v>
      </c>
      <c r="B55" s="102" t="s">
        <v>162</v>
      </c>
      <c r="C55" s="94">
        <v>3607.8</v>
      </c>
      <c r="D55" s="115">
        <v>2519.3</v>
      </c>
      <c r="E55" s="111">
        <f t="shared" si="5"/>
        <v>69.82925882809468</v>
      </c>
      <c r="F55" s="103"/>
      <c r="G55" s="103"/>
      <c r="H55" s="103"/>
      <c r="I55" s="104">
        <f t="shared" si="0"/>
        <v>3607.8</v>
      </c>
      <c r="J55" s="95">
        <f t="shared" si="0"/>
        <v>2519.3</v>
      </c>
      <c r="K55" s="105">
        <f t="shared" si="1"/>
        <v>69.82925882809468</v>
      </c>
    </row>
    <row r="56" spans="1:11" ht="135">
      <c r="A56" s="106" t="s">
        <v>159</v>
      </c>
      <c r="B56" s="102" t="s">
        <v>163</v>
      </c>
      <c r="C56" s="94">
        <v>4938.7</v>
      </c>
      <c r="D56" s="115">
        <v>2517.1</v>
      </c>
      <c r="E56" s="111">
        <f t="shared" si="5"/>
        <v>50.966853625447996</v>
      </c>
      <c r="F56" s="103"/>
      <c r="G56" s="103"/>
      <c r="H56" s="103"/>
      <c r="I56" s="104">
        <f t="shared" si="0"/>
        <v>4938.7</v>
      </c>
      <c r="J56" s="95">
        <f t="shared" si="0"/>
        <v>2517.1</v>
      </c>
      <c r="K56" s="105">
        <f t="shared" si="1"/>
        <v>50.966853625447996</v>
      </c>
    </row>
    <row r="57" spans="1:11" ht="178.5">
      <c r="A57" s="101" t="s">
        <v>159</v>
      </c>
      <c r="B57" s="116" t="s">
        <v>164</v>
      </c>
      <c r="C57" s="94">
        <v>43047.3</v>
      </c>
      <c r="D57" s="115">
        <v>21182.5</v>
      </c>
      <c r="E57" s="111">
        <f>D57/C57*100</f>
        <v>49.20749965735365</v>
      </c>
      <c r="F57" s="103"/>
      <c r="G57" s="103"/>
      <c r="H57" s="103"/>
      <c r="I57" s="104">
        <f>C57+F57</f>
        <v>43047.3</v>
      </c>
      <c r="J57" s="95">
        <f>D57+G57</f>
        <v>21182.5</v>
      </c>
      <c r="K57" s="105">
        <f>J57/I57*100</f>
        <v>49.20749965735365</v>
      </c>
    </row>
    <row r="58" spans="1:11" ht="180">
      <c r="A58" s="106" t="s">
        <v>159</v>
      </c>
      <c r="B58" s="110" t="s">
        <v>165</v>
      </c>
      <c r="C58" s="94">
        <v>48097.5</v>
      </c>
      <c r="D58" s="115">
        <v>26509</v>
      </c>
      <c r="E58" s="111">
        <f t="shared" si="5"/>
        <v>55.11513072405011</v>
      </c>
      <c r="F58" s="103">
        <f>47831.6+6335.9</f>
        <v>54167.5</v>
      </c>
      <c r="G58" s="103">
        <v>28776.1</v>
      </c>
      <c r="H58" s="103">
        <f>G58/F58*100</f>
        <v>53.12429039553237</v>
      </c>
      <c r="I58" s="104">
        <f>C58+F58-47831.7</f>
        <v>54433.3</v>
      </c>
      <c r="J58" s="95">
        <f>D58+G58-26509</f>
        <v>28776.1</v>
      </c>
      <c r="K58" s="105">
        <f t="shared" si="1"/>
        <v>52.8648823422427</v>
      </c>
    </row>
    <row r="59" spans="1:11" ht="45">
      <c r="A59" s="106" t="s">
        <v>159</v>
      </c>
      <c r="B59" s="110" t="s">
        <v>166</v>
      </c>
      <c r="C59" s="94">
        <v>2654.6</v>
      </c>
      <c r="D59" s="115">
        <v>2173.5</v>
      </c>
      <c r="E59" s="111">
        <f t="shared" si="5"/>
        <v>81.87674225872071</v>
      </c>
      <c r="F59" s="103"/>
      <c r="G59" s="103"/>
      <c r="H59" s="103"/>
      <c r="I59" s="104">
        <f>C59+F59</f>
        <v>2654.6</v>
      </c>
      <c r="J59" s="95">
        <f>D59+G59</f>
        <v>2173.5</v>
      </c>
      <c r="K59" s="105">
        <f t="shared" si="1"/>
        <v>81.87674225872071</v>
      </c>
    </row>
    <row r="60" spans="1:11" ht="75">
      <c r="A60" s="106" t="s">
        <v>159</v>
      </c>
      <c r="B60" s="110" t="s">
        <v>167</v>
      </c>
      <c r="C60" s="94"/>
      <c r="D60" s="115"/>
      <c r="E60" s="111"/>
      <c r="F60" s="103">
        <f>3364+348</f>
        <v>3712</v>
      </c>
      <c r="G60" s="103">
        <v>3712</v>
      </c>
      <c r="H60" s="103">
        <f aca="true" t="shared" si="7" ref="H60:H68">G60/F60*100</f>
        <v>100</v>
      </c>
      <c r="I60" s="104">
        <f t="shared" si="0"/>
        <v>3712</v>
      </c>
      <c r="J60" s="95">
        <f>D60+G60</f>
        <v>3712</v>
      </c>
      <c r="K60" s="105">
        <f t="shared" si="1"/>
        <v>100</v>
      </c>
    </row>
    <row r="61" spans="1:11" ht="15">
      <c r="A61" s="106" t="s">
        <v>159</v>
      </c>
      <c r="B61" s="110" t="s">
        <v>168</v>
      </c>
      <c r="C61" s="94"/>
      <c r="D61" s="115"/>
      <c r="E61" s="111"/>
      <c r="F61" s="103">
        <v>9226.5</v>
      </c>
      <c r="G61" s="103">
        <v>3006.2</v>
      </c>
      <c r="H61" s="103">
        <f t="shared" si="7"/>
        <v>32.58223595079391</v>
      </c>
      <c r="I61" s="104">
        <f t="shared" si="0"/>
        <v>9226.5</v>
      </c>
      <c r="J61" s="95">
        <f>D61+G61</f>
        <v>3006.2</v>
      </c>
      <c r="K61" s="105">
        <v>0</v>
      </c>
    </row>
    <row r="62" spans="1:11" ht="60">
      <c r="A62" s="106" t="s">
        <v>159</v>
      </c>
      <c r="B62" s="110" t="s">
        <v>169</v>
      </c>
      <c r="C62" s="94">
        <v>421.3</v>
      </c>
      <c r="D62" s="115">
        <v>404.3</v>
      </c>
      <c r="E62" s="111">
        <f>D62/C62*100</f>
        <v>95.96487063849987</v>
      </c>
      <c r="F62" s="103"/>
      <c r="G62" s="103"/>
      <c r="H62" s="103"/>
      <c r="I62" s="104">
        <f>C62+F62</f>
        <v>421.3</v>
      </c>
      <c r="J62" s="95">
        <f>D62+G62</f>
        <v>404.3</v>
      </c>
      <c r="K62" s="105">
        <f t="shared" si="1"/>
        <v>95.96487063849987</v>
      </c>
    </row>
    <row r="63" spans="1:11" ht="60">
      <c r="A63" s="106" t="s">
        <v>170</v>
      </c>
      <c r="B63" s="110" t="s">
        <v>171</v>
      </c>
      <c r="C63" s="94">
        <v>4865</v>
      </c>
      <c r="D63" s="115">
        <v>3208.1</v>
      </c>
      <c r="E63" s="111">
        <f>D63/C63*100</f>
        <v>65.94244604316548</v>
      </c>
      <c r="F63" s="103">
        <v>1365</v>
      </c>
      <c r="G63" s="103">
        <v>397.1</v>
      </c>
      <c r="H63" s="103">
        <f t="shared" si="7"/>
        <v>29.091575091575095</v>
      </c>
      <c r="I63" s="104">
        <f>C63+F63-865</f>
        <v>5365</v>
      </c>
      <c r="J63" s="95">
        <f>D63+G63</f>
        <v>3605.2</v>
      </c>
      <c r="K63" s="105">
        <f t="shared" si="1"/>
        <v>67.19850885368126</v>
      </c>
    </row>
    <row r="64" spans="1:11" ht="45">
      <c r="A64" s="106" t="s">
        <v>170</v>
      </c>
      <c r="B64" s="110" t="s">
        <v>156</v>
      </c>
      <c r="C64" s="94">
        <v>1650</v>
      </c>
      <c r="D64" s="115">
        <v>1650</v>
      </c>
      <c r="E64" s="94">
        <f>D64/C64*100</f>
        <v>100</v>
      </c>
      <c r="F64" s="103">
        <v>1450</v>
      </c>
      <c r="G64" s="103">
        <v>1149.8</v>
      </c>
      <c r="H64" s="103">
        <f t="shared" si="7"/>
        <v>79.29655172413793</v>
      </c>
      <c r="I64" s="104">
        <f>C64+F64-1650</f>
        <v>1450</v>
      </c>
      <c r="J64" s="95">
        <f>D64+G64-1650</f>
        <v>1149.8000000000002</v>
      </c>
      <c r="K64" s="105">
        <f t="shared" si="1"/>
        <v>79.29655172413794</v>
      </c>
    </row>
    <row r="65" spans="1:11" ht="75">
      <c r="A65" s="106" t="s">
        <v>170</v>
      </c>
      <c r="B65" s="102" t="s">
        <v>172</v>
      </c>
      <c r="C65" s="94">
        <v>1500</v>
      </c>
      <c r="D65" s="94">
        <v>1456</v>
      </c>
      <c r="E65" s="94">
        <f t="shared" si="5"/>
        <v>97.06666666666666</v>
      </c>
      <c r="F65" s="94">
        <v>1500</v>
      </c>
      <c r="G65" s="103">
        <v>1256</v>
      </c>
      <c r="H65" s="103">
        <f t="shared" si="7"/>
        <v>83.73333333333333</v>
      </c>
      <c r="I65" s="104">
        <f>C65+F65-1500</f>
        <v>1500</v>
      </c>
      <c r="J65" s="95">
        <f>D65+G65-1456</f>
        <v>1256</v>
      </c>
      <c r="K65" s="105">
        <f t="shared" si="1"/>
        <v>83.73333333333333</v>
      </c>
    </row>
    <row r="66" spans="1:11" ht="75">
      <c r="A66" s="106" t="s">
        <v>170</v>
      </c>
      <c r="B66" s="102" t="s">
        <v>173</v>
      </c>
      <c r="C66" s="94">
        <v>0</v>
      </c>
      <c r="D66" s="94">
        <v>0</v>
      </c>
      <c r="E66" s="94">
        <v>0</v>
      </c>
      <c r="F66" s="94">
        <v>2067.2</v>
      </c>
      <c r="G66" s="103">
        <v>2065.6</v>
      </c>
      <c r="H66" s="103">
        <f t="shared" si="7"/>
        <v>99.92260061919505</v>
      </c>
      <c r="I66" s="104">
        <f>C66+F66</f>
        <v>2067.2</v>
      </c>
      <c r="J66" s="95">
        <f aca="true" t="shared" si="8" ref="I66:J69">D66+G66</f>
        <v>2065.6</v>
      </c>
      <c r="K66" s="105">
        <f t="shared" si="1"/>
        <v>99.92260061919505</v>
      </c>
    </row>
    <row r="67" spans="1:11" ht="30">
      <c r="A67" s="101" t="s">
        <v>170</v>
      </c>
      <c r="B67" s="102" t="s">
        <v>243</v>
      </c>
      <c r="C67" s="94">
        <v>6679</v>
      </c>
      <c r="D67" s="94">
        <v>0</v>
      </c>
      <c r="E67" s="94">
        <v>0</v>
      </c>
      <c r="F67" s="94">
        <f>6679+300</f>
        <v>6979</v>
      </c>
      <c r="G67" s="103">
        <v>0</v>
      </c>
      <c r="H67" s="103">
        <v>0</v>
      </c>
      <c r="I67" s="104">
        <f>C67+F67-6679</f>
        <v>6979</v>
      </c>
      <c r="J67" s="95">
        <f t="shared" si="8"/>
        <v>0</v>
      </c>
      <c r="K67" s="105">
        <f t="shared" si="1"/>
        <v>0</v>
      </c>
    </row>
    <row r="68" spans="1:11" ht="15">
      <c r="A68" s="101" t="s">
        <v>170</v>
      </c>
      <c r="B68" s="102" t="s">
        <v>174</v>
      </c>
      <c r="C68" s="94">
        <v>0</v>
      </c>
      <c r="D68" s="94">
        <v>0</v>
      </c>
      <c r="E68" s="111">
        <v>0</v>
      </c>
      <c r="F68" s="94">
        <v>47580</v>
      </c>
      <c r="G68" s="103">
        <v>23803.2</v>
      </c>
      <c r="H68" s="103">
        <f t="shared" si="7"/>
        <v>50.02774274905423</v>
      </c>
      <c r="I68" s="104">
        <f t="shared" si="8"/>
        <v>47580</v>
      </c>
      <c r="J68" s="95">
        <f t="shared" si="8"/>
        <v>23803.2</v>
      </c>
      <c r="K68" s="105">
        <f t="shared" si="1"/>
        <v>50.02774274905423</v>
      </c>
    </row>
    <row r="69" spans="1:11" ht="30">
      <c r="A69" s="106" t="s">
        <v>175</v>
      </c>
      <c r="B69" s="102" t="s">
        <v>176</v>
      </c>
      <c r="C69" s="94">
        <v>27.1</v>
      </c>
      <c r="D69" s="94">
        <v>0</v>
      </c>
      <c r="E69" s="94">
        <f>D69/C69*100</f>
        <v>0</v>
      </c>
      <c r="F69" s="94">
        <v>0</v>
      </c>
      <c r="G69" s="103">
        <v>0</v>
      </c>
      <c r="H69" s="103">
        <v>0</v>
      </c>
      <c r="I69" s="104">
        <f t="shared" si="8"/>
        <v>27.1</v>
      </c>
      <c r="J69" s="95">
        <f t="shared" si="8"/>
        <v>0</v>
      </c>
      <c r="K69" s="105">
        <f t="shared" si="1"/>
        <v>0</v>
      </c>
    </row>
    <row r="70" spans="1:11" ht="15">
      <c r="A70" s="117" t="s">
        <v>177</v>
      </c>
      <c r="B70" s="118" t="s">
        <v>178</v>
      </c>
      <c r="C70" s="114">
        <f aca="true" t="shared" si="9" ref="C70:H70">C71</f>
        <v>0</v>
      </c>
      <c r="D70" s="114">
        <f t="shared" si="9"/>
        <v>0</v>
      </c>
      <c r="E70" s="98">
        <v>0</v>
      </c>
      <c r="F70" s="114">
        <f t="shared" si="9"/>
        <v>0</v>
      </c>
      <c r="G70" s="114">
        <f t="shared" si="9"/>
        <v>0</v>
      </c>
      <c r="H70" s="99">
        <f t="shared" si="9"/>
        <v>0</v>
      </c>
      <c r="I70" s="114">
        <f t="shared" si="0"/>
        <v>0</v>
      </c>
      <c r="J70" s="114">
        <f t="shared" si="0"/>
        <v>0</v>
      </c>
      <c r="K70" s="100">
        <v>0</v>
      </c>
    </row>
    <row r="71" spans="1:11" ht="30">
      <c r="A71" s="106" t="s">
        <v>179</v>
      </c>
      <c r="B71" s="119" t="s">
        <v>180</v>
      </c>
      <c r="C71" s="112">
        <v>0</v>
      </c>
      <c r="D71" s="103">
        <v>0</v>
      </c>
      <c r="E71" s="94">
        <v>0</v>
      </c>
      <c r="F71" s="103">
        <v>0</v>
      </c>
      <c r="G71" s="103">
        <v>0</v>
      </c>
      <c r="H71" s="103">
        <v>0</v>
      </c>
      <c r="I71" s="104">
        <f t="shared" si="0"/>
        <v>0</v>
      </c>
      <c r="J71" s="95">
        <f t="shared" si="0"/>
        <v>0</v>
      </c>
      <c r="K71" s="105">
        <v>0</v>
      </c>
    </row>
    <row r="72" spans="1:11" ht="15">
      <c r="A72" s="96" t="s">
        <v>181</v>
      </c>
      <c r="B72" s="97" t="s">
        <v>182</v>
      </c>
      <c r="C72" s="98">
        <f>SUM(C73:C79)</f>
        <v>2118463.3000000003</v>
      </c>
      <c r="D72" s="98">
        <f>SUM(D73:D79)</f>
        <v>1330435.5</v>
      </c>
      <c r="E72" s="98">
        <f>D72/C72*100</f>
        <v>62.80191401002793</v>
      </c>
      <c r="F72" s="114">
        <f>F73+F75+F76+F78+F79</f>
        <v>0</v>
      </c>
      <c r="G72" s="114">
        <f>SUM(G73:G79)</f>
        <v>0</v>
      </c>
      <c r="H72" s="99">
        <v>0</v>
      </c>
      <c r="I72" s="98">
        <f>SUM(I73:I79)</f>
        <v>2118463.3000000003</v>
      </c>
      <c r="J72" s="98">
        <f>SUM(J73:J79)</f>
        <v>1330435.5</v>
      </c>
      <c r="K72" s="100">
        <f t="shared" si="1"/>
        <v>62.80191401002793</v>
      </c>
    </row>
    <row r="73" spans="1:11" ht="15">
      <c r="A73" s="101" t="s">
        <v>183</v>
      </c>
      <c r="B73" s="102" t="s">
        <v>184</v>
      </c>
      <c r="C73" s="94">
        <f>534188.1-C74</f>
        <v>350831.89999999997</v>
      </c>
      <c r="D73" s="94">
        <f>315875.3-D74</f>
        <v>274404.39999999997</v>
      </c>
      <c r="E73" s="94">
        <f t="shared" si="5"/>
        <v>78.21535042851006</v>
      </c>
      <c r="F73" s="103">
        <v>0</v>
      </c>
      <c r="G73" s="103">
        <v>0</v>
      </c>
      <c r="H73" s="103">
        <v>0</v>
      </c>
      <c r="I73" s="104">
        <f t="shared" si="0"/>
        <v>350831.89999999997</v>
      </c>
      <c r="J73" s="95">
        <f t="shared" si="0"/>
        <v>274404.39999999997</v>
      </c>
      <c r="K73" s="105">
        <f t="shared" si="1"/>
        <v>78.21535042851006</v>
      </c>
    </row>
    <row r="74" spans="1:11" ht="120">
      <c r="A74" s="101" t="s">
        <v>183</v>
      </c>
      <c r="B74" s="102" t="s">
        <v>185</v>
      </c>
      <c r="C74" s="94">
        <v>183356.2</v>
      </c>
      <c r="D74" s="94">
        <v>41470.9</v>
      </c>
      <c r="E74" s="94">
        <f t="shared" si="5"/>
        <v>22.617669868812726</v>
      </c>
      <c r="F74" s="103"/>
      <c r="G74" s="103"/>
      <c r="H74" s="103"/>
      <c r="I74" s="104">
        <f t="shared" si="0"/>
        <v>183356.2</v>
      </c>
      <c r="J74" s="95">
        <f t="shared" si="0"/>
        <v>41470.9</v>
      </c>
      <c r="K74" s="105">
        <f t="shared" si="1"/>
        <v>22.617669868812726</v>
      </c>
    </row>
    <row r="75" spans="1:11" ht="15">
      <c r="A75" s="101" t="s">
        <v>186</v>
      </c>
      <c r="B75" s="102" t="s">
        <v>187</v>
      </c>
      <c r="C75" s="94">
        <f>1488813.8-C76-C77</f>
        <v>1132984.6</v>
      </c>
      <c r="D75" s="94">
        <f>957552.9-D76-D77</f>
        <v>728273.3</v>
      </c>
      <c r="E75" s="94">
        <f t="shared" si="5"/>
        <v>64.2791879077615</v>
      </c>
      <c r="F75" s="103">
        <v>0</v>
      </c>
      <c r="G75" s="103">
        <v>0</v>
      </c>
      <c r="H75" s="103">
        <v>0</v>
      </c>
      <c r="I75" s="104">
        <f t="shared" si="0"/>
        <v>1132984.6</v>
      </c>
      <c r="J75" s="95">
        <f t="shared" si="0"/>
        <v>728273.3</v>
      </c>
      <c r="K75" s="105">
        <f t="shared" si="1"/>
        <v>64.2791879077615</v>
      </c>
    </row>
    <row r="76" spans="1:11" ht="15">
      <c r="A76" s="101" t="s">
        <v>186</v>
      </c>
      <c r="B76" s="102" t="s">
        <v>188</v>
      </c>
      <c r="C76" s="94">
        <f>19373.8+23724.8</f>
        <v>43098.6</v>
      </c>
      <c r="D76" s="94">
        <v>19692.9</v>
      </c>
      <c r="E76" s="94">
        <f t="shared" si="5"/>
        <v>45.692667511241666</v>
      </c>
      <c r="F76" s="103">
        <v>0</v>
      </c>
      <c r="G76" s="103">
        <v>0</v>
      </c>
      <c r="H76" s="103">
        <v>0</v>
      </c>
      <c r="I76" s="104">
        <f t="shared" si="0"/>
        <v>43098.6</v>
      </c>
      <c r="J76" s="95">
        <f t="shared" si="0"/>
        <v>19692.9</v>
      </c>
      <c r="K76" s="105">
        <f t="shared" si="1"/>
        <v>45.692667511241666</v>
      </c>
    </row>
    <row r="77" spans="1:11" ht="120">
      <c r="A77" s="101" t="s">
        <v>186</v>
      </c>
      <c r="B77" s="102" t="s">
        <v>189</v>
      </c>
      <c r="C77" s="94">
        <v>312730.6</v>
      </c>
      <c r="D77" s="94">
        <v>209586.7</v>
      </c>
      <c r="E77" s="94">
        <f t="shared" si="5"/>
        <v>67.0182898635439</v>
      </c>
      <c r="F77" s="103">
        <v>0</v>
      </c>
      <c r="G77" s="103">
        <v>0</v>
      </c>
      <c r="H77" s="103">
        <v>0</v>
      </c>
      <c r="I77" s="104">
        <f t="shared" si="0"/>
        <v>312730.6</v>
      </c>
      <c r="J77" s="95">
        <f t="shared" si="0"/>
        <v>209586.7</v>
      </c>
      <c r="K77" s="105">
        <f t="shared" si="1"/>
        <v>67.0182898635439</v>
      </c>
    </row>
    <row r="78" spans="1:11" ht="15">
      <c r="A78" s="101" t="s">
        <v>190</v>
      </c>
      <c r="B78" s="102" t="s">
        <v>191</v>
      </c>
      <c r="C78" s="94">
        <v>22838.8</v>
      </c>
      <c r="D78" s="94">
        <v>21207.1</v>
      </c>
      <c r="E78" s="94">
        <f t="shared" si="5"/>
        <v>92.85557910222954</v>
      </c>
      <c r="F78" s="103">
        <v>0</v>
      </c>
      <c r="G78" s="103">
        <v>0</v>
      </c>
      <c r="H78" s="103">
        <v>0</v>
      </c>
      <c r="I78" s="104">
        <f t="shared" si="0"/>
        <v>22838.8</v>
      </c>
      <c r="J78" s="95">
        <f t="shared" si="0"/>
        <v>21207.1</v>
      </c>
      <c r="K78" s="105">
        <f t="shared" si="1"/>
        <v>92.85557910222954</v>
      </c>
    </row>
    <row r="79" spans="1:11" ht="15">
      <c r="A79" s="101" t="s">
        <v>192</v>
      </c>
      <c r="B79" s="102" t="s">
        <v>193</v>
      </c>
      <c r="C79" s="94">
        <v>72622.6</v>
      </c>
      <c r="D79" s="94">
        <v>35800.2</v>
      </c>
      <c r="E79" s="94">
        <f t="shared" si="5"/>
        <v>49.29622459124294</v>
      </c>
      <c r="F79" s="103">
        <v>0</v>
      </c>
      <c r="G79" s="103">
        <v>0</v>
      </c>
      <c r="H79" s="103">
        <v>0</v>
      </c>
      <c r="I79" s="104">
        <f t="shared" si="0"/>
        <v>72622.6</v>
      </c>
      <c r="J79" s="95">
        <f t="shared" si="0"/>
        <v>35800.2</v>
      </c>
      <c r="K79" s="105">
        <f t="shared" si="1"/>
        <v>49.29622459124294</v>
      </c>
    </row>
    <row r="80" spans="1:11" ht="15">
      <c r="A80" s="96" t="s">
        <v>194</v>
      </c>
      <c r="B80" s="97" t="s">
        <v>195</v>
      </c>
      <c r="C80" s="98">
        <f>SUM(C81:C85)</f>
        <v>276338.1000000001</v>
      </c>
      <c r="D80" s="98">
        <f>SUM(D81:D85)</f>
        <v>172001.3</v>
      </c>
      <c r="E80" s="98">
        <f>D80/C80*100</f>
        <v>62.24306384099765</v>
      </c>
      <c r="F80" s="114">
        <f>SUM(F81:F85)</f>
        <v>92531.8</v>
      </c>
      <c r="G80" s="114">
        <f>SUM(G81:G85)</f>
        <v>62079.6</v>
      </c>
      <c r="H80" s="99">
        <f>G80/F80*100</f>
        <v>67.09001662131288</v>
      </c>
      <c r="I80" s="114">
        <f>SUM(I81:I85)</f>
        <v>367879.2</v>
      </c>
      <c r="J80" s="114">
        <f>SUM(J81:J85)</f>
        <v>233090.19999999998</v>
      </c>
      <c r="K80" s="100">
        <f t="shared" si="1"/>
        <v>63.36052704257267</v>
      </c>
    </row>
    <row r="81" spans="1:11" ht="15">
      <c r="A81" s="101" t="s">
        <v>196</v>
      </c>
      <c r="B81" s="102" t="s">
        <v>197</v>
      </c>
      <c r="C81" s="94">
        <f>268538.7-C82-C83</f>
        <v>105809.80000000002</v>
      </c>
      <c r="D81" s="94">
        <f>166614.4-D82-D83</f>
        <v>29758.599999999988</v>
      </c>
      <c r="E81" s="94">
        <f t="shared" si="5"/>
        <v>28.12461605635771</v>
      </c>
      <c r="F81" s="103">
        <f>92135.6-F83</f>
        <v>91667.70000000001</v>
      </c>
      <c r="G81" s="103">
        <f>61993.1-G82-G83</f>
        <v>61547.7</v>
      </c>
      <c r="H81" s="103">
        <f>G81/F81*100</f>
        <v>67.1421885789651</v>
      </c>
      <c r="I81" s="104">
        <f>C81+F81-498</f>
        <v>196979.50000000003</v>
      </c>
      <c r="J81" s="95">
        <f>D81+G81-498</f>
        <v>90808.29999999999</v>
      </c>
      <c r="K81" s="105">
        <f t="shared" si="1"/>
        <v>46.100381004114624</v>
      </c>
    </row>
    <row r="82" spans="1:11" ht="90">
      <c r="A82" s="120" t="s">
        <v>196</v>
      </c>
      <c r="B82" s="121" t="s">
        <v>198</v>
      </c>
      <c r="C82" s="94">
        <v>161341</v>
      </c>
      <c r="D82" s="94">
        <v>135583.6</v>
      </c>
      <c r="E82" s="94">
        <f t="shared" si="5"/>
        <v>84.03542806850088</v>
      </c>
      <c r="F82" s="103">
        <v>0</v>
      </c>
      <c r="G82" s="103">
        <v>0</v>
      </c>
      <c r="H82" s="103">
        <v>0</v>
      </c>
      <c r="I82" s="104">
        <f aca="true" t="shared" si="10" ref="I82:J94">C82+F82</f>
        <v>161341</v>
      </c>
      <c r="J82" s="95">
        <f t="shared" si="10"/>
        <v>135583.6</v>
      </c>
      <c r="K82" s="105">
        <f>J82/I82*100</f>
        <v>84.03542806850088</v>
      </c>
    </row>
    <row r="83" spans="1:11" ht="15">
      <c r="A83" s="120" t="s">
        <v>196</v>
      </c>
      <c r="B83" s="121" t="s">
        <v>199</v>
      </c>
      <c r="C83" s="94">
        <v>1387.9</v>
      </c>
      <c r="D83" s="94">
        <v>1272.2</v>
      </c>
      <c r="E83" s="94">
        <f t="shared" si="5"/>
        <v>91.66366452914475</v>
      </c>
      <c r="F83" s="103">
        <v>467.9</v>
      </c>
      <c r="G83" s="103">
        <v>445.4</v>
      </c>
      <c r="H83" s="103">
        <f>G83/F83*100</f>
        <v>95.19128018807437</v>
      </c>
      <c r="I83" s="104">
        <f>C83+F83-397.7</f>
        <v>1458.1000000000001</v>
      </c>
      <c r="J83" s="95">
        <f>D83+G83-397.7</f>
        <v>1319.8999999999999</v>
      </c>
      <c r="K83" s="105">
        <f>J83/I83*100</f>
        <v>90.52191207736094</v>
      </c>
    </row>
    <row r="84" spans="1:11" ht="15">
      <c r="A84" s="101" t="s">
        <v>200</v>
      </c>
      <c r="B84" s="102" t="s">
        <v>201</v>
      </c>
      <c r="C84" s="94">
        <v>267</v>
      </c>
      <c r="D84" s="94">
        <v>60</v>
      </c>
      <c r="E84" s="94">
        <f t="shared" si="5"/>
        <v>22.47191011235955</v>
      </c>
      <c r="F84" s="103">
        <v>301.2</v>
      </c>
      <c r="G84" s="103">
        <v>86.5</v>
      </c>
      <c r="H84" s="103">
        <f>G84/F84*100</f>
        <v>28.71845949535193</v>
      </c>
      <c r="I84" s="104">
        <f t="shared" si="10"/>
        <v>568.2</v>
      </c>
      <c r="J84" s="95">
        <f t="shared" si="10"/>
        <v>146.5</v>
      </c>
      <c r="K84" s="105">
        <f aca="true" t="shared" si="11" ref="K84:K108">J84/I84*100</f>
        <v>25.78317493840197</v>
      </c>
    </row>
    <row r="85" spans="1:11" ht="30">
      <c r="A85" s="101" t="s">
        <v>202</v>
      </c>
      <c r="B85" s="102" t="s">
        <v>203</v>
      </c>
      <c r="C85" s="94">
        <v>7532.4</v>
      </c>
      <c r="D85" s="94">
        <v>5326.9</v>
      </c>
      <c r="E85" s="94">
        <f t="shared" si="5"/>
        <v>70.71982369497107</v>
      </c>
      <c r="F85" s="103">
        <v>95</v>
      </c>
      <c r="G85" s="103">
        <v>0</v>
      </c>
      <c r="H85" s="103">
        <f>G85/F85*100</f>
        <v>0</v>
      </c>
      <c r="I85" s="104">
        <f>C85+F85-95</f>
        <v>7532.4</v>
      </c>
      <c r="J85" s="95">
        <f>D85+G85-95</f>
        <v>5231.9</v>
      </c>
      <c r="K85" s="105">
        <f t="shared" si="11"/>
        <v>69.45860549094579</v>
      </c>
    </row>
    <row r="86" spans="1:11" ht="15">
      <c r="A86" s="96" t="s">
        <v>204</v>
      </c>
      <c r="B86" s="97" t="s">
        <v>205</v>
      </c>
      <c r="C86" s="98">
        <f>C87</f>
        <v>139148.8</v>
      </c>
      <c r="D86" s="98">
        <f>D87</f>
        <v>69708.4</v>
      </c>
      <c r="E86" s="98">
        <f>D86/C86*100</f>
        <v>50.09629978842792</v>
      </c>
      <c r="F86" s="114">
        <v>0</v>
      </c>
      <c r="G86" s="114">
        <v>0</v>
      </c>
      <c r="H86" s="99"/>
      <c r="I86" s="114">
        <f>C86+F86</f>
        <v>139148.8</v>
      </c>
      <c r="J86" s="114">
        <f t="shared" si="10"/>
        <v>69708.4</v>
      </c>
      <c r="K86" s="100">
        <f t="shared" si="11"/>
        <v>50.09629978842792</v>
      </c>
    </row>
    <row r="87" spans="1:11" ht="45">
      <c r="A87" s="106" t="s">
        <v>206</v>
      </c>
      <c r="B87" s="121" t="s">
        <v>207</v>
      </c>
      <c r="C87" s="94">
        <v>139148.8</v>
      </c>
      <c r="D87" s="103">
        <v>69708.4</v>
      </c>
      <c r="E87" s="94">
        <f t="shared" si="5"/>
        <v>50.09629978842792</v>
      </c>
      <c r="F87" s="103">
        <v>0</v>
      </c>
      <c r="G87" s="103">
        <v>0</v>
      </c>
      <c r="H87" s="103">
        <v>0</v>
      </c>
      <c r="I87" s="104">
        <f t="shared" si="10"/>
        <v>139148.8</v>
      </c>
      <c r="J87" s="95">
        <f t="shared" si="10"/>
        <v>69708.4</v>
      </c>
      <c r="K87" s="105">
        <f t="shared" si="11"/>
        <v>50.09629978842792</v>
      </c>
    </row>
    <row r="88" spans="1:11" ht="15">
      <c r="A88" s="96">
        <v>10</v>
      </c>
      <c r="B88" s="97" t="s">
        <v>208</v>
      </c>
      <c r="C88" s="98">
        <f>SUM(C89:C96)</f>
        <v>114831.49999999999</v>
      </c>
      <c r="D88" s="98">
        <f>SUM(D89:D96)</f>
        <v>63540.5</v>
      </c>
      <c r="E88" s="98">
        <f>D88/C88*100</f>
        <v>55.33368457261292</v>
      </c>
      <c r="F88" s="98">
        <f>SUM(F89:F93)</f>
        <v>432.9</v>
      </c>
      <c r="G88" s="98">
        <f>SUM(G89:G93)</f>
        <v>263.2</v>
      </c>
      <c r="H88" s="99">
        <f>G88/F88*100</f>
        <v>60.7992607992608</v>
      </c>
      <c r="I88" s="98">
        <f>SUM(I89:I96)</f>
        <v>115264.40000000001</v>
      </c>
      <c r="J88" s="98">
        <f>SUM(J89:J96)</f>
        <v>63803.7</v>
      </c>
      <c r="K88" s="100">
        <f t="shared" si="11"/>
        <v>55.35421170803821</v>
      </c>
    </row>
    <row r="89" spans="1:11" ht="15">
      <c r="A89" s="106">
        <v>1001</v>
      </c>
      <c r="B89" s="102" t="s">
        <v>209</v>
      </c>
      <c r="C89" s="94">
        <v>3180</v>
      </c>
      <c r="D89" s="94">
        <v>2348.3</v>
      </c>
      <c r="E89" s="94">
        <f t="shared" si="5"/>
        <v>73.84591194968554</v>
      </c>
      <c r="F89" s="103">
        <v>432.9</v>
      </c>
      <c r="G89" s="103">
        <v>263.2</v>
      </c>
      <c r="H89" s="103">
        <f>G89/F89*100</f>
        <v>60.7992607992608</v>
      </c>
      <c r="I89" s="104">
        <f t="shared" si="10"/>
        <v>3612.9</v>
      </c>
      <c r="J89" s="95">
        <f t="shared" si="10"/>
        <v>2611.5</v>
      </c>
      <c r="K89" s="105">
        <f t="shared" si="11"/>
        <v>72.28265382379806</v>
      </c>
    </row>
    <row r="90" spans="1:11" ht="75">
      <c r="A90" s="106">
        <v>1003</v>
      </c>
      <c r="B90" s="102" t="s">
        <v>210</v>
      </c>
      <c r="C90" s="94">
        <v>3038.7</v>
      </c>
      <c r="D90" s="94">
        <v>2279</v>
      </c>
      <c r="E90" s="94">
        <f t="shared" si="5"/>
        <v>74.9991772797578</v>
      </c>
      <c r="F90" s="103">
        <v>0</v>
      </c>
      <c r="G90" s="103">
        <v>0</v>
      </c>
      <c r="H90" s="103">
        <v>0</v>
      </c>
      <c r="I90" s="104">
        <f t="shared" si="10"/>
        <v>3038.7</v>
      </c>
      <c r="J90" s="95">
        <f t="shared" si="10"/>
        <v>2279</v>
      </c>
      <c r="K90" s="105">
        <f t="shared" si="11"/>
        <v>74.9991772797578</v>
      </c>
    </row>
    <row r="91" spans="1:11" ht="180">
      <c r="A91" s="106" t="s">
        <v>211</v>
      </c>
      <c r="B91" s="102" t="s">
        <v>212</v>
      </c>
      <c r="C91" s="94">
        <f>2416+332.7+144.7</f>
        <v>2893.3999999999996</v>
      </c>
      <c r="D91" s="94">
        <v>1298.1</v>
      </c>
      <c r="E91" s="94">
        <f t="shared" si="5"/>
        <v>44.86417363655216</v>
      </c>
      <c r="F91" s="103"/>
      <c r="G91" s="103"/>
      <c r="H91" s="103"/>
      <c r="I91" s="104">
        <f t="shared" si="10"/>
        <v>2893.3999999999996</v>
      </c>
      <c r="J91" s="95">
        <f t="shared" si="10"/>
        <v>1298.1</v>
      </c>
      <c r="K91" s="105">
        <f t="shared" si="11"/>
        <v>44.86417363655216</v>
      </c>
    </row>
    <row r="92" spans="1:11" ht="75">
      <c r="A92" s="106">
        <v>1004</v>
      </c>
      <c r="B92" s="102" t="s">
        <v>213</v>
      </c>
      <c r="C92" s="94">
        <v>18704</v>
      </c>
      <c r="D92" s="94">
        <v>10177.5</v>
      </c>
      <c r="E92" s="94">
        <f t="shared" si="5"/>
        <v>54.413494439692045</v>
      </c>
      <c r="F92" s="103">
        <v>0</v>
      </c>
      <c r="G92" s="103">
        <v>0</v>
      </c>
      <c r="H92" s="103">
        <v>0</v>
      </c>
      <c r="I92" s="104">
        <f t="shared" si="10"/>
        <v>18704</v>
      </c>
      <c r="J92" s="95">
        <f t="shared" si="10"/>
        <v>10177.5</v>
      </c>
      <c r="K92" s="105">
        <f t="shared" si="11"/>
        <v>54.413494439692045</v>
      </c>
    </row>
    <row r="93" spans="1:11" ht="165">
      <c r="A93" s="106">
        <v>1004</v>
      </c>
      <c r="B93" s="102" t="s">
        <v>214</v>
      </c>
      <c r="C93" s="94">
        <v>46326.2</v>
      </c>
      <c r="D93" s="94">
        <v>34409.5</v>
      </c>
      <c r="E93" s="94">
        <f aca="true" t="shared" si="12" ref="E93:E107">D93/C93*100</f>
        <v>74.2765432951548</v>
      </c>
      <c r="F93" s="103">
        <v>0</v>
      </c>
      <c r="G93" s="103">
        <v>0</v>
      </c>
      <c r="H93" s="103">
        <v>0</v>
      </c>
      <c r="I93" s="104">
        <f t="shared" si="10"/>
        <v>46326.2</v>
      </c>
      <c r="J93" s="95">
        <f t="shared" si="10"/>
        <v>34409.5</v>
      </c>
      <c r="K93" s="105">
        <f t="shared" si="11"/>
        <v>74.2765432951548</v>
      </c>
    </row>
    <row r="94" spans="1:11" ht="75">
      <c r="A94" s="106">
        <v>1004</v>
      </c>
      <c r="B94" s="102" t="s">
        <v>215</v>
      </c>
      <c r="C94" s="94">
        <v>233.3</v>
      </c>
      <c r="D94" s="94"/>
      <c r="E94" s="94"/>
      <c r="F94" s="103"/>
      <c r="G94" s="103"/>
      <c r="H94" s="103"/>
      <c r="I94" s="104">
        <f t="shared" si="10"/>
        <v>233.3</v>
      </c>
      <c r="J94" s="95">
        <f t="shared" si="10"/>
        <v>0</v>
      </c>
      <c r="K94" s="105">
        <f t="shared" si="11"/>
        <v>0</v>
      </c>
    </row>
    <row r="95" spans="1:11" ht="150">
      <c r="A95" s="106" t="s">
        <v>216</v>
      </c>
      <c r="B95" s="102" t="s">
        <v>217</v>
      </c>
      <c r="C95" s="94">
        <v>23690.1</v>
      </c>
      <c r="D95" s="94">
        <v>4528.1</v>
      </c>
      <c r="E95" s="94">
        <f>D95/C95*100</f>
        <v>19.113891456768865</v>
      </c>
      <c r="F95" s="103">
        <v>0</v>
      </c>
      <c r="G95" s="103">
        <v>0</v>
      </c>
      <c r="H95" s="103">
        <v>0</v>
      </c>
      <c r="I95" s="104">
        <f>C95+F95</f>
        <v>23690.1</v>
      </c>
      <c r="J95" s="95">
        <f>D95+G95</f>
        <v>4528.1</v>
      </c>
      <c r="K95" s="105">
        <f>J95/I95*100</f>
        <v>19.113891456768865</v>
      </c>
    </row>
    <row r="96" spans="1:11" ht="30">
      <c r="A96" s="106">
        <v>1006</v>
      </c>
      <c r="B96" s="102" t="s">
        <v>218</v>
      </c>
      <c r="C96" s="94">
        <v>16765.8</v>
      </c>
      <c r="D96" s="94">
        <v>8500</v>
      </c>
      <c r="E96" s="94">
        <f t="shared" si="12"/>
        <v>50.698445645301746</v>
      </c>
      <c r="F96" s="103">
        <v>0</v>
      </c>
      <c r="G96" s="103">
        <v>0</v>
      </c>
      <c r="H96" s="103">
        <v>0</v>
      </c>
      <c r="I96" s="104">
        <f>C96+F96</f>
        <v>16765.8</v>
      </c>
      <c r="J96" s="95">
        <f>D96+G96</f>
        <v>8500</v>
      </c>
      <c r="K96" s="105">
        <f t="shared" si="11"/>
        <v>50.698445645301746</v>
      </c>
    </row>
    <row r="97" spans="1:11" ht="15">
      <c r="A97" s="117">
        <v>1100</v>
      </c>
      <c r="B97" s="97" t="s">
        <v>219</v>
      </c>
      <c r="C97" s="98">
        <f>SUM(C98:C99)</f>
        <v>197595.4</v>
      </c>
      <c r="D97" s="98">
        <f>SUM(D98:D99)</f>
        <v>135874.2</v>
      </c>
      <c r="E97" s="98">
        <f>D97/C97*100</f>
        <v>68.7638477413948</v>
      </c>
      <c r="F97" s="114">
        <f>F98+F99</f>
        <v>31831.8</v>
      </c>
      <c r="G97" s="114">
        <f>G98+G99</f>
        <v>19088.7</v>
      </c>
      <c r="H97" s="99">
        <f>G97/F97*100</f>
        <v>59.967391099466575</v>
      </c>
      <c r="I97" s="114">
        <f>SUM(I98:I99)</f>
        <v>228182.7</v>
      </c>
      <c r="J97" s="114">
        <f>SUM(J98:J99)</f>
        <v>153718.4</v>
      </c>
      <c r="K97" s="100">
        <f t="shared" si="11"/>
        <v>67.36636914192005</v>
      </c>
    </row>
    <row r="98" spans="1:11" ht="15">
      <c r="A98" s="106">
        <v>1101</v>
      </c>
      <c r="B98" s="102" t="s">
        <v>220</v>
      </c>
      <c r="C98" s="94">
        <v>18518.5</v>
      </c>
      <c r="D98" s="94">
        <v>12463.5</v>
      </c>
      <c r="E98" s="94">
        <f t="shared" si="12"/>
        <v>67.3029673029673</v>
      </c>
      <c r="F98" s="103">
        <v>31831.8</v>
      </c>
      <c r="G98" s="103">
        <v>19088.7</v>
      </c>
      <c r="H98" s="103">
        <f>G98/F98*100</f>
        <v>59.967391099466575</v>
      </c>
      <c r="I98" s="104">
        <f>C98+F98-1244.5</f>
        <v>49105.8</v>
      </c>
      <c r="J98" s="104">
        <f>D98+G98-1244.5</f>
        <v>30307.7</v>
      </c>
      <c r="K98" s="105">
        <f t="shared" si="11"/>
        <v>61.719185921011366</v>
      </c>
    </row>
    <row r="99" spans="1:11" ht="15">
      <c r="A99" s="106">
        <v>1102</v>
      </c>
      <c r="B99" s="102" t="s">
        <v>221</v>
      </c>
      <c r="C99" s="94">
        <v>179076.9</v>
      </c>
      <c r="D99" s="94">
        <v>123410.7</v>
      </c>
      <c r="E99" s="94">
        <f t="shared" si="12"/>
        <v>68.91491867460292</v>
      </c>
      <c r="F99" s="103"/>
      <c r="G99" s="103">
        <v>0</v>
      </c>
      <c r="H99" s="103"/>
      <c r="I99" s="104">
        <f>C99+F99</f>
        <v>179076.9</v>
      </c>
      <c r="J99" s="104">
        <f>D99+G99</f>
        <v>123410.7</v>
      </c>
      <c r="K99" s="105">
        <f t="shared" si="11"/>
        <v>68.91491867460292</v>
      </c>
    </row>
    <row r="100" spans="1:11" ht="15">
      <c r="A100" s="117">
        <v>1200</v>
      </c>
      <c r="B100" s="97" t="s">
        <v>222</v>
      </c>
      <c r="C100" s="98">
        <f>C101</f>
        <v>4500</v>
      </c>
      <c r="D100" s="98">
        <f>D101</f>
        <v>2256.3</v>
      </c>
      <c r="E100" s="122">
        <f>D100/C100*100</f>
        <v>50.14000000000001</v>
      </c>
      <c r="F100" s="98">
        <f>F101</f>
        <v>0</v>
      </c>
      <c r="G100" s="98">
        <f>G101</f>
        <v>0</v>
      </c>
      <c r="H100" s="123"/>
      <c r="I100" s="98">
        <f aca="true" t="shared" si="13" ref="I100:J103">C100+F100</f>
        <v>4500</v>
      </c>
      <c r="J100" s="98">
        <f t="shared" si="13"/>
        <v>2256.3</v>
      </c>
      <c r="K100" s="108">
        <f t="shared" si="11"/>
        <v>50.14000000000001</v>
      </c>
    </row>
    <row r="101" spans="1:11" ht="15">
      <c r="A101" s="106" t="s">
        <v>223</v>
      </c>
      <c r="B101" s="102" t="s">
        <v>224</v>
      </c>
      <c r="C101" s="94">
        <v>4500</v>
      </c>
      <c r="D101" s="94">
        <v>2256.3</v>
      </c>
      <c r="E101" s="94">
        <f>D101/C101*100</f>
        <v>50.14000000000001</v>
      </c>
      <c r="F101" s="103">
        <v>0</v>
      </c>
      <c r="G101" s="103">
        <v>0</v>
      </c>
      <c r="H101" s="103">
        <v>0</v>
      </c>
      <c r="I101" s="104">
        <f t="shared" si="13"/>
        <v>4500</v>
      </c>
      <c r="J101" s="104">
        <f t="shared" si="13"/>
        <v>2256.3</v>
      </c>
      <c r="K101" s="105">
        <f>J101/I101*100</f>
        <v>50.14000000000001</v>
      </c>
    </row>
    <row r="102" spans="1:11" ht="28.5">
      <c r="A102" s="117">
        <v>1300</v>
      </c>
      <c r="B102" s="97" t="s">
        <v>225</v>
      </c>
      <c r="C102" s="98">
        <f aca="true" t="shared" si="14" ref="C102:H102">C103</f>
        <v>15</v>
      </c>
      <c r="D102" s="98">
        <f t="shared" si="14"/>
        <v>3.7</v>
      </c>
      <c r="E102" s="98">
        <f t="shared" si="14"/>
        <v>24.666666666666668</v>
      </c>
      <c r="F102" s="98">
        <f t="shared" si="14"/>
        <v>0</v>
      </c>
      <c r="G102" s="98">
        <f t="shared" si="14"/>
        <v>0</v>
      </c>
      <c r="H102" s="107">
        <f t="shared" si="14"/>
        <v>0</v>
      </c>
      <c r="I102" s="98">
        <f t="shared" si="13"/>
        <v>15</v>
      </c>
      <c r="J102" s="98">
        <f t="shared" si="13"/>
        <v>3.7</v>
      </c>
      <c r="K102" s="108">
        <f t="shared" si="11"/>
        <v>24.666666666666668</v>
      </c>
    </row>
    <row r="103" spans="1:11" ht="30">
      <c r="A103" s="106">
        <v>1301</v>
      </c>
      <c r="B103" s="102" t="s">
        <v>226</v>
      </c>
      <c r="C103" s="94">
        <v>15</v>
      </c>
      <c r="D103" s="94">
        <v>3.7</v>
      </c>
      <c r="E103" s="94">
        <f t="shared" si="12"/>
        <v>24.666666666666668</v>
      </c>
      <c r="F103" s="103"/>
      <c r="G103" s="103">
        <v>0</v>
      </c>
      <c r="H103" s="103">
        <v>0</v>
      </c>
      <c r="I103" s="104">
        <f t="shared" si="13"/>
        <v>15</v>
      </c>
      <c r="J103" s="104">
        <f t="shared" si="13"/>
        <v>3.7</v>
      </c>
      <c r="K103" s="105">
        <f t="shared" si="11"/>
        <v>24.666666666666668</v>
      </c>
    </row>
    <row r="104" spans="1:11" ht="14.25">
      <c r="A104" s="117">
        <v>1400</v>
      </c>
      <c r="B104" s="97" t="s">
        <v>227</v>
      </c>
      <c r="C104" s="98">
        <f>SUM(C105:C107)</f>
        <v>287835.5</v>
      </c>
      <c r="D104" s="98">
        <f>SUM(D105:D107)</f>
        <v>196022.1</v>
      </c>
      <c r="E104" s="98">
        <f>D104/C104*100</f>
        <v>68.10212777784534</v>
      </c>
      <c r="F104" s="114">
        <f>F105+F106+F107</f>
        <v>0</v>
      </c>
      <c r="G104" s="114">
        <f>SUM(G105:G107)</f>
        <v>0</v>
      </c>
      <c r="H104" s="114"/>
      <c r="I104" s="114">
        <v>0</v>
      </c>
      <c r="J104" s="114">
        <v>0</v>
      </c>
      <c r="K104" s="100">
        <v>0</v>
      </c>
    </row>
    <row r="105" spans="1:11" ht="45">
      <c r="A105" s="106">
        <v>1401</v>
      </c>
      <c r="B105" s="102" t="s">
        <v>228</v>
      </c>
      <c r="C105" s="94">
        <v>132924.2</v>
      </c>
      <c r="D105" s="94">
        <v>93047.1</v>
      </c>
      <c r="E105" s="94">
        <f t="shared" si="12"/>
        <v>70.00012036935335</v>
      </c>
      <c r="F105" s="103">
        <v>0</v>
      </c>
      <c r="G105" s="103">
        <v>0</v>
      </c>
      <c r="H105" s="103">
        <v>0</v>
      </c>
      <c r="I105" s="104">
        <v>0</v>
      </c>
      <c r="J105" s="95">
        <v>0</v>
      </c>
      <c r="K105" s="105">
        <v>0</v>
      </c>
    </row>
    <row r="106" spans="1:11" ht="15">
      <c r="A106" s="106">
        <v>1402</v>
      </c>
      <c r="B106" s="102" t="s">
        <v>229</v>
      </c>
      <c r="C106" s="94">
        <v>125229.3</v>
      </c>
      <c r="D106" s="94">
        <v>86671.4</v>
      </c>
      <c r="E106" s="94">
        <f t="shared" si="12"/>
        <v>69.21016088088011</v>
      </c>
      <c r="F106" s="103">
        <v>0</v>
      </c>
      <c r="G106" s="103">
        <v>0</v>
      </c>
      <c r="H106" s="103">
        <v>0</v>
      </c>
      <c r="I106" s="104">
        <v>0</v>
      </c>
      <c r="J106" s="95">
        <v>0</v>
      </c>
      <c r="K106" s="105">
        <v>0</v>
      </c>
    </row>
    <row r="107" spans="1:11" ht="15" customHeight="1">
      <c r="A107" s="106">
        <v>1403</v>
      </c>
      <c r="B107" s="102" t="s">
        <v>230</v>
      </c>
      <c r="C107" s="94">
        <v>29682</v>
      </c>
      <c r="D107" s="94">
        <v>16303.6</v>
      </c>
      <c r="E107" s="94">
        <f t="shared" si="12"/>
        <v>54.92756552792939</v>
      </c>
      <c r="F107" s="103">
        <v>0</v>
      </c>
      <c r="G107" s="103">
        <v>0</v>
      </c>
      <c r="H107" s="103">
        <v>0</v>
      </c>
      <c r="I107" s="104">
        <v>0</v>
      </c>
      <c r="J107" s="95">
        <v>0</v>
      </c>
      <c r="K107" s="105">
        <v>0</v>
      </c>
    </row>
    <row r="108" spans="1:11" ht="15" thickBot="1">
      <c r="A108" s="176" t="s">
        <v>231</v>
      </c>
      <c r="B108" s="177"/>
      <c r="C108" s="124">
        <f>C9+C18+C20+C25+C46+C70+C72+C80+C86+C88+C97+C100+C102+C104</f>
        <v>3978639.6</v>
      </c>
      <c r="D108" s="124">
        <f>D104+D102+D100+D97+D88+D86+D80+D72+D70+D46+D25+D20+D18+D9</f>
        <v>2549049</v>
      </c>
      <c r="E108" s="124">
        <f>D108/C108*100</f>
        <v>64.06835643017277</v>
      </c>
      <c r="F108" s="124">
        <f>F9+F18+F20+F25+F46+F70+F72+F80+F86+F88+F97+F100+F102+F104</f>
        <v>573438.6000000001</v>
      </c>
      <c r="G108" s="124">
        <f>G104+G102+G100+G88+G86+G80+G72+G46+G25+G21+G18+G9+G20+G97</f>
        <v>345605.9</v>
      </c>
      <c r="H108" s="125">
        <f>G108/F108*100</f>
        <v>60.2690331623996</v>
      </c>
      <c r="I108" s="124">
        <f>I104+I102+I100+I97+I88+I86+I80+I72+I70+I46+I25+I20+I18+I9</f>
        <v>4140288</v>
      </c>
      <c r="J108" s="124">
        <f>J104+J102+J100+J97+J88+J86+J80+J72+J70+J46+J25+J20+J18+J9</f>
        <v>2622002.9000000004</v>
      </c>
      <c r="K108" s="126">
        <f t="shared" si="11"/>
        <v>63.328997886137394</v>
      </c>
    </row>
    <row r="109" spans="1:11" ht="12.75">
      <c r="A109" s="127"/>
      <c r="B109" s="128"/>
      <c r="C109" s="129"/>
      <c r="D109" s="88"/>
      <c r="E109" s="130"/>
      <c r="F109" s="90"/>
      <c r="G109" s="91"/>
      <c r="H109" s="91"/>
      <c r="I109" s="93"/>
      <c r="J109" s="93"/>
      <c r="K109" s="93"/>
    </row>
    <row r="110" spans="1:11" ht="12.75">
      <c r="A110" s="131"/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</row>
    <row r="111" spans="1:11" ht="12.75" customHeight="1">
      <c r="A111" s="131"/>
      <c r="B111" s="132"/>
      <c r="C111" s="133"/>
      <c r="D111" s="134"/>
      <c r="E111" s="130"/>
      <c r="F111" s="90"/>
      <c r="G111" s="91"/>
      <c r="H111" s="91"/>
      <c r="I111" s="92"/>
      <c r="J111" s="92"/>
      <c r="K111" s="93"/>
    </row>
    <row r="112" spans="1:11" ht="12.75" customHeight="1">
      <c r="A112" s="178" t="s">
        <v>232</v>
      </c>
      <c r="B112" s="178"/>
      <c r="C112" s="178"/>
      <c r="D112" s="135"/>
      <c r="E112" s="136"/>
      <c r="F112" s="136"/>
      <c r="G112" s="91"/>
      <c r="H112" s="91"/>
      <c r="I112" s="93"/>
      <c r="J112" s="93"/>
      <c r="K112" s="93"/>
    </row>
    <row r="113" spans="1:11" ht="12.75">
      <c r="A113" s="178" t="s">
        <v>233</v>
      </c>
      <c r="B113" s="178"/>
      <c r="C113" s="178"/>
      <c r="D113" s="137"/>
      <c r="E113" s="179" t="s">
        <v>234</v>
      </c>
      <c r="F113" s="179"/>
      <c r="G113" s="91"/>
      <c r="H113" s="91"/>
      <c r="I113" s="92"/>
      <c r="J113" s="93"/>
      <c r="K113" s="93"/>
    </row>
    <row r="114" spans="1:11" ht="12.75" customHeight="1">
      <c r="A114" s="138"/>
      <c r="B114" s="139"/>
      <c r="C114" s="140"/>
      <c r="D114" s="141"/>
      <c r="E114" s="142"/>
      <c r="F114" s="143"/>
      <c r="G114" s="91"/>
      <c r="H114" s="91"/>
      <c r="I114" s="92"/>
      <c r="J114" s="93"/>
      <c r="K114" s="93"/>
    </row>
    <row r="115" spans="1:11" ht="12.75">
      <c r="A115" s="178" t="s">
        <v>244</v>
      </c>
      <c r="B115" s="178"/>
      <c r="C115" s="178"/>
      <c r="D115" s="144"/>
      <c r="E115" s="179" t="s">
        <v>235</v>
      </c>
      <c r="F115" s="179"/>
      <c r="G115" s="91"/>
      <c r="H115" s="91"/>
      <c r="I115" s="92"/>
      <c r="J115" s="93"/>
      <c r="K115" s="93"/>
    </row>
    <row r="116" spans="1:11" ht="12.75" customHeight="1">
      <c r="A116" s="138"/>
      <c r="B116" s="145"/>
      <c r="C116" s="146"/>
      <c r="D116" s="147"/>
      <c r="E116" s="142"/>
      <c r="F116" s="143"/>
      <c r="G116" s="91"/>
      <c r="H116" s="91"/>
      <c r="I116" s="92"/>
      <c r="J116" s="93"/>
      <c r="K116" s="93"/>
    </row>
    <row r="117" spans="1:11" ht="12.75">
      <c r="A117" s="178" t="s">
        <v>236</v>
      </c>
      <c r="B117" s="178"/>
      <c r="C117" s="178"/>
      <c r="D117" s="144"/>
      <c r="E117" s="180" t="s">
        <v>237</v>
      </c>
      <c r="F117" s="180"/>
      <c r="G117" s="91"/>
      <c r="H117" s="91"/>
      <c r="I117" s="92"/>
      <c r="J117" s="93"/>
      <c r="K117" s="93"/>
    </row>
    <row r="118" spans="1:11" ht="12.75">
      <c r="A118" s="148"/>
      <c r="B118" s="149"/>
      <c r="C118" s="150"/>
      <c r="D118" s="135"/>
      <c r="E118" s="135"/>
      <c r="F118" s="136"/>
      <c r="G118" s="91"/>
      <c r="H118" s="91"/>
      <c r="I118" s="93"/>
      <c r="J118" s="93"/>
      <c r="K118" s="93"/>
    </row>
    <row r="119" spans="1:6" ht="12.75">
      <c r="A119" s="151"/>
      <c r="B119" s="151"/>
      <c r="C119" s="152" t="s">
        <v>238</v>
      </c>
      <c r="D119" s="154"/>
      <c r="E119" s="153" t="s">
        <v>239</v>
      </c>
      <c r="F119" s="151"/>
    </row>
  </sheetData>
  <sheetProtection/>
  <mergeCells count="35"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E4:E5"/>
    <mergeCell ref="F4:F5"/>
    <mergeCell ref="G20:G21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A108:B108"/>
    <mergeCell ref="A113:C113"/>
    <mergeCell ref="E113:F113"/>
    <mergeCell ref="A115:C115"/>
    <mergeCell ref="E115:F115"/>
    <mergeCell ref="A117:C117"/>
    <mergeCell ref="E117:F117"/>
    <mergeCell ref="A112:C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2016-09-20T11:11:23Z</dcterms:modified>
  <cp:category/>
  <cp:version/>
  <cp:contentType/>
  <cp:contentStatus/>
</cp:coreProperties>
</file>