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7875" firstSheet="1" activeTab="1"/>
  </bookViews>
  <sheets>
    <sheet name="01.02.2013" sheetId="1" r:id="rId1"/>
    <sheet name="доходы" sheetId="2" r:id="rId2"/>
    <sheet name="расходы" sheetId="3" r:id="rId3"/>
  </sheets>
  <definedNames/>
  <calcPr fullCalcOnLoad="1"/>
</workbook>
</file>

<file path=xl/comments1.xml><?xml version="1.0" encoding="utf-8"?>
<comments xmlns="http://schemas.openxmlformats.org/spreadsheetml/2006/main">
  <authors>
    <author>Наташа</author>
  </authors>
  <commentList>
    <comment ref="B5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3510200
</t>
        </r>
      </text>
    </comment>
    <comment ref="B5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3510300
</t>
        </r>
      </text>
    </comment>
    <comment ref="B100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5201002
</t>
        </r>
      </text>
    </comment>
    <comment ref="B101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5050502 ф/б
</t>
        </r>
      </text>
    </comment>
    <comment ref="B10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5201300, 5201301
</t>
        </r>
      </text>
    </comment>
    <comment ref="B10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5140100
</t>
        </r>
      </text>
    </comment>
  </commentList>
</comments>
</file>

<file path=xl/comments3.xml><?xml version="1.0" encoding="utf-8"?>
<comments xmlns="http://schemas.openxmlformats.org/spreadsheetml/2006/main">
  <authors>
    <author>Мальгин Сергей Витальевич</author>
  </authors>
  <commentList>
    <comment ref="F87" authorId="0">
      <text>
        <r>
          <rPr>
            <b/>
            <sz val="8"/>
            <rFont val="Tahoma"/>
            <family val="2"/>
          </rPr>
          <t>Мальгин Сергей Витальевич:</t>
        </r>
        <r>
          <rPr>
            <sz val="8"/>
            <rFont val="Tahoma"/>
            <family val="2"/>
          </rPr>
          <t xml:space="preserve">
03.1.5644</t>
        </r>
      </text>
    </comment>
    <comment ref="F88" authorId="0">
      <text>
        <r>
          <rPr>
            <b/>
            <sz val="8"/>
            <rFont val="Tahoma"/>
            <family val="2"/>
          </rPr>
          <t>Мальгин Сергей Витальевич:</t>
        </r>
        <r>
          <rPr>
            <sz val="8"/>
            <rFont val="Tahoma"/>
            <family val="2"/>
          </rPr>
          <t xml:space="preserve">
40.7.2113 окружные</t>
        </r>
      </text>
    </comment>
  </commentList>
</comments>
</file>

<file path=xl/sharedStrings.xml><?xml version="1.0" encoding="utf-8"?>
<sst xmlns="http://schemas.openxmlformats.org/spreadsheetml/2006/main" count="851" uniqueCount="329">
  <si>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</si>
  <si>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</si>
  <si>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</si>
  <si>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</si>
  <si>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</si>
  <si>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</si>
  <si>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</si>
  <si>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</si>
  <si>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</si>
  <si>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</si>
  <si>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</si>
  <si>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</si>
  <si>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</si>
  <si>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0111</t>
  </si>
  <si>
    <t>Резервный  фонд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</si>
  <si>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</si>
  <si>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</si>
  <si>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</si>
  <si>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</si>
  <si>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</si>
  <si>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</si>
  <si>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0309</t>
  </si>
  <si>
    <t>04</t>
  </si>
  <si>
    <t>Национальная  экономика</t>
  </si>
  <si>
    <t>0401</t>
  </si>
  <si>
    <t>0405</t>
  </si>
  <si>
    <t>Сельское хозяйство и рыболовство</t>
  </si>
  <si>
    <t>0408</t>
  </si>
  <si>
    <t>0412</t>
  </si>
  <si>
    <t>05</t>
  </si>
  <si>
    <t>Жилищно-коммунальное хозяйство</t>
  </si>
  <si>
    <t>0501</t>
  </si>
  <si>
    <t>0502</t>
  </si>
  <si>
    <t>0503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</si>
  <si>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</si>
  <si>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</si>
  <si>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</si>
  <si>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</si>
  <si>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</si>
  <si>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</si>
  <si>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</si>
  <si>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</si>
  <si>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</si>
  <si>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</si>
  <si>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</si>
  <si>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</si>
  <si>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</si>
  <si>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</si>
  <si>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</si>
  <si>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</si>
  <si>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</si>
  <si>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0802</t>
  </si>
  <si>
    <t>Кинематография</t>
  </si>
  <si>
    <t>0804</t>
  </si>
  <si>
    <t>09</t>
  </si>
  <si>
    <t>0901</t>
  </si>
  <si>
    <t>Стационарная медицинская помощь</t>
  </si>
  <si>
    <t>0902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</si>
  <si>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</si>
  <si>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</si>
  <si>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</si>
  <si>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</si>
  <si>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Подпрограмма "Доступное жилье молодым"</t>
  </si>
  <si>
    <t>Осуществление деятельности отдела по опеке и попечительству</t>
  </si>
  <si>
    <t>Межбюджетные трансферты</t>
  </si>
  <si>
    <t>ИТОГО РАСХОДОВ</t>
  </si>
  <si>
    <t>Куклина Н.Г.</t>
  </si>
  <si>
    <t>0410</t>
  </si>
  <si>
    <t>Связь и информатика</t>
  </si>
  <si>
    <t>Мероприятия по подготовке  к  зиме (3510500)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</si>
  <si>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(3510200)</t>
  </si>
  <si>
    <t>Подпрограмма "Капремонт  жилого  фонда" (3500200)</t>
  </si>
  <si>
    <t>Материальное обеспечение патронатной семьи (5201300, 5201301)</t>
  </si>
  <si>
    <t>Мероприятия в области социальной политики (5140100)</t>
  </si>
  <si>
    <t>0409</t>
  </si>
  <si>
    <t>Земельные  ресурсы (3400300)</t>
  </si>
  <si>
    <t>Бесплатное питание (4219904)</t>
  </si>
  <si>
    <t>% исполнения</t>
  </si>
  <si>
    <t>План на год</t>
  </si>
  <si>
    <t>Субвен.на обеспеч.жильем отдельных категорий граждан (ветераны, инвалиды 5053401,5053402)</t>
  </si>
  <si>
    <t>0113</t>
  </si>
  <si>
    <t>Дотации на выравнивание  бюджетной обеспеченности субъектов РФ и муниципальных образований</t>
  </si>
  <si>
    <t>Иные дотации</t>
  </si>
  <si>
    <t>Физическая культура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</si>
  <si>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</si>
  <si>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</si>
  <si>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</si>
  <si>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</si>
  <si>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Другие вопросы в области здравоохранения</t>
  </si>
  <si>
    <t>Функционирование  законодательных (представительных)  органов власти</t>
  </si>
  <si>
    <t>Культура</t>
  </si>
  <si>
    <t>Другие вопросы в области культуры, кинематографии</t>
  </si>
  <si>
    <t xml:space="preserve">Здравоохранение </t>
  </si>
  <si>
    <t>Субвенция на обеспечение бесплатными молочными продуктами питания детей до 3-х лет (5055409)</t>
  </si>
  <si>
    <t>Субвенция на  бесплатное изготовление и ремонт зубных протезов (5058005)</t>
  </si>
  <si>
    <t>Прочие межбюджетные трансферты</t>
  </si>
  <si>
    <t>Дорожное хозяйство (5226105)</t>
  </si>
  <si>
    <t>Наименование показателя</t>
  </si>
  <si>
    <t>ККР</t>
  </si>
  <si>
    <t>Программа "Содействие занятости населения 2011-2013 годы"</t>
  </si>
  <si>
    <t>Прочие мероприятия по благоустройству городских округов и поселений (6000500, 6000400, 6000300, 6000100)</t>
  </si>
  <si>
    <t>Периодическая печать и издательства</t>
  </si>
  <si>
    <t>Национальная  безопасность и правохранительная деятельность</t>
  </si>
  <si>
    <t>ЗАГС (0013801, ,0013802)</t>
  </si>
  <si>
    <t>0909</t>
  </si>
  <si>
    <t>Программа "Централизованное снабжение населенных пунктов Ханты-Мансийского автономного округа" Подпрограмма"Софинансирование муниципальных  программ  реконструкции внутрипоселковых  электрических  сетей населенных пунктов автономного  округа" (5220500) тс 01.40.28</t>
  </si>
  <si>
    <t>Компенсация выпадающих доходов организациям, предоставляющим населению водоснабжение и водоотведение по тарифам, не обеспечивающим возмещение издержек (3510300)</t>
  </si>
  <si>
    <t>0314</t>
  </si>
  <si>
    <t>Другие вопросы в области национальной безопасности и правоохранительной деятельности</t>
  </si>
  <si>
    <t>Программа "Развитие малого и среднего предпринимательства в ХМАО-Югре" (5220400)</t>
  </si>
  <si>
    <t>1004</t>
  </si>
  <si>
    <t>Консолидированный бюджет</t>
  </si>
  <si>
    <t>Бюджет Поселения</t>
  </si>
  <si>
    <t>Бюджет Район</t>
  </si>
  <si>
    <t>1201</t>
  </si>
  <si>
    <t>Телевидение и радиовещание</t>
  </si>
  <si>
    <t>0304</t>
  </si>
  <si>
    <t>Предупреждение и  ликвидация  последствий ЧС</t>
  </si>
  <si>
    <t>Осуществление полномочий по государственному управлению охраной труда тс. 01.30.39</t>
  </si>
  <si>
    <t>Автомобильный транспорт (3170110)</t>
  </si>
  <si>
    <t>Водный транспорт (3010320)</t>
  </si>
  <si>
    <t>Воздушный транспорт (3000240)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</si>
  <si>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(5201002) тс 01.30.09</t>
  </si>
  <si>
    <t>Заворотынская Н.А.</t>
  </si>
  <si>
    <t>Председатель Комитета по управлению муниципальными</t>
  </si>
  <si>
    <t>финансами администрации Октябрьского района</t>
  </si>
  <si>
    <t>Дорожное хозяйство (3150100)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</si>
  <si>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01.60.00 в т.ч.: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</si>
  <si>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01.40.01 в т.ч.:</t>
  </si>
  <si>
    <t>Субсидии на реализацию подпрограммы "Стимулирование жилищного строительства" программы "Содействие развитию жилищного строительства на 2011-2013 годы и на период до 2015 года" (5225908)тс 01.40.36, 01.60.00</t>
  </si>
  <si>
    <t>Программа "Централизованное электроснабжение населенных пунктов ХМАО-Югры на 2011-2013 годы и на перспективу до 2015 года" (5220500) тс 01.40.28</t>
  </si>
  <si>
    <t>Выплата единовременного пособия при всех формах устройства детей, лишенных родительского попечения, в семью (5050502)</t>
  </si>
  <si>
    <t xml:space="preserve">Бюджетные инвестиции в объекты капитального строительства государственной собственности субъектов РФ </t>
  </si>
  <si>
    <t>Программа "Наша новая школа" на 2011-2013гг., подпрограмма "Развитие МТБ учреждений образования ХМАО-Югры" 5225603 тс 01.40.18, 01.60.00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</si>
  <si>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(5053600, 5052102)</t>
  </si>
  <si>
    <t>Подпрограмма"Софинансирование  муниципальных  образований в части возмещения недополученных  доходов организациям, осуществляющим реализацию населению сжиженного газа по социально ориентированным  тарифам" (5222100, 242) тс 01.51.22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</si>
  <si>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</t>
  </si>
  <si>
    <t>Подпрограмма "Библиотечное дело" 5222806</t>
  </si>
  <si>
    <t>0505</t>
  </si>
  <si>
    <t>Другие вопросы в области жилищно-коммунального хозяйства</t>
  </si>
  <si>
    <t>Субсидии на реализацию подпрограммы "Градостроительная деятельность" программы "Содействие развитию жилищного строительства на 2011-2013 годы и на период до 2015 года"</t>
  </si>
  <si>
    <t>Программа "О защите населения и территории Октябрьского района от чрезвычайных ситуаций и техногенного характера на 2012-2015 годы" 7950700</t>
  </si>
  <si>
    <t>Программа "Развитие  малого и среднего предпринимательства  в Октябрьском  районе"  на 2011-2013 годы (7950400) тс 01.03.20</t>
  </si>
  <si>
    <t>Содействие развитию жилищного строительства на территории Октябрьского района на 2011 - 2013 годы и на период до 2015 года (7955900)тс 01.03.39</t>
  </si>
  <si>
    <t>Программа "Реконструкция внутрипоселковых электрических сетей населенных пунктов в Октябрьском районе на 2001-2015 годы", 7950500  01.03.33</t>
  </si>
  <si>
    <t>Подпрограмма "Проектирование и строительство инженерных сетей" (7952101) т.с.01.03.07 местный бюджет</t>
  </si>
  <si>
    <t>Подпрограмма "Реконструкция и развитие объектов теплоснабжения" (7952103)тс 01.03.21 местный бюджет</t>
  </si>
  <si>
    <t>Подпрограмма "Реконструкция и развитие объектов газоснабжения" (7952102) тс 01.03.09 местный бюджет</t>
  </si>
  <si>
    <t>Подпрограмма "Реконструкция и развитие объектов водоснабжения" (7952104)тс 01.03.37 местный бюджет</t>
  </si>
  <si>
    <t>Подпрограмма "Реконструкция, расширение, модернизация, строительство обьектов водоотведения" (7952105)тс 01.03.38 местный бюджет</t>
  </si>
  <si>
    <t>Программа"Совершенствование  и развитие  сети автомобильных дорог местного значения в Октябрьском  районе" на 2011-2013 годы (7956100)</t>
  </si>
  <si>
    <t>Заведующий  отделом учета  исполнения  бюджета</t>
  </si>
  <si>
    <t>Программа" Реконструкция  внутрипоселковых электрических  сетей  населенных пунктов  в Октябрьском  районе на 2011-2015 годы" (7950500) тс 01.03.33</t>
  </si>
  <si>
    <t>Программа "Культура Октябрьского района на 2010-2012 гг" 7952800</t>
  </si>
  <si>
    <t>Заведующий бюджетным отделом</t>
  </si>
  <si>
    <t>Агеева Н.В,</t>
  </si>
  <si>
    <t>Заведующий отделом доходов</t>
  </si>
  <si>
    <t>___________</t>
  </si>
  <si>
    <t>Мартюшова О.Г.</t>
  </si>
  <si>
    <t xml:space="preserve"> "Наш дом" субсидии на благоустройство дворовых территорий многоквартирных домов (5227000)</t>
  </si>
  <si>
    <t>Капитальный ремонт и ремонт дворовых территорий МКД, проездов к дворовым территориям МКД за счет средств дорожного фонда (5227000)</t>
  </si>
  <si>
    <t>Программа "Наш дом" на 2011-2015 годы на капитальный ремонт многоквартирных домов (5227000)</t>
  </si>
  <si>
    <t>Программа "Энергосбережения и повышения энергоэффективности в ХМАО-Югре" на 2010-2013гг на период до 2015г. (5226300, 0923400, 7956300)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</si>
  <si>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5222811, 5222812, 5222603 округ, 310 тс 01.40.09, 01.40.46, 01.60.00</t>
  </si>
  <si>
    <t>Программа "Развитие агропромышленного комплекса ХМАО-Югры в 2011-2013 годах"</t>
  </si>
  <si>
    <t>Программа "Модернизация и реформирование жилищно-комуннального комплекса ХМАО-Югры" на 2011-2013 годы и на период до 2015 года" (на капитальный ремонт сиситем теплоснабжения, водоснабжения и водоотведения для подготовки к осенне-зимнему периоду) 01.60.00</t>
  </si>
  <si>
    <t>Программа "Утилизация отходов на территории муниципального образования Октябрьский район" на 2011-2021 годы 7950200 тс 01.03.35</t>
  </si>
  <si>
    <t>Программа "Наша новая школа" на 2011-2013гг. 7955603 тс 01.03.36</t>
  </si>
  <si>
    <t>1003</t>
  </si>
  <si>
    <t>Обеспечение проведения выборов и референдумов</t>
  </si>
  <si>
    <t>Отчет  об  исполнении  консолидированного  бюджета  района  по  расходам на 1 февраля 2013 года</t>
  </si>
  <si>
    <t>исполнение на 01.02.2013</t>
  </si>
  <si>
    <t>____ февраля  2013 года</t>
  </si>
  <si>
    <t>исполнения на 01.02.2013</t>
  </si>
  <si>
    <t xml:space="preserve"> </t>
  </si>
  <si>
    <t>КБК</t>
  </si>
  <si>
    <t>Наименование дохода</t>
  </si>
  <si>
    <t>Октябрьский район</t>
  </si>
  <si>
    <t>00010000000000000000</t>
  </si>
  <si>
    <t>НАЛОГОВЫЕ И НЕНАЛОГОВЫЕ ДОХОДЫ</t>
  </si>
  <si>
    <t>00010100000000000000</t>
  </si>
  <si>
    <t xml:space="preserve">Налоги на прибыль, доходы </t>
  </si>
  <si>
    <t>00010500000000000000</t>
  </si>
  <si>
    <t>Налоги на совокупный доход</t>
  </si>
  <si>
    <t>00010600000000000000</t>
  </si>
  <si>
    <t>Налоги  на 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</si>
  <si>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</si>
  <si>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</si>
  <si>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</si>
  <si>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</si>
  <si>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</si>
  <si>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 , находящегося  в государственной и муниципальной собственности</t>
  </si>
  <si>
    <t>00011200000000000000</t>
  </si>
  <si>
    <t>Платежи при пользовании  природными 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</si>
  <si>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</si>
  <si>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</si>
  <si>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</si>
  <si>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</si>
  <si>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00011500000000000000</t>
  </si>
  <si>
    <t>Административные платежи и сборы</t>
  </si>
  <si>
    <t>00011600000000000000</t>
  </si>
  <si>
    <t>Штрафы, санкции, возмещение  ущерба</t>
  </si>
  <si>
    <t>00011700000000000000</t>
  </si>
  <si>
    <t>Прочие неналоговые доходы</t>
  </si>
  <si>
    <t>00011900000000000000</t>
  </si>
  <si>
    <t>Возврат остатков субсидий и субвенций прошлых лет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</si>
  <si>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</si>
  <si>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</si>
  <si>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</si>
  <si>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</si>
  <si>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00020700000000000180</t>
  </si>
  <si>
    <t>Прочие безвозмездные поступления</t>
  </si>
  <si>
    <t>00021800000000000151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</si>
  <si>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</si>
  <si>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</si>
  <si>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</si>
  <si>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</si>
  <si>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</si>
  <si>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</si>
  <si>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</si>
  <si>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</si>
  <si>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</si>
  <si>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</si>
  <si>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</si>
  <si>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</si>
  <si>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</si>
  <si>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</si>
  <si>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</si>
  <si>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105</t>
  </si>
  <si>
    <t>Октябрьский район (консолидированный бюджет)</t>
  </si>
  <si>
    <t>101</t>
  </si>
  <si>
    <t>106</t>
  </si>
  <si>
    <t>108</t>
  </si>
  <si>
    <t xml:space="preserve"> -</t>
  </si>
  <si>
    <t>111</t>
  </si>
  <si>
    <t>112</t>
  </si>
  <si>
    <t>113</t>
  </si>
  <si>
    <t>114</t>
  </si>
  <si>
    <t>116</t>
  </si>
  <si>
    <t>202</t>
  </si>
  <si>
    <t>207</t>
  </si>
  <si>
    <t xml:space="preserve">ЗАГС </t>
  </si>
  <si>
    <t>Государственная программа "Содействие занятости населения в Ханты-Мансийском автономном округе – Югре на 2014 – 2020 годы"</t>
  </si>
  <si>
    <t>Воздушный транспорт (11.2.7807)</t>
  </si>
  <si>
    <t>Автомобильный транспорт (11.4.7807)</t>
  </si>
  <si>
    <t>Водный транспорт (11.3.7807)</t>
  </si>
  <si>
    <t>Муниципальная  программа" Развитие транспортной  системы муниципального  образования Октябрьский  район на 2014-2016  годы" (11.1.4210)</t>
  </si>
  <si>
    <t>Содержание автомобильных дорог общего пользования (40.3.0602)</t>
  </si>
  <si>
    <t>Реализация мероприятий муниципальной программы "Поддержка малого и среднего предпринимательства в Октябрьском районе на 2014-2020 годы" (08.0.2127)</t>
  </si>
  <si>
    <t>Осуществление полномочий по государственному управлению охраной труда (07.3.5513) тс. 01.30.39</t>
  </si>
  <si>
    <t>Подпрограмма "Градостроительная деятельность" программы "Обеспечение доступным и комфортным жильем жителей муниципального образования Октябрьский район на 2014-2016 годы" (09.5.5410)</t>
  </si>
  <si>
    <t>Капитальный ремонт жилого фонда (40.6.2120)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</si>
  <si>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(09.6.5410) 01.40.36 и доля</t>
  </si>
  <si>
    <t>Субсидии на реализацию подпрограммы "Содействие проведению капитального ремонта многоквартирных домов" муниципальной программы "Развитие жилищно-коммунального комплекса и повышение энергетической эффективности в Октябрьском районе на 2014-2016 годы" (10.2.5642)</t>
  </si>
  <si>
    <t>Реализация мероприятий  муниципальной  программы "О защите   населения и территории Октябрьского  района от чрезвычайных  ситуаций природного  и  техногенного  характера на 2014-2016 годы " (14.0.2123, 14.0.2124)</t>
  </si>
  <si>
    <t>Реализация мероприятий  муниципальной  программы "Утилизация  отходов на территории  муниципального  образования  Октябрьский  район на  2014-2016 годы" (06.0.2120)</t>
  </si>
  <si>
    <t>Иные межбюджетные трансферты на финансирование наказов избирателей депутатам Думы ХМАО-Югры  (41.2.5608)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</si>
  <si>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(15.0.2130)</t>
  </si>
  <si>
    <t>Внешнее благоустройство (40.6.2130)</t>
  </si>
  <si>
    <t>Бесплатное питание (01.1.5504)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</si>
  <si>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(01.1.5405) 01.40.18 и местн.</t>
  </si>
  <si>
    <t>Центральный аппарат</t>
  </si>
  <si>
    <t>Субсидии на реализацию муниципальной программы "Развитие агропромышленного комплекса  муниципального  образования  Октябрьский  район  на 2014-2020 годы " (05.0.5421)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</si>
  <si>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(11.5.5135) 01.20.04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</si>
  <si>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(01.1.5507) тс 01.30.09</t>
  </si>
  <si>
    <t>Выплата единовременного пособия при всех формах устройства детей, лишенных родительского попечения, в семью (03.1.5260) 01.20.02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</si>
  <si>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(03.1.5508)</t>
  </si>
  <si>
    <t>Субвенции на обеспечение дополнительных гарантий прав на жилое помещение детей-сирот, детей, оставшихся без попечения родителей, лиц из числа детей-сирот, детей, оставшихся без попечения родителей, в рамках подпрограммы "Преодоление социальной исключенности" государственной программы "Социальная поддержка жителей ХМАО-Югры на 2014-2020 годы" (03.4.5512)</t>
  </si>
  <si>
    <t>(тыс.руб.)</t>
  </si>
  <si>
    <t>План на 2014 год</t>
  </si>
  <si>
    <t>1 квартал</t>
  </si>
  <si>
    <t>2 квартал</t>
  </si>
  <si>
    <t>3 квартал</t>
  </si>
  <si>
    <t>4 квартал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</si>
  <si>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</si>
  <si>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</si>
  <si>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</si>
  <si>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</si>
  <si>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</si>
  <si>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 xml:space="preserve">% исп-ия к плану на 2014 год </t>
  </si>
  <si>
    <t>00010300000000000000</t>
  </si>
  <si>
    <t>Акцизы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</si>
  <si>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(08.0.5428)</t>
  </si>
  <si>
    <t>Субсидии на развитие многофункциональных центров предоставления государственных и муниципальных услуг в рамках программы "Управление муниципальной собственностью Октябрьского района на 2014-2016 годы" (18.0.5426)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</si>
  <si>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водоотведение) (10.3.7808)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</si>
  <si>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(10.3.7809) местный бюджет</t>
  </si>
  <si>
    <t>Субсидии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(10.3.5411) 01.02.00 централизов. электроснабжение  доля местного бюджета</t>
  </si>
  <si>
    <t xml:space="preserve">Субвенции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(10.3.5521) </t>
  </si>
  <si>
    <t>Субвенции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годы"(газоснабжение) (10.3.5521)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</si>
  <si>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(40.6.2140)</t>
  </si>
  <si>
    <t>Мероприятия в области коммунального хозяйства (40.6.2125)</t>
  </si>
  <si>
    <t>Иные межбюджетные трансферты на содействие местному самоуправлению в развитии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2014-2020 годы" (40.7.2113)</t>
  </si>
  <si>
    <t>Подпрограмма "Ликвидация приспособленных для проживания строений, расположенных в местах их сосредоточения в муниципальном образовании Октябрьский район" (09.3.5410) окружной бюджет</t>
  </si>
  <si>
    <t>Национальная  безопасность и правоохранительная деятельность</t>
  </si>
  <si>
    <t>Муниципальная  программа" Развитие транспортной  системы муниципального  образования Октябрьский  район на 2014-2016  годы"  (11.1.5419, 11.1.5641) окружные средства</t>
  </si>
  <si>
    <t>Муниципальная  программа" Развитие транспортной  системы муниципального  образования Октябрьский  район на 2014-2016  годы"  (11.1.5419, 11.1.5641) местные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</si>
  <si>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(15.0.0602)</t>
  </si>
  <si>
    <t>Мероприятия по землеустройству и землепользованию (40.3.2137)</t>
  </si>
  <si>
    <t>Реализация мероприятий муниципальной  программы "Управление  муниципальной  собственностью Октябрьского района на 2014 – 2020 годы" земля (18.0.2137)</t>
  </si>
  <si>
    <t xml:space="preserve">Субсидии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(прочие потребности) (10.3.5411) 01.40.28 централизов. электроснабжение округ </t>
  </si>
  <si>
    <t>Субсидии на реализацию подпрограммы "Обеспечение прав граждан на доступ к культурным ценностям и информации" муниципальной  программы "Культура Октябрьского  района на 2014-2020 годы" (03.1.5408) строительство объектов</t>
  </si>
  <si>
    <t>Реализация мероприятий в рамках подпрограммы "Содействие в улучшении жилищных условий молодых семей на территории Октябрьского района" в рамках федеральной целевой программы "Жилище" муниципальной программы "Обеспечение доступным комфортным жильем жителей муниципального образования Октябрьский район на 2014-2016 годы" (09.1.2119) (молодая семья за счет средств местного бюджета)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</si>
  <si>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(03.4.5511)</t>
  </si>
  <si>
    <t>План                 на 1 полугодие 2014 года</t>
  </si>
  <si>
    <t>Реализация  мероприятий  муниципальной  программы "Осуществление поселком городского  типа функций  административного  центра  муниципального  образования Октябрьский  район на 2014-2016 годы " (ремонт линий электроснабжения) (15.0.2120)</t>
  </si>
  <si>
    <t>Создание условий для обеспечения качественными коммунальными услугами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годы"(ремонт внутрипос. сетей электроснаб. п.Карымкары) (10.1.5411)</t>
  </si>
  <si>
    <t>Субсидии на предоставление государственных услуг в многофункциональных центрах предоставления государственных и муниципальных услуг (17.1.5427) тс.01.40.07</t>
  </si>
  <si>
    <t>Субсидии на реализацию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(10.1.5411) модернизация ЖКХ 01.00.00 местный бюджет</t>
  </si>
  <si>
    <t xml:space="preserve"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(09.6.5410) 01.40.36, 01.60.00 (инженерные сети). </t>
  </si>
  <si>
    <t xml:space="preserve"> Заведующий отделом учета исполнения бюджета</t>
  </si>
  <si>
    <t>Агеева Н.В.</t>
  </si>
  <si>
    <t>Отчет  об  исполнении  консолидированного  бюджета  района  по  расходам на 1 сентября 2014 года</t>
  </si>
  <si>
    <t>исполнение на 01.09.2014</t>
  </si>
  <si>
    <t>исполнения на 01.09.2014</t>
  </si>
  <si>
    <t>Субвенции на реализацию муниципальной  программы "Развитие агропромышленного комплекса  муниципального  образования  Октябрьский  район  на 2014-2020 годы " (05.0.5523)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</si>
  <si>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(09.3.5410) 01.60.00, 01.02.01</t>
  </si>
  <si>
    <t>Субсидии на реализацию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(10.1.5411; 10.6.5411) модернизация ЖКХ 01.40.01, 01.40.50 окружной бюджет тс. 01.60.00</t>
  </si>
  <si>
    <t>Подпрограмма "Создание условий для обеспечения качественными коммунальными услугами" программы "Развитие жилищно-коммунального комплекса и повышение энергетической эффективности в Октябрьском районе на 2014-2016 годы" (разработка программы "Комплексная система развития ЖКХ", газификация жилого в пгт.Приобье) (10.1.2120)</t>
  </si>
  <si>
    <t>Субсидии на реализацию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(подготовка к зиме) (10.1.5643), ОЗП, 01.40.50, 01.02.00</t>
  </si>
  <si>
    <t>Бюджетные инвестии в объекты капитального строительства собственности муниципального образования (10.1.0102)</t>
  </si>
  <si>
    <t>Возмещение затрат в связи с производством (реализацией) товаров, выполнением работ, оказанием услуг по теплоснабжению (40.6.2141)</t>
  </si>
  <si>
    <t>Иные межбюджетные трансферты на содействие местному самоуправлению в развитии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на 2014-2020 годы" (16.4.5645)</t>
  </si>
  <si>
    <t>Подпрограмма "Библиотечное дело" 03.1.5644</t>
  </si>
  <si>
    <t>Реализация мероприятий в рамках подпрограммы "Содействие в улучшении жилищных условий молодых семей на территории Октябрьского района" в рамках федеральной целевой программы "Жилище" муниципальной программы "Обеспечение доступным комфортным жильем жителей муниципального образования Октябрьский район на 2014-2016 годы" (09.3.5410)(ликвидация  приспособленных для проживания строений за счет средств местного бюджета) 01.02.01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</si>
  <si>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(09.1.5440 о/б; 09.1.5020 ф/б)</t>
  </si>
  <si>
    <t>Отчет об исполнении консолидированного бюджета Октябрьского района по состоянию на 01.09.2014</t>
  </si>
  <si>
    <t>План 9 месяцев 2014</t>
  </si>
  <si>
    <t>Исполнение на 01.09.2014</t>
  </si>
  <si>
    <t xml:space="preserve">% исп-ия к плану на 9 месяцев 2014 года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</si>
</sst>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0.0"/>
  </numFmts>
  <fonts count="6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36"/>
      <name val="Times New Roman"/>
      <family val="1"/>
    </font>
    <font>
      <b/>
      <sz val="11"/>
      <color indexed="30"/>
      <name val="Times New Roman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3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b/>
      <sz val="11"/>
      <color indexed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18"/>
      <name val="Times New Roman"/>
      <family val="1"/>
    </font>
    <font>
      <sz val="10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3" tint="-0.24997000396251678"/>
      <name val="Times New Roman"/>
      <family val="1"/>
    </font>
    <font>
      <sz val="10"/>
      <color rgb="FFFF0000"/>
      <name val="Times New Roman"/>
      <family val="1"/>
    </font>
    <font>
      <sz val="11"/>
      <color theme="3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6" fillId="0" borderId="0" xfId="53" applyNumberFormat="1" applyFont="1" applyAlignment="1">
      <alignment horizontal="left" vertical="center" wrapText="1"/>
      <protection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>
      <alignment horizontal="left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6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6" fillId="0" borderId="0" xfId="53" applyNumberFormat="1" applyFont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0" fontId="6" fillId="34" borderId="10" xfId="53" applyNumberFormat="1" applyFont="1" applyFill="1" applyBorder="1" applyAlignment="1">
      <alignment horizontal="left" vertical="center" wrapText="1"/>
      <protection/>
    </xf>
    <xf numFmtId="49" fontId="8" fillId="33" borderId="11" xfId="53" applyNumberFormat="1" applyFont="1" applyFill="1" applyBorder="1" applyAlignment="1">
      <alignment horizontal="center" vertical="center" wrapText="1"/>
      <protection/>
    </xf>
    <xf numFmtId="0" fontId="8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64" fontId="5" fillId="0" borderId="0" xfId="53" applyNumberFormat="1" applyFont="1" applyFill="1" applyAlignment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 wrapText="1"/>
    </xf>
    <xf numFmtId="164" fontId="9" fillId="36" borderId="12" xfId="53" applyNumberFormat="1" applyFont="1" applyFill="1" applyBorder="1" applyAlignment="1">
      <alignment horizontal="center" vertical="center" wrapText="1"/>
      <protection/>
    </xf>
    <xf numFmtId="164" fontId="9" fillId="36" borderId="13" xfId="0" applyNumberFormat="1" applyFont="1" applyFill="1" applyBorder="1" applyAlignment="1">
      <alignment horizontal="center" vertical="center" wrapText="1"/>
    </xf>
    <xf numFmtId="164" fontId="5" fillId="0" borderId="0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9" fillId="33" borderId="15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5" fillId="33" borderId="10" xfId="53" applyNumberFormat="1" applyFont="1" applyFill="1" applyBorder="1" applyAlignment="1">
      <alignment horizontal="center" vertical="center" wrapText="1"/>
      <protection/>
    </xf>
    <xf numFmtId="164" fontId="9" fillId="33" borderId="15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0" xfId="53" applyNumberFormat="1" applyFont="1" applyFill="1" applyBorder="1" applyAlignment="1">
      <alignment horizontal="center" vertical="center" wrapText="1"/>
      <protection/>
    </xf>
    <xf numFmtId="164" fontId="5" fillId="0" borderId="14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36" borderId="12" xfId="0" applyNumberFormat="1" applyFont="1" applyFill="1" applyBorder="1" applyAlignment="1">
      <alignment horizontal="center" vertical="center" wrapText="1"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>
      <alignment horizontal="left" vertical="center" wrapText="1"/>
      <protection/>
    </xf>
    <xf numFmtId="43" fontId="9" fillId="0" borderId="10" xfId="0" applyNumberFormat="1" applyFont="1" applyBorder="1" applyAlignment="1">
      <alignment horizontal="center" vertical="center" wrapText="1"/>
    </xf>
    <xf numFmtId="164" fontId="64" fillId="0" borderId="0" xfId="0" applyNumberFormat="1" applyFont="1" applyFill="1" applyAlignment="1">
      <alignment horizontal="center" vertical="center" wrapText="1"/>
    </xf>
    <xf numFmtId="164" fontId="64" fillId="0" borderId="0" xfId="53" applyNumberFormat="1" applyFont="1" applyFill="1" applyAlignment="1">
      <alignment horizontal="center" vertical="center" wrapText="1"/>
      <protection/>
    </xf>
    <xf numFmtId="164" fontId="64" fillId="0" borderId="0" xfId="53" applyNumberFormat="1" applyFont="1" applyFill="1" applyBorder="1" applyAlignment="1">
      <alignment horizontal="center" vertical="center" wrapText="1"/>
      <protection/>
    </xf>
    <xf numFmtId="164" fontId="64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5" fillId="35" borderId="10" xfId="53" applyNumberFormat="1" applyFont="1" applyFill="1" applyBorder="1" applyAlignment="1">
      <alignment horizontal="center" vertical="center" wrapText="1"/>
      <protection/>
    </xf>
    <xf numFmtId="164" fontId="65" fillId="35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3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0" fillId="35" borderId="0" xfId="0" applyFill="1" applyAlignment="1">
      <alignment/>
    </xf>
    <xf numFmtId="0" fontId="15" fillId="35" borderId="16" xfId="0" applyFont="1" applyFill="1" applyBorder="1" applyAlignment="1">
      <alignment horizontal="center"/>
    </xf>
    <xf numFmtId="0" fontId="15" fillId="35" borderId="17" xfId="0" applyFont="1" applyFill="1" applyBorder="1" applyAlignment="1">
      <alignment horizontal="center"/>
    </xf>
    <xf numFmtId="0" fontId="15" fillId="35" borderId="18" xfId="0" applyFont="1" applyFill="1" applyBorder="1" applyAlignment="1">
      <alignment horizontal="center"/>
    </xf>
    <xf numFmtId="0" fontId="15" fillId="35" borderId="19" xfId="0" applyFont="1" applyFill="1" applyBorder="1" applyAlignment="1">
      <alignment horizontal="center"/>
    </xf>
    <xf numFmtId="49" fontId="17" fillId="0" borderId="20" xfId="0" applyNumberFormat="1" applyFont="1" applyFill="1" applyBorder="1" applyAlignment="1">
      <alignment horizontal="center" vertical="top" wrapText="1"/>
    </xf>
    <xf numFmtId="49" fontId="17" fillId="0" borderId="17" xfId="0" applyNumberFormat="1" applyFont="1" applyFill="1" applyBorder="1" applyAlignment="1">
      <alignment horizontal="center" vertical="top" wrapText="1"/>
    </xf>
    <xf numFmtId="49" fontId="17" fillId="0" borderId="20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vertical="top" wrapText="1"/>
    </xf>
    <xf numFmtId="0" fontId="17" fillId="0" borderId="14" xfId="0" applyFont="1" applyFill="1" applyBorder="1" applyAlignment="1">
      <alignment vertical="top" wrapText="1" shrinkToFit="1"/>
    </xf>
    <xf numFmtId="49" fontId="17" fillId="0" borderId="10" xfId="0" applyNumberFormat="1" applyFont="1" applyFill="1" applyBorder="1" applyAlignment="1">
      <alignment horizontal="center" vertical="top" wrapText="1"/>
    </xf>
    <xf numFmtId="49" fontId="17" fillId="0" borderId="14" xfId="0" applyNumberFormat="1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165" fontId="14" fillId="0" borderId="10" xfId="0" applyNumberFormat="1" applyFont="1" applyFill="1" applyBorder="1" applyAlignment="1">
      <alignment vertical="top"/>
    </xf>
    <xf numFmtId="164" fontId="19" fillId="0" borderId="0" xfId="0" applyNumberFormat="1" applyFont="1" applyFill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164" fontId="19" fillId="0" borderId="14" xfId="53" applyNumberFormat="1" applyFont="1" applyFill="1" applyBorder="1" applyAlignment="1">
      <alignment horizontal="center" vertical="center" wrapText="1"/>
      <protection/>
    </xf>
    <xf numFmtId="49" fontId="18" fillId="0" borderId="0" xfId="0" applyNumberFormat="1" applyFont="1" applyFill="1" applyBorder="1" applyAlignment="1">
      <alignment horizontal="right" vertical="center" wrapText="1"/>
    </xf>
    <xf numFmtId="0" fontId="18" fillId="0" borderId="0" xfId="53" applyNumberFormat="1" applyFont="1" applyFill="1" applyBorder="1" applyAlignment="1">
      <alignment horizontal="left" vertical="center" wrapText="1"/>
      <protection/>
    </xf>
    <xf numFmtId="164" fontId="66" fillId="0" borderId="0" xfId="53" applyNumberFormat="1" applyFont="1" applyFill="1" applyBorder="1" applyAlignment="1">
      <alignment horizontal="center" vertical="center" wrapText="1"/>
      <protection/>
    </xf>
    <xf numFmtId="164" fontId="19" fillId="0" borderId="0" xfId="53" applyNumberFormat="1" applyFont="1" applyFill="1" applyBorder="1" applyAlignment="1">
      <alignment horizontal="center" vertical="center" wrapText="1"/>
      <protection/>
    </xf>
    <xf numFmtId="164" fontId="19" fillId="0" borderId="0" xfId="0" applyNumberFormat="1" applyFont="1" applyFill="1" applyBorder="1" applyAlignment="1">
      <alignment horizontal="left" vertical="center" wrapText="1"/>
    </xf>
    <xf numFmtId="164" fontId="19" fillId="0" borderId="0" xfId="0" applyNumberFormat="1" applyFont="1" applyFill="1" applyAlignment="1">
      <alignment horizontal="left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left" vertical="center" wrapText="1"/>
    </xf>
    <xf numFmtId="164" fontId="66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164" fontId="66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 horizontal="right"/>
    </xf>
    <xf numFmtId="49" fontId="16" fillId="0" borderId="20" xfId="0" applyNumberFormat="1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left" vertical="top"/>
    </xf>
    <xf numFmtId="165" fontId="14" fillId="0" borderId="20" xfId="0" applyNumberFormat="1" applyFont="1" applyFill="1" applyBorder="1" applyAlignment="1">
      <alignment horizontal="right" vertical="top"/>
    </xf>
    <xf numFmtId="0" fontId="13" fillId="0" borderId="0" xfId="0" applyFont="1" applyFill="1" applyAlignment="1">
      <alignment vertical="top"/>
    </xf>
    <xf numFmtId="0" fontId="17" fillId="0" borderId="10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top"/>
    </xf>
    <xf numFmtId="49" fontId="13" fillId="0" borderId="17" xfId="0" applyNumberFormat="1" applyFont="1" applyFill="1" applyBorder="1" applyAlignment="1">
      <alignment horizontal="center" vertical="top"/>
    </xf>
    <xf numFmtId="49" fontId="17" fillId="0" borderId="20" xfId="0" applyNumberFormat="1" applyFont="1" applyFill="1" applyBorder="1" applyAlignment="1">
      <alignment horizontal="center" vertical="top" wrapText="1"/>
    </xf>
    <xf numFmtId="49" fontId="17" fillId="0" borderId="14" xfId="0" applyNumberFormat="1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vertical="top"/>
    </xf>
    <xf numFmtId="0" fontId="17" fillId="0" borderId="10" xfId="0" applyFont="1" applyFill="1" applyBorder="1" applyAlignment="1">
      <alignment horizontal="justify" vertical="top" wrapText="1"/>
    </xf>
    <xf numFmtId="0" fontId="17" fillId="0" borderId="10" xfId="0" applyFont="1" applyFill="1" applyBorder="1" applyAlignment="1">
      <alignment vertical="top"/>
    </xf>
    <xf numFmtId="165" fontId="13" fillId="0" borderId="17" xfId="0" applyNumberFormat="1" applyFont="1" applyFill="1" applyBorder="1" applyAlignment="1">
      <alignment horizontal="right" vertical="top"/>
    </xf>
    <xf numFmtId="0" fontId="17" fillId="0" borderId="20" xfId="0" applyFont="1" applyFill="1" applyBorder="1" applyAlignment="1">
      <alignment vertical="top" wrapText="1"/>
    </xf>
    <xf numFmtId="165" fontId="14" fillId="0" borderId="18" xfId="0" applyNumberFormat="1" applyFont="1" applyFill="1" applyBorder="1" applyAlignment="1">
      <alignment vertical="top"/>
    </xf>
    <xf numFmtId="165" fontId="14" fillId="0" borderId="0" xfId="0" applyNumberFormat="1" applyFont="1" applyFill="1" applyBorder="1" applyAlignment="1">
      <alignment vertical="top"/>
    </xf>
    <xf numFmtId="49" fontId="17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left" vertical="top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14" xfId="0" applyNumberFormat="1" applyFont="1" applyFill="1" applyBorder="1" applyAlignment="1">
      <alignment horizontal="center" vertical="top"/>
    </xf>
    <xf numFmtId="49" fontId="17" fillId="0" borderId="20" xfId="0" applyNumberFormat="1" applyFont="1" applyFill="1" applyBorder="1" applyAlignment="1">
      <alignment horizontal="left" vertical="top" wrapText="1"/>
    </xf>
    <xf numFmtId="49" fontId="16" fillId="0" borderId="20" xfId="0" applyNumberFormat="1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left" vertical="top" wrapText="1"/>
    </xf>
    <xf numFmtId="49" fontId="17" fillId="0" borderId="17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/>
    </xf>
    <xf numFmtId="49" fontId="13" fillId="0" borderId="17" xfId="0" applyNumberFormat="1" applyFont="1" applyFill="1" applyBorder="1" applyAlignment="1">
      <alignment horizontal="left" vertical="top"/>
    </xf>
    <xf numFmtId="49" fontId="17" fillId="0" borderId="14" xfId="0" applyNumberFormat="1" applyFont="1" applyFill="1" applyBorder="1" applyAlignment="1">
      <alignment horizontal="left" vertical="top" wrapText="1"/>
    </xf>
    <xf numFmtId="164" fontId="22" fillId="0" borderId="10" xfId="53" applyNumberFormat="1" applyFont="1" applyFill="1" applyBorder="1" applyAlignment="1">
      <alignment horizontal="center" vertical="center" wrapText="1"/>
      <protection/>
    </xf>
    <xf numFmtId="164" fontId="22" fillId="0" borderId="10" xfId="0" applyNumberFormat="1" applyFont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49" fontId="25" fillId="33" borderId="11" xfId="53" applyNumberFormat="1" applyFont="1" applyFill="1" applyBorder="1" applyAlignment="1" quotePrefix="1">
      <alignment horizontal="center" vertical="center" wrapText="1"/>
      <protection/>
    </xf>
    <xf numFmtId="0" fontId="25" fillId="33" borderId="10" xfId="53" applyNumberFormat="1" applyFont="1" applyFill="1" applyBorder="1" applyAlignment="1">
      <alignment horizontal="left" vertical="center" wrapText="1"/>
      <protection/>
    </xf>
    <xf numFmtId="164" fontId="23" fillId="33" borderId="10" xfId="53" applyNumberFormat="1" applyFont="1" applyFill="1" applyBorder="1" applyAlignment="1">
      <alignment horizontal="center" vertical="center" wrapText="1"/>
      <protection/>
    </xf>
    <xf numFmtId="164" fontId="22" fillId="33" borderId="10" xfId="0" applyNumberFormat="1" applyFont="1" applyFill="1" applyBorder="1" applyAlignment="1">
      <alignment horizontal="center" vertical="center" wrapText="1"/>
    </xf>
    <xf numFmtId="164" fontId="23" fillId="33" borderId="15" xfId="0" applyNumberFormat="1" applyFont="1" applyFill="1" applyBorder="1" applyAlignment="1">
      <alignment horizontal="center" vertical="center" wrapText="1"/>
    </xf>
    <xf numFmtId="49" fontId="21" fillId="0" borderId="11" xfId="53" applyNumberFormat="1" applyFont="1" applyFill="1" applyBorder="1" applyAlignment="1" quotePrefix="1">
      <alignment horizontal="center" vertical="center" wrapText="1"/>
      <protection/>
    </xf>
    <xf numFmtId="0" fontId="21" fillId="0" borderId="10" xfId="53" applyNumberFormat="1" applyFont="1" applyFill="1" applyBorder="1" applyAlignment="1">
      <alignment horizontal="left" vertical="center" wrapText="1"/>
      <protection/>
    </xf>
    <xf numFmtId="164" fontId="22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164" fontId="23" fillId="0" borderId="15" xfId="0" applyNumberFormat="1" applyFont="1" applyFill="1" applyBorder="1" applyAlignment="1">
      <alignment horizontal="center" vertical="center" wrapText="1"/>
    </xf>
    <xf numFmtId="49" fontId="21" fillId="0" borderId="11" xfId="53" applyNumberFormat="1" applyFont="1" applyFill="1" applyBorder="1" applyAlignment="1">
      <alignment horizontal="center" vertical="center" wrapText="1"/>
      <protection/>
    </xf>
    <xf numFmtId="164" fontId="22" fillId="33" borderId="10" xfId="53" applyNumberFormat="1" applyFont="1" applyFill="1" applyBorder="1" applyAlignment="1">
      <alignment horizontal="center" vertical="center" wrapText="1"/>
      <protection/>
    </xf>
    <xf numFmtId="164" fontId="23" fillId="33" borderId="15" xfId="53" applyNumberFormat="1" applyFont="1" applyFill="1" applyBorder="1" applyAlignment="1">
      <alignment horizontal="center" vertical="center" wrapText="1"/>
      <protection/>
    </xf>
    <xf numFmtId="0" fontId="21" fillId="34" borderId="10" xfId="53" applyNumberFormat="1" applyFont="1" applyFill="1" applyBorder="1" applyAlignment="1">
      <alignment horizontal="left" vertical="center" wrapText="1"/>
      <protection/>
    </xf>
    <xf numFmtId="164" fontId="22" fillId="35" borderId="10" xfId="53" applyNumberFormat="1" applyFont="1" applyFill="1" applyBorder="1" applyAlignment="1">
      <alignment horizontal="center" vertical="center" wrapText="1"/>
      <protection/>
    </xf>
    <xf numFmtId="164" fontId="22" fillId="35" borderId="10" xfId="0" applyNumberFormat="1" applyFont="1" applyFill="1" applyBorder="1" applyAlignment="1">
      <alignment horizontal="center" vertical="center" wrapText="1"/>
    </xf>
    <xf numFmtId="0" fontId="22" fillId="0" borderId="10" xfId="52" applyNumberFormat="1" applyFont="1" applyFill="1" applyBorder="1" applyAlignment="1" applyProtection="1">
      <alignment horizontal="left" vertical="center" wrapText="1"/>
      <protection hidden="1"/>
    </xf>
    <xf numFmtId="164" fontId="23" fillId="33" borderId="10" xfId="0" applyNumberFormat="1" applyFont="1" applyFill="1" applyBorder="1" applyAlignment="1">
      <alignment horizontal="center" vertical="center" wrapText="1"/>
    </xf>
    <xf numFmtId="49" fontId="21" fillId="35" borderId="11" xfId="53" applyNumberFormat="1" applyFont="1" applyFill="1" applyBorder="1" applyAlignment="1">
      <alignment horizontal="center" vertical="center" wrapText="1"/>
      <protection/>
    </xf>
    <xf numFmtId="0" fontId="21" fillId="35" borderId="10" xfId="53" applyNumberFormat="1" applyFont="1" applyFill="1" applyBorder="1" applyAlignment="1">
      <alignment horizontal="left" vertical="center" wrapText="1"/>
      <protection/>
    </xf>
    <xf numFmtId="49" fontId="25" fillId="33" borderId="11" xfId="53" applyNumberFormat="1" applyFont="1" applyFill="1" applyBorder="1" applyAlignment="1">
      <alignment horizontal="center" vertical="center" wrapText="1"/>
      <protection/>
    </xf>
    <xf numFmtId="0" fontId="25" fillId="33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49" fontId="22" fillId="0" borderId="11" xfId="53" applyNumberFormat="1" applyFont="1" applyFill="1" applyBorder="1" applyAlignment="1">
      <alignment horizontal="center" vertical="center" wrapText="1"/>
      <protection/>
    </xf>
    <xf numFmtId="0" fontId="22" fillId="0" borderId="10" xfId="53" applyNumberFormat="1" applyFont="1" applyFill="1" applyBorder="1" applyAlignment="1">
      <alignment horizontal="left" vertical="center" wrapText="1"/>
      <protection/>
    </xf>
    <xf numFmtId="164" fontId="23" fillId="36" borderId="12" xfId="53" applyNumberFormat="1" applyFont="1" applyFill="1" applyBorder="1" applyAlignment="1">
      <alignment horizontal="center" vertical="center" wrapText="1"/>
      <protection/>
    </xf>
    <xf numFmtId="164" fontId="23" fillId="36" borderId="12" xfId="0" applyNumberFormat="1" applyFont="1" applyFill="1" applyBorder="1" applyAlignment="1">
      <alignment horizontal="center" vertical="center" wrapText="1"/>
    </xf>
    <xf numFmtId="164" fontId="23" fillId="36" borderId="13" xfId="0" applyNumberFormat="1" applyFont="1" applyFill="1" applyBorder="1" applyAlignment="1">
      <alignment horizontal="center" vertical="center" wrapText="1"/>
    </xf>
    <xf numFmtId="164" fontId="67" fillId="0" borderId="10" xfId="53" applyNumberFormat="1" applyFont="1" applyFill="1" applyBorder="1" applyAlignment="1">
      <alignment horizontal="center" vertical="center" wrapText="1"/>
      <protection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164" fontId="9" fillId="0" borderId="15" xfId="53" applyNumberFormat="1" applyFont="1" applyBorder="1" applyAlignment="1">
      <alignment horizontal="center" vertical="center" wrapText="1"/>
      <protection/>
    </xf>
    <xf numFmtId="164" fontId="9" fillId="0" borderId="15" xfId="0" applyNumberFormat="1" applyFont="1" applyBorder="1" applyAlignment="1">
      <alignment horizontal="center" vertical="center" wrapText="1"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5" xfId="53" applyNumberFormat="1" applyFont="1" applyFill="1" applyBorder="1" applyAlignment="1">
      <alignment horizontal="center" vertical="center" wrapText="1"/>
      <protection/>
    </xf>
    <xf numFmtId="164" fontId="7" fillId="0" borderId="10" xfId="0" applyNumberFormat="1" applyFont="1" applyBorder="1" applyAlignment="1">
      <alignment horizontal="center" vertical="center"/>
    </xf>
    <xf numFmtId="0" fontId="11" fillId="0" borderId="0" xfId="53" applyNumberFormat="1" applyFont="1" applyAlignment="1">
      <alignment horizontal="center" vertical="center" wrapText="1"/>
      <protection/>
    </xf>
    <xf numFmtId="49" fontId="6" fillId="0" borderId="21" xfId="53" applyNumberFormat="1" applyFont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horizontal="center" vertical="center" wrapText="1"/>
      <protection/>
    </xf>
    <xf numFmtId="0" fontId="6" fillId="0" borderId="22" xfId="53" applyNumberFormat="1" applyFont="1" applyBorder="1" applyAlignment="1">
      <alignment horizontal="center" vertical="center" wrapText="1"/>
      <protection/>
    </xf>
    <xf numFmtId="0" fontId="6" fillId="0" borderId="10" xfId="53" applyNumberFormat="1" applyFont="1" applyBorder="1" applyAlignment="1">
      <alignment horizontal="center" vertical="center" wrapText="1"/>
      <protection/>
    </xf>
    <xf numFmtId="164" fontId="5" fillId="0" borderId="22" xfId="53" applyNumberFormat="1" applyFont="1" applyFill="1" applyBorder="1" applyAlignment="1">
      <alignment horizontal="center" vertical="center" wrapText="1"/>
      <protection/>
    </xf>
    <xf numFmtId="164" fontId="5" fillId="0" borderId="22" xfId="0" applyNumberFormat="1" applyFont="1" applyBorder="1" applyAlignment="1">
      <alignment horizontal="center" vertical="center" wrapText="1"/>
    </xf>
    <xf numFmtId="164" fontId="9" fillId="0" borderId="22" xfId="0" applyNumberFormat="1" applyFont="1" applyFill="1" applyBorder="1" applyAlignment="1">
      <alignment horizontal="center" vertical="center" wrapText="1"/>
    </xf>
    <xf numFmtId="164" fontId="9" fillId="0" borderId="23" xfId="0" applyNumberFormat="1" applyFont="1" applyFill="1" applyBorder="1" applyAlignment="1">
      <alignment horizontal="center" vertical="center" wrapText="1"/>
    </xf>
    <xf numFmtId="164" fontId="5" fillId="0" borderId="10" xfId="53" applyNumberFormat="1" applyFont="1" applyBorder="1" applyAlignment="1">
      <alignment horizontal="center" vertical="center" wrapText="1"/>
      <protection/>
    </xf>
    <xf numFmtId="164" fontId="9" fillId="0" borderId="10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0" xfId="53" applyNumberFormat="1" applyFont="1" applyBorder="1" applyAlignment="1">
      <alignment horizontal="center" vertical="center" wrapText="1"/>
      <protection/>
    </xf>
    <xf numFmtId="0" fontId="10" fillId="36" borderId="24" xfId="53" applyNumberFormat="1" applyFont="1" applyFill="1" applyBorder="1" applyAlignment="1">
      <alignment horizontal="center" vertical="center" wrapText="1"/>
      <protection/>
    </xf>
    <xf numFmtId="0" fontId="10" fillId="36" borderId="12" xfId="53" applyNumberFormat="1" applyFont="1" applyFill="1" applyBorder="1" applyAlignment="1">
      <alignment horizontal="center" vertical="center" wrapText="1"/>
      <protection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6" fillId="0" borderId="0" xfId="53" applyNumberFormat="1" applyFont="1" applyFill="1" applyBorder="1" applyAlignment="1">
      <alignment horizontal="right" vertical="center" wrapText="1"/>
      <protection/>
    </xf>
    <xf numFmtId="164" fontId="5" fillId="0" borderId="0" xfId="53" applyNumberFormat="1" applyFont="1" applyFill="1" applyBorder="1" applyAlignment="1">
      <alignment horizontal="left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4" fillId="35" borderId="17" xfId="0" applyFont="1" applyFill="1" applyBorder="1" applyAlignment="1">
      <alignment horizontal="center" vertical="top" wrapText="1"/>
    </xf>
    <xf numFmtId="0" fontId="14" fillId="35" borderId="19" xfId="0" applyFont="1" applyFill="1" applyBorder="1" applyAlignment="1">
      <alignment horizontal="center" vertical="top" wrapText="1"/>
    </xf>
    <xf numFmtId="0" fontId="14" fillId="35" borderId="20" xfId="0" applyFont="1" applyFill="1" applyBorder="1" applyAlignment="1">
      <alignment horizontal="center" vertical="top" wrapText="1"/>
    </xf>
    <xf numFmtId="0" fontId="14" fillId="35" borderId="17" xfId="0" applyFont="1" applyFill="1" applyBorder="1" applyAlignment="1">
      <alignment horizontal="center" vertical="top"/>
    </xf>
    <xf numFmtId="0" fontId="14" fillId="35" borderId="19" xfId="0" applyFont="1" applyFill="1" applyBorder="1" applyAlignment="1">
      <alignment horizontal="center" vertical="top"/>
    </xf>
    <xf numFmtId="0" fontId="14" fillId="35" borderId="20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top"/>
    </xf>
    <xf numFmtId="49" fontId="17" fillId="0" borderId="16" xfId="0" applyNumberFormat="1" applyFont="1" applyFill="1" applyBorder="1" applyAlignment="1">
      <alignment horizontal="center" vertical="top" wrapText="1"/>
    </xf>
    <xf numFmtId="49" fontId="17" fillId="0" borderId="25" xfId="0" applyNumberFormat="1" applyFont="1" applyFill="1" applyBorder="1" applyAlignment="1">
      <alignment horizontal="center" vertical="top" wrapText="1"/>
    </xf>
    <xf numFmtId="49" fontId="17" fillId="0" borderId="26" xfId="0" applyNumberFormat="1" applyFont="1" applyFill="1" applyBorder="1" applyAlignment="1">
      <alignment horizontal="center" vertical="top" wrapText="1"/>
    </xf>
    <xf numFmtId="165" fontId="14" fillId="0" borderId="25" xfId="0" applyNumberFormat="1" applyFont="1" applyFill="1" applyBorder="1" applyAlignment="1">
      <alignment horizontal="center" vertical="top"/>
    </xf>
    <xf numFmtId="165" fontId="14" fillId="0" borderId="26" xfId="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44" fontId="17" fillId="0" borderId="16" xfId="42" applyFont="1" applyFill="1" applyBorder="1" applyAlignment="1">
      <alignment horizontal="center" vertical="top" wrapText="1"/>
    </xf>
    <xf numFmtId="44" fontId="17" fillId="0" borderId="25" xfId="42" applyFont="1" applyFill="1" applyBorder="1" applyAlignment="1">
      <alignment horizontal="center" vertical="top" wrapText="1"/>
    </xf>
    <xf numFmtId="44" fontId="17" fillId="0" borderId="26" xfId="42" applyFont="1" applyFill="1" applyBorder="1" applyAlignment="1">
      <alignment horizontal="center" vertical="top" wrapText="1"/>
    </xf>
    <xf numFmtId="0" fontId="14" fillId="0" borderId="27" xfId="0" applyFont="1" applyFill="1" applyBorder="1" applyAlignment="1">
      <alignment horizontal="center" vertical="top"/>
    </xf>
    <xf numFmtId="0" fontId="14" fillId="0" borderId="28" xfId="0" applyFont="1" applyFill="1" applyBorder="1" applyAlignment="1">
      <alignment horizontal="center" vertical="top"/>
    </xf>
    <xf numFmtId="0" fontId="14" fillId="0" borderId="29" xfId="0" applyFont="1" applyFill="1" applyBorder="1" applyAlignment="1">
      <alignment horizontal="center" vertical="top"/>
    </xf>
    <xf numFmtId="0" fontId="18" fillId="0" borderId="0" xfId="53" applyNumberFormat="1" applyFont="1" applyFill="1" applyBorder="1" applyAlignment="1">
      <alignment horizontal="right" vertical="center" wrapText="1"/>
      <protection/>
    </xf>
    <xf numFmtId="164" fontId="19" fillId="0" borderId="0" xfId="0" applyNumberFormat="1" applyFont="1" applyFill="1" applyBorder="1" applyAlignment="1">
      <alignment horizontal="left" vertical="center" wrapText="1"/>
    </xf>
    <xf numFmtId="0" fontId="26" fillId="36" borderId="24" xfId="53" applyNumberFormat="1" applyFont="1" applyFill="1" applyBorder="1" applyAlignment="1">
      <alignment horizontal="center" vertical="center" wrapText="1"/>
      <protection/>
    </xf>
    <xf numFmtId="0" fontId="26" fillId="36" borderId="12" xfId="53" applyNumberFormat="1" applyFont="1" applyFill="1" applyBorder="1" applyAlignment="1">
      <alignment horizontal="center" vertical="center" wrapText="1"/>
      <protection/>
    </xf>
    <xf numFmtId="164" fontId="19" fillId="0" borderId="0" xfId="53" applyNumberFormat="1" applyFont="1" applyFill="1" applyBorder="1" applyAlignment="1">
      <alignment horizontal="left" vertical="center" wrapText="1"/>
      <protection/>
    </xf>
    <xf numFmtId="164" fontId="22" fillId="0" borderId="10" xfId="53" applyNumberFormat="1" applyFont="1" applyFill="1" applyBorder="1" applyAlignment="1">
      <alignment horizontal="center" vertical="center" wrapText="1"/>
      <protection/>
    </xf>
    <xf numFmtId="164" fontId="24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 wrapText="1"/>
    </xf>
    <xf numFmtId="164" fontId="22" fillId="0" borderId="10" xfId="53" applyNumberFormat="1" applyFont="1" applyBorder="1" applyAlignment="1">
      <alignment horizontal="center" vertical="center" wrapText="1"/>
      <protection/>
    </xf>
    <xf numFmtId="164" fontId="23" fillId="0" borderId="10" xfId="53" applyNumberFormat="1" applyFont="1" applyFill="1" applyBorder="1" applyAlignment="1">
      <alignment horizontal="center" vertical="center" wrapText="1"/>
      <protection/>
    </xf>
    <xf numFmtId="164" fontId="23" fillId="0" borderId="10" xfId="0" applyNumberFormat="1" applyFont="1" applyBorder="1" applyAlignment="1">
      <alignment horizontal="center" vertical="center" wrapText="1"/>
    </xf>
    <xf numFmtId="0" fontId="20" fillId="0" borderId="0" xfId="53" applyNumberFormat="1" applyFont="1" applyAlignment="1">
      <alignment horizontal="center" vertical="center" wrapText="1"/>
      <protection/>
    </xf>
    <xf numFmtId="49" fontId="21" fillId="0" borderId="21" xfId="53" applyNumberFormat="1" applyFont="1" applyBorder="1" applyAlignment="1">
      <alignment horizontal="center" vertical="center" wrapText="1"/>
      <protection/>
    </xf>
    <xf numFmtId="49" fontId="21" fillId="0" borderId="11" xfId="53" applyNumberFormat="1" applyFont="1" applyBorder="1" applyAlignment="1">
      <alignment horizontal="center" vertical="center" wrapText="1"/>
      <protection/>
    </xf>
    <xf numFmtId="0" fontId="21" fillId="0" borderId="22" xfId="53" applyNumberFormat="1" applyFont="1" applyBorder="1" applyAlignment="1">
      <alignment horizontal="center" vertical="center" wrapText="1"/>
      <protection/>
    </xf>
    <xf numFmtId="0" fontId="21" fillId="0" borderId="10" xfId="53" applyNumberFormat="1" applyFont="1" applyBorder="1" applyAlignment="1">
      <alignment horizontal="center" vertical="center" wrapText="1"/>
      <protection/>
    </xf>
    <xf numFmtId="164" fontId="22" fillId="0" borderId="22" xfId="53" applyNumberFormat="1" applyFont="1" applyFill="1" applyBorder="1" applyAlignment="1">
      <alignment horizontal="center" vertical="center" wrapText="1"/>
      <protection/>
    </xf>
    <xf numFmtId="164" fontId="22" fillId="0" borderId="22" xfId="0" applyNumberFormat="1" applyFont="1" applyBorder="1" applyAlignment="1">
      <alignment horizontal="center" vertical="center" wrapText="1"/>
    </xf>
    <xf numFmtId="164" fontId="23" fillId="0" borderId="15" xfId="53" applyNumberFormat="1" applyFont="1" applyBorder="1" applyAlignment="1">
      <alignment horizontal="center" vertical="center" wrapText="1"/>
      <protection/>
    </xf>
    <xf numFmtId="164" fontId="23" fillId="0" borderId="15" xfId="0" applyNumberFormat="1" applyFont="1" applyBorder="1" applyAlignment="1">
      <alignment horizontal="center" vertical="center" wrapText="1"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0" fontId="25" fillId="0" borderId="15" xfId="53" applyNumberFormat="1" applyFont="1" applyFill="1" applyBorder="1" applyAlignment="1">
      <alignment horizontal="center" vertical="center" wrapText="1"/>
      <protection/>
    </xf>
    <xf numFmtId="164" fontId="23" fillId="0" borderId="22" xfId="0" applyNumberFormat="1" applyFont="1" applyFill="1" applyBorder="1" applyAlignment="1">
      <alignment horizontal="center" vertical="center" wrapText="1"/>
    </xf>
    <xf numFmtId="164" fontId="23" fillId="0" borderId="23" xfId="0" applyNumberFormat="1" applyFont="1" applyFill="1" applyBorder="1" applyAlignment="1">
      <alignment horizontal="center" vertical="center" wrapText="1"/>
    </xf>
    <xf numFmtId="164" fontId="23" fillId="0" borderId="10" xfId="53" applyNumberFormat="1" applyFont="1" applyBorder="1" applyAlignment="1">
      <alignment horizontal="center" vertical="center" wrapText="1"/>
      <protection/>
    </xf>
    <xf numFmtId="49" fontId="25" fillId="33" borderId="11" xfId="53" applyNumberFormat="1" applyFont="1" applyFill="1" applyBorder="1" applyAlignment="1" quotePrefix="1">
      <alignment horizontal="center" vertical="center" wrapText="1"/>
      <protection/>
    </xf>
    <xf numFmtId="0" fontId="25" fillId="33" borderId="10" xfId="53" applyNumberFormat="1" applyFont="1" applyFill="1" applyBorder="1" applyAlignment="1">
      <alignment horizontal="left" vertical="center" wrapText="1"/>
      <protection/>
    </xf>
    <xf numFmtId="164" fontId="23" fillId="37" borderId="10" xfId="53" applyNumberFormat="1" applyFont="1" applyFill="1" applyBorder="1" applyAlignment="1">
      <alignment horizontal="center" vertical="center" wrapText="1"/>
      <protection/>
    </xf>
    <xf numFmtId="0" fontId="14" fillId="35" borderId="17" xfId="0" applyFont="1" applyFill="1" applyBorder="1" applyAlignment="1">
      <alignment horizontal="center" vertical="justify"/>
    </xf>
    <xf numFmtId="0" fontId="14" fillId="35" borderId="19" xfId="0" applyFont="1" applyFill="1" applyBorder="1" applyAlignment="1">
      <alignment horizontal="center" vertical="justify"/>
    </xf>
    <xf numFmtId="0" fontId="14" fillId="35" borderId="20" xfId="0" applyFont="1" applyFill="1" applyBorder="1" applyAlignment="1">
      <alignment horizontal="center" vertical="justify"/>
    </xf>
    <xf numFmtId="165" fontId="14" fillId="35" borderId="20" xfId="0" applyNumberFormat="1" applyFont="1" applyFill="1" applyBorder="1" applyAlignment="1">
      <alignment horizontal="right" vertical="top"/>
    </xf>
    <xf numFmtId="0" fontId="13" fillId="35" borderId="0" xfId="0" applyFont="1" applyFill="1" applyAlignment="1">
      <alignment vertical="top"/>
    </xf>
    <xf numFmtId="165" fontId="14" fillId="35" borderId="10" xfId="0" applyNumberFormat="1" applyFont="1" applyFill="1" applyBorder="1" applyAlignment="1">
      <alignment vertical="top"/>
    </xf>
    <xf numFmtId="165" fontId="17" fillId="35" borderId="10" xfId="0" applyNumberFormat="1" applyFont="1" applyFill="1" applyBorder="1" applyAlignment="1">
      <alignment vertical="top" wrapText="1"/>
    </xf>
    <xf numFmtId="165" fontId="13" fillId="35" borderId="10" xfId="0" applyNumberFormat="1" applyFont="1" applyFill="1" applyBorder="1" applyAlignment="1">
      <alignment horizontal="right" vertical="top"/>
    </xf>
    <xf numFmtId="165" fontId="13" fillId="35" borderId="10" xfId="0" applyNumberFormat="1" applyFont="1" applyFill="1" applyBorder="1" applyAlignment="1">
      <alignment vertical="top"/>
    </xf>
    <xf numFmtId="165" fontId="13" fillId="35" borderId="20" xfId="0" applyNumberFormat="1" applyFont="1" applyFill="1" applyBorder="1" applyAlignment="1">
      <alignment horizontal="right" vertical="top"/>
    </xf>
    <xf numFmtId="165" fontId="16" fillId="35" borderId="10" xfId="0" applyNumberFormat="1" applyFont="1" applyFill="1" applyBorder="1" applyAlignment="1">
      <alignment horizontal="right" vertical="top" wrapText="1"/>
    </xf>
    <xf numFmtId="165" fontId="14" fillId="35" borderId="10" xfId="0" applyNumberFormat="1" applyFont="1" applyFill="1" applyBorder="1" applyAlignment="1">
      <alignment horizontal="right" vertical="top"/>
    </xf>
    <xf numFmtId="165" fontId="17" fillId="35" borderId="10" xfId="0" applyNumberFormat="1" applyFont="1" applyFill="1" applyBorder="1" applyAlignment="1">
      <alignment vertical="top"/>
    </xf>
    <xf numFmtId="165" fontId="17" fillId="35" borderId="10" xfId="0" applyNumberFormat="1" applyFont="1" applyFill="1" applyBorder="1" applyAlignment="1">
      <alignment vertical="top" wrapText="1" shrinkToFit="1"/>
    </xf>
    <xf numFmtId="165" fontId="13" fillId="35" borderId="0" xfId="0" applyNumberFormat="1" applyFont="1" applyFill="1" applyAlignment="1">
      <alignment vertical="top"/>
    </xf>
    <xf numFmtId="165" fontId="17" fillId="35" borderId="20" xfId="0" applyNumberFormat="1" applyFont="1" applyFill="1" applyBorder="1" applyAlignment="1">
      <alignment vertical="top" wrapText="1"/>
    </xf>
    <xf numFmtId="165" fontId="13" fillId="35" borderId="20" xfId="0" applyNumberFormat="1" applyFont="1" applyFill="1" applyBorder="1" applyAlignment="1">
      <alignment vertical="top"/>
    </xf>
    <xf numFmtId="0" fontId="17" fillId="35" borderId="14" xfId="0" applyFont="1" applyFill="1" applyBorder="1" applyAlignment="1">
      <alignment vertical="top" wrapText="1"/>
    </xf>
    <xf numFmtId="165" fontId="17" fillId="35" borderId="14" xfId="0" applyNumberFormat="1" applyFont="1" applyFill="1" applyBorder="1" applyAlignment="1">
      <alignment vertical="top" wrapText="1"/>
    </xf>
    <xf numFmtId="165" fontId="17" fillId="35" borderId="10" xfId="0" applyNumberFormat="1" applyFont="1" applyFill="1" applyBorder="1" applyAlignment="1">
      <alignment horizontal="right" vertical="top" wrapText="1"/>
    </xf>
    <xf numFmtId="165" fontId="13" fillId="35" borderId="17" xfId="0" applyNumberFormat="1" applyFont="1" applyFill="1" applyBorder="1" applyAlignment="1">
      <alignment horizontal="right" vertical="top"/>
    </xf>
    <xf numFmtId="165" fontId="17" fillId="35" borderId="10" xfId="0" applyNumberFormat="1" applyFont="1" applyFill="1" applyBorder="1" applyAlignment="1">
      <alignment horizontal="right" vertical="top" wrapText="1" shrinkToFit="1"/>
    </xf>
    <xf numFmtId="165" fontId="14" fillId="35" borderId="17" xfId="0" applyNumberFormat="1" applyFont="1" applyFill="1" applyBorder="1" applyAlignment="1">
      <alignment vertical="top"/>
    </xf>
    <xf numFmtId="0" fontId="13" fillId="35" borderId="10" xfId="0" applyFont="1" applyFill="1" applyBorder="1" applyAlignment="1">
      <alignment vertical="top"/>
    </xf>
    <xf numFmtId="165" fontId="17" fillId="35" borderId="20" xfId="0" applyNumberFormat="1" applyFont="1" applyFill="1" applyBorder="1" applyAlignment="1">
      <alignment horizontal="right" vertical="top" wrapText="1"/>
    </xf>
    <xf numFmtId="165" fontId="16" fillId="35" borderId="27" xfId="0" applyNumberFormat="1" applyFont="1" applyFill="1" applyBorder="1" applyAlignment="1">
      <alignment horizontal="right" vertical="top" wrapText="1"/>
    </xf>
    <xf numFmtId="165" fontId="17" fillId="35" borderId="10" xfId="0" applyNumberFormat="1" applyFont="1" applyFill="1" applyBorder="1" applyAlignment="1">
      <alignment horizontal="right" vertical="top"/>
    </xf>
    <xf numFmtId="165" fontId="17" fillId="35" borderId="14" xfId="0" applyNumberFormat="1" applyFont="1" applyFill="1" applyBorder="1" applyAlignment="1">
      <alignment horizontal="right" vertical="top" wrapText="1"/>
    </xf>
    <xf numFmtId="165" fontId="16" fillId="35" borderId="10" xfId="0" applyNumberFormat="1" applyFont="1" applyFill="1" applyBorder="1" applyAlignment="1">
      <alignment vertical="top" wrapText="1"/>
    </xf>
    <xf numFmtId="166" fontId="13" fillId="35" borderId="10" xfId="0" applyNumberFormat="1" applyFont="1" applyFill="1" applyBorder="1" applyAlignment="1">
      <alignment vertical="top"/>
    </xf>
    <xf numFmtId="165" fontId="17" fillId="35" borderId="10" xfId="0" applyNumberFormat="1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94">
      <selection activeCell="I121" sqref="I121:J121"/>
    </sheetView>
  </sheetViews>
  <sheetFormatPr defaultColWidth="9.00390625" defaultRowHeight="12.75"/>
  <cols>
    <col min="2" max="2" width="52.00390625" style="0" customWidth="1"/>
    <col min="3" max="3" width="11.75390625" style="0" customWidth="1"/>
    <col min="4" max="4" width="11.25390625" style="0" customWidth="1"/>
    <col min="5" max="5" width="10.875" style="0" customWidth="1"/>
    <col min="6" max="6" width="11.75390625" style="0" customWidth="1"/>
    <col min="7" max="7" width="10.625" style="0" customWidth="1"/>
    <col min="9" max="9" width="11.75390625" style="0" customWidth="1"/>
    <col min="10" max="10" width="10.75390625" style="0" customWidth="1"/>
  </cols>
  <sheetData>
    <row r="1" spans="1:11" ht="14.25">
      <c r="A1" s="169" t="s">
        <v>170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2.75">
      <c r="A3" s="170" t="s">
        <v>98</v>
      </c>
      <c r="B3" s="172" t="s">
        <v>97</v>
      </c>
      <c r="C3" s="174" t="s">
        <v>113</v>
      </c>
      <c r="D3" s="174"/>
      <c r="E3" s="174"/>
      <c r="F3" s="175" t="s">
        <v>112</v>
      </c>
      <c r="G3" s="175"/>
      <c r="H3" s="175"/>
      <c r="I3" s="176" t="s">
        <v>111</v>
      </c>
      <c r="J3" s="176"/>
      <c r="K3" s="177"/>
    </row>
    <row r="4" spans="1:11" ht="12.75">
      <c r="A4" s="171"/>
      <c r="B4" s="173"/>
      <c r="C4" s="161" t="s">
        <v>78</v>
      </c>
      <c r="D4" s="161" t="s">
        <v>171</v>
      </c>
      <c r="E4" s="161" t="s">
        <v>77</v>
      </c>
      <c r="F4" s="161" t="s">
        <v>78</v>
      </c>
      <c r="G4" s="178" t="s">
        <v>171</v>
      </c>
      <c r="H4" s="178" t="s">
        <v>77</v>
      </c>
      <c r="I4" s="179" t="s">
        <v>78</v>
      </c>
      <c r="J4" s="181" t="s">
        <v>173</v>
      </c>
      <c r="K4" s="164" t="s">
        <v>77</v>
      </c>
    </row>
    <row r="5" spans="1:11" ht="19.5" customHeight="1">
      <c r="A5" s="171"/>
      <c r="B5" s="173"/>
      <c r="C5" s="162"/>
      <c r="D5" s="161"/>
      <c r="E5" s="168"/>
      <c r="F5" s="162"/>
      <c r="G5" s="178"/>
      <c r="H5" s="162"/>
      <c r="I5" s="180"/>
      <c r="J5" s="181"/>
      <c r="K5" s="165"/>
    </row>
    <row r="6" spans="1:11" ht="12.75">
      <c r="A6" s="171"/>
      <c r="B6" s="166" t="s">
        <v>0</v>
      </c>
      <c r="C6" s="166"/>
      <c r="D6" s="166"/>
      <c r="E6" s="166"/>
      <c r="F6" s="166"/>
      <c r="G6" s="166"/>
      <c r="H6" s="166"/>
      <c r="I6" s="166"/>
      <c r="J6" s="166"/>
      <c r="K6" s="167"/>
    </row>
    <row r="7" spans="1:11" ht="12.75">
      <c r="A7" s="171"/>
      <c r="B7" s="166"/>
      <c r="C7" s="166"/>
      <c r="D7" s="166"/>
      <c r="E7" s="166"/>
      <c r="F7" s="166"/>
      <c r="G7" s="166"/>
      <c r="H7" s="166"/>
      <c r="I7" s="166"/>
      <c r="J7" s="166"/>
      <c r="K7" s="167"/>
    </row>
    <row r="8" spans="1:11" ht="12.75">
      <c r="A8" s="171"/>
      <c r="B8" s="166"/>
      <c r="C8" s="166"/>
      <c r="D8" s="166"/>
      <c r="E8" s="166"/>
      <c r="F8" s="166"/>
      <c r="G8" s="166"/>
      <c r="H8" s="166"/>
      <c r="I8" s="166"/>
      <c r="J8" s="166"/>
      <c r="K8" s="167"/>
    </row>
    <row r="9" spans="1:11" ht="12.75">
      <c r="A9" s="13" t="s">
        <v>1</v>
      </c>
      <c r="B9" s="4" t="s">
        <v>2</v>
      </c>
      <c r="C9" s="24">
        <f>SUM(C10:C17)</f>
        <v>241075.8</v>
      </c>
      <c r="D9" s="24">
        <f>SUM(D10:D17)</f>
        <v>20199.8</v>
      </c>
      <c r="E9" s="24">
        <f>D9/C9*100</f>
        <v>8.379024356654629</v>
      </c>
      <c r="F9" s="24">
        <f>F10+F11+F12+F13+F14+F16+F17+F15</f>
        <v>170540.7</v>
      </c>
      <c r="G9" s="24">
        <f>SUM(G10:G17)</f>
        <v>7172.1</v>
      </c>
      <c r="H9" s="35">
        <f>G9/F9*100</f>
        <v>4.205506368860923</v>
      </c>
      <c r="I9" s="24">
        <f>SUM(I10:I17)</f>
        <v>410942.5</v>
      </c>
      <c r="J9" s="24">
        <f>SUM(J10:J17)</f>
        <v>27371.9</v>
      </c>
      <c r="K9" s="36">
        <f>J9/I9*100</f>
        <v>6.660761542064887</v>
      </c>
    </row>
    <row r="10" spans="1:11" ht="12.75">
      <c r="A10" s="14" t="s">
        <v>3</v>
      </c>
      <c r="B10" s="3" t="s">
        <v>4</v>
      </c>
      <c r="C10" s="22">
        <v>14331</v>
      </c>
      <c r="D10" s="22">
        <v>2746</v>
      </c>
      <c r="E10" s="22">
        <f>D10/C10*100</f>
        <v>19.16125880957365</v>
      </c>
      <c r="F10" s="25">
        <v>33428.3</v>
      </c>
      <c r="G10" s="23">
        <v>1588.9</v>
      </c>
      <c r="H10" s="25">
        <f>G10/F10*100</f>
        <v>4.753158252139654</v>
      </c>
      <c r="I10" s="40">
        <f aca="true" t="shared" si="0" ref="I10:J80">C10+F10</f>
        <v>47759.3</v>
      </c>
      <c r="J10" s="46">
        <f t="shared" si="0"/>
        <v>4334.9</v>
      </c>
      <c r="K10" s="37">
        <f aca="true" t="shared" si="1" ref="K10:K82">J10/I10*100</f>
        <v>9.076556817206281</v>
      </c>
    </row>
    <row r="11" spans="1:11" ht="22.5">
      <c r="A11" s="14" t="s">
        <v>5</v>
      </c>
      <c r="B11" s="3" t="s">
        <v>89</v>
      </c>
      <c r="C11" s="22">
        <v>24414</v>
      </c>
      <c r="D11" s="22">
        <v>2898.3</v>
      </c>
      <c r="E11" s="22">
        <f aca="true" t="shared" si="2" ref="E11:E19">D11/C11*100</f>
        <v>11.871467190956011</v>
      </c>
      <c r="F11" s="25">
        <v>0</v>
      </c>
      <c r="G11" s="23">
        <v>0</v>
      </c>
      <c r="H11" s="25">
        <v>0</v>
      </c>
      <c r="I11" s="40">
        <f t="shared" si="0"/>
        <v>24414</v>
      </c>
      <c r="J11" s="46">
        <f t="shared" si="0"/>
        <v>2898.3</v>
      </c>
      <c r="K11" s="37">
        <f t="shared" si="1"/>
        <v>11.871467190956011</v>
      </c>
    </row>
    <row r="12" spans="1:11" ht="12.75">
      <c r="A12" s="14" t="s">
        <v>6</v>
      </c>
      <c r="B12" s="3" t="s">
        <v>7</v>
      </c>
      <c r="C12" s="22">
        <v>113281.4</v>
      </c>
      <c r="D12" s="22">
        <v>11209.4</v>
      </c>
      <c r="E12" s="22">
        <f t="shared" si="2"/>
        <v>9.89518138017362</v>
      </c>
      <c r="F12" s="25">
        <v>109532.1</v>
      </c>
      <c r="G12" s="23">
        <v>5229.6</v>
      </c>
      <c r="H12" s="25">
        <f aca="true" t="shared" si="3" ref="H12:H19">G12/F12*100</f>
        <v>4.774490765720734</v>
      </c>
      <c r="I12" s="40">
        <f t="shared" si="0"/>
        <v>222813.5</v>
      </c>
      <c r="J12" s="46">
        <f t="shared" si="0"/>
        <v>16439</v>
      </c>
      <c r="K12" s="37">
        <f t="shared" si="1"/>
        <v>7.377919201484649</v>
      </c>
    </row>
    <row r="13" spans="1:11" ht="12.75">
      <c r="A13" s="14" t="s">
        <v>8</v>
      </c>
      <c r="B13" s="3" t="s">
        <v>9</v>
      </c>
      <c r="C13" s="22">
        <v>0</v>
      </c>
      <c r="D13" s="22">
        <v>0</v>
      </c>
      <c r="E13" s="22"/>
      <c r="F13" s="25">
        <v>0</v>
      </c>
      <c r="G13" s="23">
        <v>0</v>
      </c>
      <c r="H13" s="25">
        <v>0</v>
      </c>
      <c r="I13" s="40">
        <f t="shared" si="0"/>
        <v>0</v>
      </c>
      <c r="J13" s="46">
        <f t="shared" si="0"/>
        <v>0</v>
      </c>
      <c r="K13" s="37"/>
    </row>
    <row r="14" spans="1:11" ht="12.75">
      <c r="A14" s="14" t="s">
        <v>10</v>
      </c>
      <c r="B14" s="3" t="s">
        <v>11</v>
      </c>
      <c r="C14" s="22">
        <v>28851.6</v>
      </c>
      <c r="D14" s="22">
        <v>2873</v>
      </c>
      <c r="E14" s="22">
        <f t="shared" si="2"/>
        <v>9.957853290632062</v>
      </c>
      <c r="F14" s="25">
        <v>594</v>
      </c>
      <c r="G14" s="23">
        <v>0</v>
      </c>
      <c r="H14" s="25">
        <f t="shared" si="3"/>
        <v>0</v>
      </c>
      <c r="I14" s="40">
        <f>C14+F14-594</f>
        <v>28851.6</v>
      </c>
      <c r="J14" s="46">
        <f>D14+G14</f>
        <v>2873</v>
      </c>
      <c r="K14" s="37">
        <f t="shared" si="1"/>
        <v>9.957853290632062</v>
      </c>
    </row>
    <row r="15" spans="1:11" ht="12.75">
      <c r="A15" s="15" t="s">
        <v>12</v>
      </c>
      <c r="B15" s="3" t="s">
        <v>169</v>
      </c>
      <c r="C15" s="22"/>
      <c r="D15" s="22"/>
      <c r="E15" s="22"/>
      <c r="F15" s="25">
        <v>8625</v>
      </c>
      <c r="G15" s="23">
        <v>0</v>
      </c>
      <c r="H15" s="25"/>
      <c r="I15" s="40">
        <f>C15+F15</f>
        <v>8625</v>
      </c>
      <c r="J15" s="46">
        <f t="shared" si="0"/>
        <v>0</v>
      </c>
      <c r="K15" s="37">
        <f t="shared" si="1"/>
        <v>0</v>
      </c>
    </row>
    <row r="16" spans="1:11" ht="12.75">
      <c r="A16" s="15" t="s">
        <v>13</v>
      </c>
      <c r="B16" s="3" t="s">
        <v>14</v>
      </c>
      <c r="C16" s="22">
        <v>4536</v>
      </c>
      <c r="D16" s="22">
        <v>0</v>
      </c>
      <c r="E16" s="22">
        <f t="shared" si="2"/>
        <v>0</v>
      </c>
      <c r="F16" s="25">
        <v>1340.5</v>
      </c>
      <c r="G16" s="23">
        <v>0</v>
      </c>
      <c r="H16" s="25">
        <f t="shared" si="3"/>
        <v>0</v>
      </c>
      <c r="I16" s="40">
        <f t="shared" si="0"/>
        <v>5876.5</v>
      </c>
      <c r="J16" s="46">
        <f t="shared" si="0"/>
        <v>0</v>
      </c>
      <c r="K16" s="37">
        <f t="shared" si="1"/>
        <v>0</v>
      </c>
    </row>
    <row r="17" spans="1:11" ht="12.75">
      <c r="A17" s="14" t="s">
        <v>80</v>
      </c>
      <c r="B17" s="3" t="s">
        <v>15</v>
      </c>
      <c r="C17" s="22">
        <v>55661.8</v>
      </c>
      <c r="D17" s="22">
        <v>473.1</v>
      </c>
      <c r="E17" s="22">
        <f t="shared" si="2"/>
        <v>0.8499545469244616</v>
      </c>
      <c r="F17" s="25">
        <v>17020.8</v>
      </c>
      <c r="G17" s="23">
        <v>353.6</v>
      </c>
      <c r="H17" s="25">
        <f t="shared" si="3"/>
        <v>2.0774581688287275</v>
      </c>
      <c r="I17" s="40">
        <f>C17+F17-80</f>
        <v>72602.6</v>
      </c>
      <c r="J17" s="46">
        <f>D17+G17</f>
        <v>826.7</v>
      </c>
      <c r="K17" s="37">
        <f t="shared" si="1"/>
        <v>1.1386644555429144</v>
      </c>
    </row>
    <row r="18" spans="1:11" ht="12.75">
      <c r="A18" s="13" t="s">
        <v>16</v>
      </c>
      <c r="B18" s="4" t="s">
        <v>17</v>
      </c>
      <c r="C18" s="24">
        <f aca="true" t="shared" si="4" ref="C18:J18">C19</f>
        <v>3567.9</v>
      </c>
      <c r="D18" s="24">
        <f t="shared" si="4"/>
        <v>0</v>
      </c>
      <c r="E18" s="24">
        <f t="shared" si="4"/>
        <v>0</v>
      </c>
      <c r="F18" s="24">
        <f t="shared" si="4"/>
        <v>3567.9</v>
      </c>
      <c r="G18" s="24">
        <f t="shared" si="4"/>
        <v>8</v>
      </c>
      <c r="H18" s="38">
        <f t="shared" si="4"/>
        <v>0.22422153087250205</v>
      </c>
      <c r="I18" s="24">
        <f t="shared" si="4"/>
        <v>3567.9</v>
      </c>
      <c r="J18" s="24">
        <f t="shared" si="4"/>
        <v>8</v>
      </c>
      <c r="K18" s="39">
        <f t="shared" si="1"/>
        <v>0.22422153087250205</v>
      </c>
    </row>
    <row r="19" spans="1:11" ht="12.75">
      <c r="A19" s="14" t="s">
        <v>18</v>
      </c>
      <c r="B19" s="3" t="s">
        <v>19</v>
      </c>
      <c r="C19" s="22">
        <v>3567.9</v>
      </c>
      <c r="D19" s="22">
        <v>0</v>
      </c>
      <c r="E19" s="22">
        <f t="shared" si="2"/>
        <v>0</v>
      </c>
      <c r="F19" s="25">
        <v>3567.9</v>
      </c>
      <c r="G19" s="23">
        <v>8</v>
      </c>
      <c r="H19" s="25">
        <f t="shared" si="3"/>
        <v>0.22422153087250205</v>
      </c>
      <c r="I19" s="40">
        <f>C19+F19-3567.9</f>
        <v>3567.9</v>
      </c>
      <c r="J19" s="46">
        <f>D19+G19</f>
        <v>8</v>
      </c>
      <c r="K19" s="37">
        <f t="shared" si="1"/>
        <v>0.22422153087250205</v>
      </c>
    </row>
    <row r="20" spans="1:11" ht="12.75">
      <c r="A20" s="184" t="s">
        <v>20</v>
      </c>
      <c r="B20" s="185" t="s">
        <v>102</v>
      </c>
      <c r="C20" s="163">
        <f>C23+C24+C22</f>
        <v>25046.9</v>
      </c>
      <c r="D20" s="163">
        <f>D23+D24+D22</f>
        <v>0</v>
      </c>
      <c r="E20" s="163">
        <f>D20/C20*100</f>
        <v>0</v>
      </c>
      <c r="F20" s="163">
        <f>F23+F24+F22</f>
        <v>9535.5</v>
      </c>
      <c r="G20" s="163">
        <f>G23+G24+G22</f>
        <v>0</v>
      </c>
      <c r="H20" s="163">
        <f>G20/F20*100</f>
        <v>0</v>
      </c>
      <c r="I20" s="163">
        <f>I23+I24+I22</f>
        <v>32921.4</v>
      </c>
      <c r="J20" s="163">
        <f>SUM(J22:J24)</f>
        <v>0</v>
      </c>
      <c r="K20" s="163">
        <f>J20/I20*100</f>
        <v>0</v>
      </c>
    </row>
    <row r="21" spans="1:11" ht="12.75">
      <c r="A21" s="184"/>
      <c r="B21" s="185"/>
      <c r="C21" s="163"/>
      <c r="D21" s="163"/>
      <c r="E21" s="163"/>
      <c r="F21" s="163"/>
      <c r="G21" s="163"/>
      <c r="H21" s="163"/>
      <c r="I21" s="163"/>
      <c r="J21" s="163"/>
      <c r="K21" s="163"/>
    </row>
    <row r="22" spans="1:11" ht="12.75">
      <c r="A22" s="15" t="s">
        <v>116</v>
      </c>
      <c r="B22" s="3" t="s">
        <v>103</v>
      </c>
      <c r="C22" s="22">
        <v>5428.2</v>
      </c>
      <c r="D22" s="22">
        <v>0</v>
      </c>
      <c r="E22" s="22">
        <f aca="true" t="shared" si="5" ref="E22:E95">D22/C22*100</f>
        <v>0</v>
      </c>
      <c r="F22" s="26">
        <v>761</v>
      </c>
      <c r="G22" s="23">
        <v>0</v>
      </c>
      <c r="H22" s="25">
        <f>G22/F22*100</f>
        <v>0</v>
      </c>
      <c r="I22" s="40">
        <f>C22+F22-761</f>
        <v>5428.2</v>
      </c>
      <c r="J22" s="46">
        <f>D22+G22</f>
        <v>0</v>
      </c>
      <c r="K22" s="37">
        <f>J22/I22*100</f>
        <v>0</v>
      </c>
    </row>
    <row r="23" spans="1:11" ht="12.75">
      <c r="A23" s="14" t="s">
        <v>21</v>
      </c>
      <c r="B23" s="3" t="s">
        <v>117</v>
      </c>
      <c r="C23" s="22">
        <v>10083</v>
      </c>
      <c r="D23" s="22">
        <v>0</v>
      </c>
      <c r="E23" s="22">
        <f t="shared" si="5"/>
        <v>0</v>
      </c>
      <c r="F23" s="25">
        <v>8774.5</v>
      </c>
      <c r="G23" s="23">
        <v>0</v>
      </c>
      <c r="H23" s="25">
        <f>G23/F23*100</f>
        <v>0</v>
      </c>
      <c r="I23" s="40">
        <f>C23+F23-900</f>
        <v>17957.5</v>
      </c>
      <c r="J23" s="46">
        <f>D23+G23</f>
        <v>0</v>
      </c>
      <c r="K23" s="37">
        <f>J23/I23*100</f>
        <v>0</v>
      </c>
    </row>
    <row r="24" spans="1:11" ht="22.5">
      <c r="A24" s="15" t="s">
        <v>107</v>
      </c>
      <c r="B24" s="3" t="s">
        <v>108</v>
      </c>
      <c r="C24" s="22">
        <v>9535.7</v>
      </c>
      <c r="D24" s="22">
        <v>0</v>
      </c>
      <c r="E24" s="22">
        <f t="shared" si="5"/>
        <v>0</v>
      </c>
      <c r="F24" s="25">
        <v>0</v>
      </c>
      <c r="G24" s="23">
        <v>0</v>
      </c>
      <c r="H24" s="25">
        <v>0</v>
      </c>
      <c r="I24" s="40">
        <f>C24+F24</f>
        <v>9535.7</v>
      </c>
      <c r="J24" s="46">
        <f>D24+G24</f>
        <v>0</v>
      </c>
      <c r="K24" s="37">
        <f>J24/I24*100</f>
        <v>0</v>
      </c>
    </row>
    <row r="25" spans="1:11" ht="12.75">
      <c r="A25" s="13" t="s">
        <v>22</v>
      </c>
      <c r="B25" s="4" t="s">
        <v>23</v>
      </c>
      <c r="C25" s="24">
        <f>SUM(C26:C44)</f>
        <v>176387.6</v>
      </c>
      <c r="D25" s="24">
        <f>SUM(D26:D44)</f>
        <v>2159.1</v>
      </c>
      <c r="E25" s="24">
        <f>D25/C25*100</f>
        <v>1.2240656372670187</v>
      </c>
      <c r="F25" s="24">
        <f>SUM(F26:F44)</f>
        <v>77760.7</v>
      </c>
      <c r="G25" s="24">
        <f>SUM(G26:G44)</f>
        <v>137.6</v>
      </c>
      <c r="H25" s="35">
        <f>G25/F25*100</f>
        <v>0.17695313956793085</v>
      </c>
      <c r="I25" s="24">
        <f>SUM(I26:I44)</f>
        <v>217828.6</v>
      </c>
      <c r="J25" s="24">
        <f>SUM(J26:J44)</f>
        <v>2296.7</v>
      </c>
      <c r="K25" s="36">
        <f t="shared" si="1"/>
        <v>1.0543610894069924</v>
      </c>
    </row>
    <row r="26" spans="1:11" ht="12.75">
      <c r="A26" s="15" t="s">
        <v>24</v>
      </c>
      <c r="B26" s="16" t="s">
        <v>99</v>
      </c>
      <c r="C26" s="22">
        <v>10341.5</v>
      </c>
      <c r="D26" s="22">
        <v>0</v>
      </c>
      <c r="E26" s="22">
        <f t="shared" si="5"/>
        <v>0</v>
      </c>
      <c r="F26" s="56">
        <v>497.9</v>
      </c>
      <c r="G26" s="28">
        <v>-5</v>
      </c>
      <c r="H26" s="25">
        <f>G26/F26*100</f>
        <v>-1.004217714400482</v>
      </c>
      <c r="I26" s="40">
        <f>C26+F26-297.9</f>
        <v>10541.5</v>
      </c>
      <c r="J26" s="40">
        <f>D26+G26</f>
        <v>-5</v>
      </c>
      <c r="K26" s="37">
        <f t="shared" si="1"/>
        <v>-0.047431579945928</v>
      </c>
    </row>
    <row r="27" spans="1:11" ht="12.75">
      <c r="A27" s="14" t="s">
        <v>25</v>
      </c>
      <c r="B27" s="3" t="s">
        <v>26</v>
      </c>
      <c r="C27" s="22">
        <v>38525</v>
      </c>
      <c r="D27" s="22">
        <v>2103.9</v>
      </c>
      <c r="E27" s="22">
        <f t="shared" si="5"/>
        <v>5.461129136924075</v>
      </c>
      <c r="F27" s="25">
        <v>0</v>
      </c>
      <c r="G27" s="23">
        <v>0</v>
      </c>
      <c r="H27" s="25">
        <v>0</v>
      </c>
      <c r="I27" s="40">
        <f t="shared" si="0"/>
        <v>38525</v>
      </c>
      <c r="J27" s="46">
        <f t="shared" si="0"/>
        <v>2103.9</v>
      </c>
      <c r="K27" s="37">
        <f t="shared" si="1"/>
        <v>5.461129136924075</v>
      </c>
    </row>
    <row r="28" spans="1:11" ht="12.75">
      <c r="A28" s="14" t="s">
        <v>27</v>
      </c>
      <c r="B28" s="3" t="s">
        <v>121</v>
      </c>
      <c r="C28" s="56">
        <v>6650</v>
      </c>
      <c r="D28" s="22">
        <v>0</v>
      </c>
      <c r="E28" s="22">
        <f t="shared" si="5"/>
        <v>0</v>
      </c>
      <c r="F28" s="25">
        <v>0</v>
      </c>
      <c r="G28" s="23">
        <v>0</v>
      </c>
      <c r="H28" s="25">
        <v>0</v>
      </c>
      <c r="I28" s="40">
        <f t="shared" si="0"/>
        <v>6650</v>
      </c>
      <c r="J28" s="46">
        <f t="shared" si="0"/>
        <v>0</v>
      </c>
      <c r="K28" s="37">
        <f t="shared" si="1"/>
        <v>0</v>
      </c>
    </row>
    <row r="29" spans="1:11" ht="12.75">
      <c r="A29" s="14" t="s">
        <v>27</v>
      </c>
      <c r="B29" s="3" t="s">
        <v>119</v>
      </c>
      <c r="C29" s="56">
        <v>13896</v>
      </c>
      <c r="D29" s="22">
        <v>0</v>
      </c>
      <c r="E29" s="22">
        <f t="shared" si="5"/>
        <v>0</v>
      </c>
      <c r="F29" s="28">
        <v>12286</v>
      </c>
      <c r="G29" s="26">
        <v>99</v>
      </c>
      <c r="H29" s="25">
        <f>G29/F29*100</f>
        <v>0.8057952140647892</v>
      </c>
      <c r="I29" s="40">
        <f t="shared" si="0"/>
        <v>26182</v>
      </c>
      <c r="J29" s="46">
        <f t="shared" si="0"/>
        <v>99</v>
      </c>
      <c r="K29" s="37">
        <f t="shared" si="1"/>
        <v>0.3781223741501795</v>
      </c>
    </row>
    <row r="30" spans="1:11" ht="12.75">
      <c r="A30" s="14" t="s">
        <v>27</v>
      </c>
      <c r="B30" s="3" t="s">
        <v>120</v>
      </c>
      <c r="C30" s="56">
        <v>7931</v>
      </c>
      <c r="D30" s="22">
        <v>0</v>
      </c>
      <c r="E30" s="22">
        <f t="shared" si="5"/>
        <v>0</v>
      </c>
      <c r="F30" s="26">
        <v>0</v>
      </c>
      <c r="G30" s="26">
        <v>0</v>
      </c>
      <c r="H30" s="25">
        <v>0</v>
      </c>
      <c r="I30" s="40">
        <f t="shared" si="0"/>
        <v>7931</v>
      </c>
      <c r="J30" s="46">
        <f t="shared" si="0"/>
        <v>0</v>
      </c>
      <c r="K30" s="37">
        <f t="shared" si="1"/>
        <v>0</v>
      </c>
    </row>
    <row r="31" spans="1:11" ht="12.75">
      <c r="A31" s="14" t="s">
        <v>74</v>
      </c>
      <c r="B31" s="3" t="s">
        <v>96</v>
      </c>
      <c r="C31" s="56">
        <v>40682</v>
      </c>
      <c r="D31" s="22">
        <v>0</v>
      </c>
      <c r="E31" s="22">
        <f t="shared" si="5"/>
        <v>0</v>
      </c>
      <c r="F31" s="26">
        <v>36278.2</v>
      </c>
      <c r="G31" s="26">
        <v>0</v>
      </c>
      <c r="H31" s="25">
        <f>G31/F31*100</f>
        <v>0</v>
      </c>
      <c r="I31" s="40">
        <f>C31+F31-36021.8</f>
        <v>40938.399999999994</v>
      </c>
      <c r="J31" s="46">
        <f>D31+G31</f>
        <v>0</v>
      </c>
      <c r="K31" s="37">
        <f t="shared" si="1"/>
        <v>0</v>
      </c>
    </row>
    <row r="32" spans="1:11" ht="33.75">
      <c r="A32" s="14" t="s">
        <v>74</v>
      </c>
      <c r="B32" s="2" t="s">
        <v>150</v>
      </c>
      <c r="C32" s="56">
        <v>2092.2</v>
      </c>
      <c r="D32" s="22">
        <v>0</v>
      </c>
      <c r="E32" s="22">
        <f t="shared" si="5"/>
        <v>0</v>
      </c>
      <c r="F32" s="26">
        <v>0</v>
      </c>
      <c r="G32" s="26">
        <v>0</v>
      </c>
      <c r="H32" s="25">
        <v>0</v>
      </c>
      <c r="I32" s="40">
        <f t="shared" si="0"/>
        <v>2092.2</v>
      </c>
      <c r="J32" s="46">
        <f t="shared" si="0"/>
        <v>0</v>
      </c>
      <c r="K32" s="37">
        <f t="shared" si="1"/>
        <v>0</v>
      </c>
    </row>
    <row r="33" spans="1:11" ht="12.75">
      <c r="A33" s="15" t="s">
        <v>74</v>
      </c>
      <c r="B33" s="3" t="s">
        <v>126</v>
      </c>
      <c r="C33" s="56">
        <v>0</v>
      </c>
      <c r="D33" s="22">
        <v>0</v>
      </c>
      <c r="E33" s="22">
        <v>0</v>
      </c>
      <c r="F33" s="28">
        <v>25927.6</v>
      </c>
      <c r="G33" s="28">
        <v>0</v>
      </c>
      <c r="H33" s="25">
        <f>G33/F33*100</f>
        <v>0</v>
      </c>
      <c r="I33" s="40">
        <f>C33+F33</f>
        <v>25927.6</v>
      </c>
      <c r="J33" s="46">
        <f>D33+G33</f>
        <v>0</v>
      </c>
      <c r="K33" s="37">
        <f>J33/I33*100</f>
        <v>0</v>
      </c>
    </row>
    <row r="34" spans="1:11" ht="33.75">
      <c r="A34" s="15" t="s">
        <v>74</v>
      </c>
      <c r="B34" s="3" t="s">
        <v>160</v>
      </c>
      <c r="C34" s="56">
        <v>0</v>
      </c>
      <c r="D34" s="22">
        <v>0</v>
      </c>
      <c r="E34" s="22"/>
      <c r="F34" s="28"/>
      <c r="G34" s="28"/>
      <c r="H34" s="25"/>
      <c r="I34" s="40"/>
      <c r="J34" s="46"/>
      <c r="K34" s="37"/>
    </row>
    <row r="35" spans="1:11" ht="12.75">
      <c r="A35" s="14" t="s">
        <v>67</v>
      </c>
      <c r="B35" s="3" t="s">
        <v>68</v>
      </c>
      <c r="C35" s="56">
        <v>4031</v>
      </c>
      <c r="D35" s="22">
        <v>43.5</v>
      </c>
      <c r="E35" s="22">
        <f t="shared" si="5"/>
        <v>1.079136690647482</v>
      </c>
      <c r="F35" s="28">
        <v>2271</v>
      </c>
      <c r="G35" s="26">
        <v>43.6</v>
      </c>
      <c r="H35" s="25">
        <f>G35/F35*100</f>
        <v>1.919859092910612</v>
      </c>
      <c r="I35" s="40">
        <f t="shared" si="0"/>
        <v>6302</v>
      </c>
      <c r="J35" s="46">
        <f t="shared" si="0"/>
        <v>87.1</v>
      </c>
      <c r="K35" s="37">
        <f t="shared" si="1"/>
        <v>1.3821009203427481</v>
      </c>
    </row>
    <row r="36" spans="1:11" ht="12.75">
      <c r="A36" s="14" t="s">
        <v>28</v>
      </c>
      <c r="B36" s="3" t="s">
        <v>75</v>
      </c>
      <c r="C36" s="56">
        <v>3500</v>
      </c>
      <c r="D36" s="56">
        <v>0</v>
      </c>
      <c r="E36" s="56">
        <f t="shared" si="5"/>
        <v>0</v>
      </c>
      <c r="F36" s="28">
        <v>500</v>
      </c>
      <c r="G36" s="28">
        <v>0</v>
      </c>
      <c r="H36" s="25">
        <f>G36/F36*100</f>
        <v>0</v>
      </c>
      <c r="I36" s="40">
        <f t="shared" si="0"/>
        <v>4000</v>
      </c>
      <c r="J36" s="46">
        <f t="shared" si="0"/>
        <v>0</v>
      </c>
      <c r="K36" s="37">
        <f t="shared" si="1"/>
        <v>0</v>
      </c>
    </row>
    <row r="37" spans="1:11" ht="56.25">
      <c r="A37" s="14" t="s">
        <v>28</v>
      </c>
      <c r="B37" s="2" t="s">
        <v>105</v>
      </c>
      <c r="C37" s="56">
        <v>26459.3</v>
      </c>
      <c r="D37" s="56">
        <v>0</v>
      </c>
      <c r="E37" s="56">
        <f t="shared" si="5"/>
        <v>0</v>
      </c>
      <c r="F37" s="28">
        <v>0</v>
      </c>
      <c r="G37" s="28">
        <v>0</v>
      </c>
      <c r="H37" s="25">
        <v>0</v>
      </c>
      <c r="I37" s="40">
        <f t="shared" si="0"/>
        <v>26459.3</v>
      </c>
      <c r="J37" s="46">
        <f t="shared" si="0"/>
        <v>0</v>
      </c>
      <c r="K37" s="37">
        <f t="shared" si="1"/>
        <v>0</v>
      </c>
    </row>
    <row r="38" spans="1:11" ht="33.75">
      <c r="A38" s="14" t="s">
        <v>28</v>
      </c>
      <c r="B38" s="2" t="s">
        <v>152</v>
      </c>
      <c r="C38" s="56">
        <v>2738.3</v>
      </c>
      <c r="D38" s="28">
        <v>0</v>
      </c>
      <c r="E38" s="56">
        <f t="shared" si="5"/>
        <v>0</v>
      </c>
      <c r="F38" s="28">
        <v>0</v>
      </c>
      <c r="G38" s="28">
        <v>0</v>
      </c>
      <c r="H38" s="25">
        <v>0</v>
      </c>
      <c r="I38" s="40">
        <f t="shared" si="0"/>
        <v>2738.3</v>
      </c>
      <c r="J38" s="46">
        <f t="shared" si="0"/>
        <v>0</v>
      </c>
      <c r="K38" s="37">
        <f t="shared" si="1"/>
        <v>0</v>
      </c>
    </row>
    <row r="39" spans="1:11" ht="22.5">
      <c r="A39" s="14" t="s">
        <v>28</v>
      </c>
      <c r="B39" s="2" t="s">
        <v>142</v>
      </c>
      <c r="C39" s="56">
        <v>4000</v>
      </c>
      <c r="D39" s="28">
        <v>0</v>
      </c>
      <c r="E39" s="56">
        <f t="shared" si="5"/>
        <v>0</v>
      </c>
      <c r="F39" s="28">
        <v>0</v>
      </c>
      <c r="G39" s="28">
        <v>0</v>
      </c>
      <c r="H39" s="25">
        <v>0</v>
      </c>
      <c r="I39" s="40">
        <f t="shared" si="0"/>
        <v>4000</v>
      </c>
      <c r="J39" s="46">
        <f t="shared" si="0"/>
        <v>0</v>
      </c>
      <c r="K39" s="37">
        <f t="shared" si="1"/>
        <v>0</v>
      </c>
    </row>
    <row r="40" spans="1:11" ht="22.5">
      <c r="A40" s="15" t="s">
        <v>28</v>
      </c>
      <c r="B40" s="2" t="s">
        <v>109</v>
      </c>
      <c r="C40" s="56">
        <v>2154.5</v>
      </c>
      <c r="D40" s="28">
        <v>0</v>
      </c>
      <c r="E40" s="56">
        <f t="shared" si="5"/>
        <v>0</v>
      </c>
      <c r="F40" s="28">
        <v>0</v>
      </c>
      <c r="G40" s="28">
        <v>0</v>
      </c>
      <c r="H40" s="25">
        <v>0</v>
      </c>
      <c r="I40" s="40">
        <f t="shared" si="0"/>
        <v>2154.5</v>
      </c>
      <c r="J40" s="46">
        <f t="shared" si="0"/>
        <v>0</v>
      </c>
      <c r="K40" s="37">
        <f t="shared" si="1"/>
        <v>0</v>
      </c>
    </row>
    <row r="41" spans="1:11" ht="22.5">
      <c r="A41" s="15" t="s">
        <v>28</v>
      </c>
      <c r="B41" s="2" t="s">
        <v>118</v>
      </c>
      <c r="C41" s="56">
        <v>1588.6</v>
      </c>
      <c r="D41" s="28">
        <v>11.7</v>
      </c>
      <c r="E41" s="56">
        <f>D41/C41*100</f>
        <v>0.7364975450081833</v>
      </c>
      <c r="F41" s="28">
        <v>0</v>
      </c>
      <c r="G41" s="28">
        <v>0</v>
      </c>
      <c r="H41" s="25">
        <v>0</v>
      </c>
      <c r="I41" s="40">
        <f t="shared" si="0"/>
        <v>1588.6</v>
      </c>
      <c r="J41" s="46">
        <f t="shared" si="0"/>
        <v>11.7</v>
      </c>
      <c r="K41" s="37">
        <f>J41/I41*100</f>
        <v>0.7364975450081833</v>
      </c>
    </row>
    <row r="42" spans="1:11" ht="33.75">
      <c r="A42" s="15" t="s">
        <v>28</v>
      </c>
      <c r="B42" s="2" t="s">
        <v>140</v>
      </c>
      <c r="C42" s="56">
        <v>1856.7</v>
      </c>
      <c r="D42" s="28">
        <v>0</v>
      </c>
      <c r="E42" s="56">
        <f>D42/C42*100</f>
        <v>0</v>
      </c>
      <c r="F42" s="28">
        <v>0</v>
      </c>
      <c r="G42" s="28">
        <v>0</v>
      </c>
      <c r="H42" s="25"/>
      <c r="I42" s="40">
        <f t="shared" si="0"/>
        <v>1856.7</v>
      </c>
      <c r="J42" s="46">
        <f t="shared" si="0"/>
        <v>0</v>
      </c>
      <c r="K42" s="37">
        <f>J42/I42*100</f>
        <v>0</v>
      </c>
    </row>
    <row r="43" spans="1:11" ht="22.5">
      <c r="A43" s="15" t="s">
        <v>28</v>
      </c>
      <c r="B43" s="2" t="s">
        <v>164</v>
      </c>
      <c r="C43" s="56">
        <v>7700</v>
      </c>
      <c r="D43" s="28">
        <v>0</v>
      </c>
      <c r="E43" s="56">
        <f>D43/C43*100</f>
        <v>0</v>
      </c>
      <c r="F43" s="28">
        <v>0</v>
      </c>
      <c r="G43" s="28">
        <v>0</v>
      </c>
      <c r="H43" s="25"/>
      <c r="I43" s="40">
        <f t="shared" si="0"/>
        <v>7700</v>
      </c>
      <c r="J43" s="46">
        <f t="shared" si="0"/>
        <v>0</v>
      </c>
      <c r="K43" s="37">
        <f>J43/I43*100</f>
        <v>0</v>
      </c>
    </row>
    <row r="44" spans="1:11" ht="33.75">
      <c r="A44" s="15" t="s">
        <v>28</v>
      </c>
      <c r="B44" s="2" t="s">
        <v>162</v>
      </c>
      <c r="C44" s="56">
        <v>2241.5</v>
      </c>
      <c r="D44" s="28">
        <v>0</v>
      </c>
      <c r="E44" s="56">
        <f>D44/C44*100</f>
        <v>0</v>
      </c>
      <c r="F44" s="28">
        <v>0</v>
      </c>
      <c r="G44" s="28">
        <v>0</v>
      </c>
      <c r="H44" s="25"/>
      <c r="I44" s="40">
        <f>C44+F44</f>
        <v>2241.5</v>
      </c>
      <c r="J44" s="46">
        <f>D44+G44</f>
        <v>0</v>
      </c>
      <c r="K44" s="37">
        <f>J44/I44*100</f>
        <v>0</v>
      </c>
    </row>
    <row r="45" spans="1:11" ht="12.75">
      <c r="A45" s="13" t="s">
        <v>29</v>
      </c>
      <c r="B45" s="4" t="s">
        <v>30</v>
      </c>
      <c r="C45" s="24">
        <f>SUM(C46:C70)</f>
        <v>393628.4</v>
      </c>
      <c r="D45" s="24">
        <f>SUM(D46:D70)</f>
        <v>230</v>
      </c>
      <c r="E45" s="24">
        <f>D45/C45*100</f>
        <v>0.05843074331018798</v>
      </c>
      <c r="F45" s="27">
        <f>SUM(F46:F69)</f>
        <v>104029.1</v>
      </c>
      <c r="G45" s="27">
        <f>SUM(G46:G69)</f>
        <v>1670.6</v>
      </c>
      <c r="H45" s="27">
        <f>G45/F45*100</f>
        <v>1.6058968115652252</v>
      </c>
      <c r="I45" s="24">
        <f>SUM(I46:I70)</f>
        <v>460938.4</v>
      </c>
      <c r="J45" s="24">
        <f>SUM(J46:J70)</f>
        <v>1670.6</v>
      </c>
      <c r="K45" s="36">
        <f t="shared" si="1"/>
        <v>0.3624345465684785</v>
      </c>
    </row>
    <row r="46" spans="1:11" ht="12.75">
      <c r="A46" s="14" t="s">
        <v>31</v>
      </c>
      <c r="B46" s="3" t="s">
        <v>71</v>
      </c>
      <c r="C46" s="56">
        <v>0</v>
      </c>
      <c r="D46" s="56"/>
      <c r="E46" s="56"/>
      <c r="F46" s="28">
        <v>23642.8</v>
      </c>
      <c r="G46" s="28">
        <v>0</v>
      </c>
      <c r="H46" s="25">
        <f>G46/F46*100</f>
        <v>0</v>
      </c>
      <c r="I46" s="40">
        <f t="shared" si="0"/>
        <v>23642.8</v>
      </c>
      <c r="J46" s="46">
        <f t="shared" si="0"/>
        <v>0</v>
      </c>
      <c r="K46" s="37">
        <f t="shared" si="1"/>
        <v>0</v>
      </c>
    </row>
    <row r="47" spans="1:11" ht="45">
      <c r="A47" s="14" t="s">
        <v>31</v>
      </c>
      <c r="B47" s="3" t="s">
        <v>129</v>
      </c>
      <c r="C47" s="56">
        <v>122309.6</v>
      </c>
      <c r="D47" s="56">
        <v>0</v>
      </c>
      <c r="E47" s="22">
        <f t="shared" si="5"/>
        <v>0</v>
      </c>
      <c r="F47" s="25">
        <v>0</v>
      </c>
      <c r="G47" s="23">
        <v>0</v>
      </c>
      <c r="H47" s="25">
        <v>0</v>
      </c>
      <c r="I47" s="40">
        <f>C47+F47</f>
        <v>122309.6</v>
      </c>
      <c r="J47" s="46">
        <f>D47+G47</f>
        <v>0</v>
      </c>
      <c r="K47" s="37">
        <f t="shared" si="1"/>
        <v>0</v>
      </c>
    </row>
    <row r="48" spans="1:11" ht="33.75">
      <c r="A48" s="14" t="s">
        <v>31</v>
      </c>
      <c r="B48" s="3" t="s">
        <v>143</v>
      </c>
      <c r="C48" s="56">
        <f>4200+7450.2</f>
        <v>11650.2</v>
      </c>
      <c r="D48" s="56">
        <v>0</v>
      </c>
      <c r="E48" s="22">
        <f t="shared" si="5"/>
        <v>0</v>
      </c>
      <c r="F48" s="25">
        <v>0</v>
      </c>
      <c r="G48" s="23">
        <v>0</v>
      </c>
      <c r="H48" s="25">
        <v>0</v>
      </c>
      <c r="I48" s="40">
        <f t="shared" si="0"/>
        <v>11650.2</v>
      </c>
      <c r="J48" s="46">
        <f t="shared" si="0"/>
        <v>0</v>
      </c>
      <c r="K48" s="37">
        <f t="shared" si="1"/>
        <v>0</v>
      </c>
    </row>
    <row r="49" spans="1:11" ht="22.5">
      <c r="A49" s="15" t="s">
        <v>31</v>
      </c>
      <c r="B49" s="3" t="s">
        <v>161</v>
      </c>
      <c r="C49" s="56">
        <v>23965.3</v>
      </c>
      <c r="D49" s="56">
        <v>0</v>
      </c>
      <c r="E49" s="22">
        <f t="shared" si="5"/>
        <v>0</v>
      </c>
      <c r="F49" s="25">
        <v>26494.5</v>
      </c>
      <c r="G49" s="23"/>
      <c r="H49" s="25">
        <f aca="true" t="shared" si="6" ref="H49:H54">G49/F49*100</f>
        <v>0</v>
      </c>
      <c r="I49" s="40">
        <f>C49+F49-23965.3</f>
        <v>26494.500000000004</v>
      </c>
      <c r="J49" s="46">
        <f>D49+G49</f>
        <v>0</v>
      </c>
      <c r="K49" s="37">
        <f t="shared" si="1"/>
        <v>0</v>
      </c>
    </row>
    <row r="50" spans="1:11" ht="33.75">
      <c r="A50" s="15" t="s">
        <v>31</v>
      </c>
      <c r="B50" s="3" t="s">
        <v>141</v>
      </c>
      <c r="C50" s="56">
        <v>200</v>
      </c>
      <c r="D50" s="56"/>
      <c r="E50" s="22">
        <v>0</v>
      </c>
      <c r="F50" s="25">
        <v>200</v>
      </c>
      <c r="G50" s="23"/>
      <c r="H50" s="25">
        <f t="shared" si="6"/>
        <v>0</v>
      </c>
      <c r="I50" s="40">
        <f>C50+F50-200</f>
        <v>200</v>
      </c>
      <c r="J50" s="46">
        <f t="shared" si="0"/>
        <v>0</v>
      </c>
      <c r="K50" s="37">
        <f t="shared" si="1"/>
        <v>0</v>
      </c>
    </row>
    <row r="51" spans="1:11" ht="45">
      <c r="A51" s="15" t="s">
        <v>31</v>
      </c>
      <c r="B51" s="2" t="s">
        <v>136</v>
      </c>
      <c r="C51" s="56">
        <v>107.7</v>
      </c>
      <c r="D51" s="56"/>
      <c r="E51" s="22">
        <v>0</v>
      </c>
      <c r="F51" s="25"/>
      <c r="G51" s="23"/>
      <c r="H51" s="25"/>
      <c r="I51" s="40">
        <f>C51+F51</f>
        <v>107.7</v>
      </c>
      <c r="J51" s="46"/>
      <c r="K51" s="37">
        <f t="shared" si="1"/>
        <v>0</v>
      </c>
    </row>
    <row r="52" spans="1:11" ht="33.75">
      <c r="A52" s="14" t="s">
        <v>32</v>
      </c>
      <c r="B52" s="3" t="s">
        <v>70</v>
      </c>
      <c r="C52" s="56">
        <v>5786.2</v>
      </c>
      <c r="D52" s="56">
        <v>0</v>
      </c>
      <c r="E52" s="22">
        <f t="shared" si="5"/>
        <v>0</v>
      </c>
      <c r="F52" s="25">
        <v>3000</v>
      </c>
      <c r="G52" s="23">
        <v>1000</v>
      </c>
      <c r="H52" s="25">
        <f t="shared" si="6"/>
        <v>33.33333333333333</v>
      </c>
      <c r="I52" s="40">
        <f t="shared" si="0"/>
        <v>8786.2</v>
      </c>
      <c r="J52" s="46">
        <f t="shared" si="0"/>
        <v>1000</v>
      </c>
      <c r="K52" s="37">
        <f t="shared" si="1"/>
        <v>11.381484600851334</v>
      </c>
    </row>
    <row r="53" spans="1:11" ht="33.75">
      <c r="A53" s="14" t="s">
        <v>32</v>
      </c>
      <c r="B53" s="3" t="s">
        <v>106</v>
      </c>
      <c r="C53" s="56">
        <v>10419.8</v>
      </c>
      <c r="D53" s="57">
        <v>0</v>
      </c>
      <c r="E53" s="22">
        <f t="shared" si="5"/>
        <v>0</v>
      </c>
      <c r="F53" s="26">
        <v>0</v>
      </c>
      <c r="G53" s="26"/>
      <c r="H53" s="25"/>
      <c r="I53" s="40">
        <f t="shared" si="0"/>
        <v>10419.8</v>
      </c>
      <c r="J53" s="46">
        <f t="shared" si="0"/>
        <v>0</v>
      </c>
      <c r="K53" s="37">
        <f t="shared" si="1"/>
        <v>0</v>
      </c>
    </row>
    <row r="54" spans="1:11" ht="12.75">
      <c r="A54" s="14" t="s">
        <v>32</v>
      </c>
      <c r="B54" s="3" t="s">
        <v>69</v>
      </c>
      <c r="C54" s="56">
        <v>962</v>
      </c>
      <c r="D54" s="57">
        <v>230</v>
      </c>
      <c r="E54" s="22">
        <f>D54/C54*100</f>
        <v>23.90852390852391</v>
      </c>
      <c r="F54" s="25">
        <v>11420</v>
      </c>
      <c r="G54" s="26">
        <v>99</v>
      </c>
      <c r="H54" s="25">
        <f t="shared" si="6"/>
        <v>0.8669001751313484</v>
      </c>
      <c r="I54" s="40">
        <f>C54+F54-230</f>
        <v>12152</v>
      </c>
      <c r="J54" s="46">
        <f>D54+G54-230</f>
        <v>99</v>
      </c>
      <c r="K54" s="37">
        <f>J54/I54*100</f>
        <v>0.814680710994075</v>
      </c>
    </row>
    <row r="55" spans="1:11" ht="33.75">
      <c r="A55" s="14" t="s">
        <v>32</v>
      </c>
      <c r="B55" s="3" t="s">
        <v>130</v>
      </c>
      <c r="C55" s="56">
        <v>22438.5</v>
      </c>
      <c r="D55" s="57">
        <v>0</v>
      </c>
      <c r="E55" s="22">
        <f>D55/C55*100</f>
        <v>0</v>
      </c>
      <c r="F55" s="25">
        <v>0</v>
      </c>
      <c r="G55" s="26"/>
      <c r="H55" s="25">
        <v>0</v>
      </c>
      <c r="I55" s="40">
        <f>C55+F55</f>
        <v>22438.5</v>
      </c>
      <c r="J55" s="46">
        <f>D55+G55</f>
        <v>0</v>
      </c>
      <c r="K55" s="37">
        <f>J55/I55*100</f>
        <v>0</v>
      </c>
    </row>
    <row r="56" spans="1:11" ht="33.75">
      <c r="A56" s="15" t="s">
        <v>32</v>
      </c>
      <c r="B56" s="3" t="s">
        <v>144</v>
      </c>
      <c r="C56" s="56">
        <v>137.3</v>
      </c>
      <c r="D56" s="57">
        <v>0</v>
      </c>
      <c r="E56" s="22">
        <f t="shared" si="5"/>
        <v>0</v>
      </c>
      <c r="F56" s="25">
        <v>0</v>
      </c>
      <c r="G56" s="26"/>
      <c r="H56" s="25">
        <v>0</v>
      </c>
      <c r="I56" s="50">
        <f>C56+F56</f>
        <v>137.3</v>
      </c>
      <c r="J56" s="40">
        <f>D56+G56</f>
        <v>0</v>
      </c>
      <c r="K56" s="46">
        <f>J56/I56*100</f>
        <v>0</v>
      </c>
    </row>
    <row r="57" spans="1:11" ht="33.75">
      <c r="A57" s="14" t="s">
        <v>32</v>
      </c>
      <c r="B57" s="2" t="s">
        <v>127</v>
      </c>
      <c r="C57" s="56">
        <f>39616.6-C60</f>
        <v>33187.6</v>
      </c>
      <c r="D57" s="57">
        <v>0</v>
      </c>
      <c r="E57" s="22">
        <f t="shared" si="5"/>
        <v>0</v>
      </c>
      <c r="F57" s="25"/>
      <c r="G57" s="26"/>
      <c r="H57" s="25">
        <v>0</v>
      </c>
      <c r="I57" s="40">
        <f t="shared" si="0"/>
        <v>33187.6</v>
      </c>
      <c r="J57" s="46">
        <f t="shared" si="0"/>
        <v>0</v>
      </c>
      <c r="K57" s="37">
        <f t="shared" si="1"/>
        <v>0</v>
      </c>
    </row>
    <row r="58" spans="1:11" ht="33.75">
      <c r="A58" s="14" t="s">
        <v>32</v>
      </c>
      <c r="B58" s="2" t="s">
        <v>128</v>
      </c>
      <c r="C58" s="56">
        <v>125135</v>
      </c>
      <c r="D58" s="56"/>
      <c r="E58" s="22">
        <f t="shared" si="5"/>
        <v>0</v>
      </c>
      <c r="F58" s="25">
        <v>0</v>
      </c>
      <c r="G58" s="26"/>
      <c r="H58" s="25">
        <v>0</v>
      </c>
      <c r="I58" s="40">
        <f t="shared" si="0"/>
        <v>125135</v>
      </c>
      <c r="J58" s="46">
        <f t="shared" si="0"/>
        <v>0</v>
      </c>
      <c r="K58" s="37">
        <f t="shared" si="1"/>
        <v>0</v>
      </c>
    </row>
    <row r="59" spans="1:11" ht="45">
      <c r="A59" s="15" t="s">
        <v>32</v>
      </c>
      <c r="B59" s="2" t="s">
        <v>135</v>
      </c>
      <c r="C59" s="56">
        <v>13819.4</v>
      </c>
      <c r="D59" s="57"/>
      <c r="E59" s="22">
        <f t="shared" si="5"/>
        <v>0</v>
      </c>
      <c r="F59" s="25">
        <v>5734.1</v>
      </c>
      <c r="G59" s="26"/>
      <c r="H59" s="25">
        <f>G59/F59*100</f>
        <v>0</v>
      </c>
      <c r="I59" s="40">
        <f>C59+F59-5734.1</f>
        <v>13819.4</v>
      </c>
      <c r="J59" s="46">
        <f>D59+G59</f>
        <v>0</v>
      </c>
      <c r="K59" s="37">
        <f t="shared" si="1"/>
        <v>0</v>
      </c>
    </row>
    <row r="60" spans="1:11" ht="56.25">
      <c r="A60" s="15" t="s">
        <v>32</v>
      </c>
      <c r="B60" s="2" t="s">
        <v>165</v>
      </c>
      <c r="C60" s="56">
        <v>6429</v>
      </c>
      <c r="D60" s="57">
        <v>0</v>
      </c>
      <c r="E60" s="22">
        <f t="shared" si="5"/>
        <v>0</v>
      </c>
      <c r="F60" s="25">
        <f>12163.1-F59</f>
        <v>6429</v>
      </c>
      <c r="G60" s="26"/>
      <c r="H60" s="25">
        <f>G60/F60*100</f>
        <v>0</v>
      </c>
      <c r="I60" s="40">
        <f>C60+F60-6429</f>
        <v>6429</v>
      </c>
      <c r="J60" s="46">
        <f>D60+G60</f>
        <v>0</v>
      </c>
      <c r="K60" s="37">
        <f t="shared" si="1"/>
        <v>0</v>
      </c>
    </row>
    <row r="61" spans="1:11" ht="45">
      <c r="A61" s="15" t="s">
        <v>32</v>
      </c>
      <c r="B61" s="2" t="s">
        <v>136</v>
      </c>
      <c r="C61" s="56">
        <v>248.1</v>
      </c>
      <c r="D61" s="57"/>
      <c r="E61" s="22">
        <f t="shared" si="5"/>
        <v>0</v>
      </c>
      <c r="F61" s="25"/>
      <c r="G61" s="26"/>
      <c r="H61" s="25"/>
      <c r="I61" s="40">
        <f>C61+F61</f>
        <v>248.1</v>
      </c>
      <c r="J61" s="46">
        <f>D61+G61</f>
        <v>0</v>
      </c>
      <c r="K61" s="37">
        <f t="shared" si="1"/>
        <v>0</v>
      </c>
    </row>
    <row r="62" spans="1:11" ht="22.5">
      <c r="A62" s="14" t="s">
        <v>32</v>
      </c>
      <c r="B62" s="3" t="s">
        <v>145</v>
      </c>
      <c r="C62" s="56">
        <v>2733</v>
      </c>
      <c r="D62" s="56">
        <v>0</v>
      </c>
      <c r="E62" s="22">
        <f t="shared" si="5"/>
        <v>0</v>
      </c>
      <c r="F62" s="25">
        <v>0</v>
      </c>
      <c r="G62" s="26"/>
      <c r="H62" s="25">
        <v>0</v>
      </c>
      <c r="I62" s="40">
        <f t="shared" si="0"/>
        <v>2733</v>
      </c>
      <c r="J62" s="46">
        <f t="shared" si="0"/>
        <v>0</v>
      </c>
      <c r="K62" s="37">
        <f t="shared" si="1"/>
        <v>0</v>
      </c>
    </row>
    <row r="63" spans="1:11" ht="22.5">
      <c r="A63" s="14" t="s">
        <v>32</v>
      </c>
      <c r="B63" s="3" t="s">
        <v>146</v>
      </c>
      <c r="C63" s="56">
        <v>3550</v>
      </c>
      <c r="D63" s="56"/>
      <c r="E63" s="22">
        <f t="shared" si="5"/>
        <v>0</v>
      </c>
      <c r="F63" s="25">
        <v>0</v>
      </c>
      <c r="G63" s="26"/>
      <c r="H63" s="25">
        <v>0</v>
      </c>
      <c r="I63" s="40">
        <f t="shared" si="0"/>
        <v>3550</v>
      </c>
      <c r="J63" s="46">
        <f t="shared" si="0"/>
        <v>0</v>
      </c>
      <c r="K63" s="37">
        <f t="shared" si="1"/>
        <v>0</v>
      </c>
    </row>
    <row r="64" spans="1:11" ht="22.5">
      <c r="A64" s="14" t="s">
        <v>32</v>
      </c>
      <c r="B64" s="3" t="s">
        <v>147</v>
      </c>
      <c r="C64" s="56">
        <v>613</v>
      </c>
      <c r="D64" s="56">
        <v>0</v>
      </c>
      <c r="E64" s="22">
        <f t="shared" si="5"/>
        <v>0</v>
      </c>
      <c r="F64" s="25">
        <v>0</v>
      </c>
      <c r="G64" s="26"/>
      <c r="H64" s="25">
        <v>0</v>
      </c>
      <c r="I64" s="40">
        <f t="shared" si="0"/>
        <v>613</v>
      </c>
      <c r="J64" s="46">
        <f t="shared" si="0"/>
        <v>0</v>
      </c>
      <c r="K64" s="37">
        <f t="shared" si="1"/>
        <v>0</v>
      </c>
    </row>
    <row r="65" spans="1:11" ht="22.5">
      <c r="A65" s="14" t="s">
        <v>32</v>
      </c>
      <c r="B65" s="3" t="s">
        <v>148</v>
      </c>
      <c r="C65" s="56">
        <v>2141</v>
      </c>
      <c r="D65" s="56">
        <v>0</v>
      </c>
      <c r="E65" s="22">
        <f t="shared" si="5"/>
        <v>0</v>
      </c>
      <c r="F65" s="25">
        <v>0</v>
      </c>
      <c r="G65" s="26"/>
      <c r="H65" s="25">
        <v>0</v>
      </c>
      <c r="I65" s="40">
        <f>C65+F65</f>
        <v>2141</v>
      </c>
      <c r="J65" s="46">
        <f>D65+G65</f>
        <v>0</v>
      </c>
      <c r="K65" s="37">
        <f t="shared" si="1"/>
        <v>0</v>
      </c>
    </row>
    <row r="66" spans="1:11" ht="33.75">
      <c r="A66" s="15" t="s">
        <v>32</v>
      </c>
      <c r="B66" s="3" t="s">
        <v>149</v>
      </c>
      <c r="C66" s="56">
        <v>985</v>
      </c>
      <c r="D66" s="56">
        <v>0</v>
      </c>
      <c r="E66" s="22">
        <f t="shared" si="5"/>
        <v>0</v>
      </c>
      <c r="F66" s="25">
        <v>0</v>
      </c>
      <c r="G66" s="26"/>
      <c r="H66" s="25">
        <v>0</v>
      </c>
      <c r="I66" s="40">
        <f t="shared" si="0"/>
        <v>985</v>
      </c>
      <c r="J66" s="46">
        <f t="shared" si="0"/>
        <v>0</v>
      </c>
      <c r="K66" s="37">
        <f t="shared" si="1"/>
        <v>0</v>
      </c>
    </row>
    <row r="67" spans="1:11" ht="33.75">
      <c r="A67" s="14" t="s">
        <v>33</v>
      </c>
      <c r="B67" s="3" t="s">
        <v>166</v>
      </c>
      <c r="C67" s="56">
        <v>2650</v>
      </c>
      <c r="D67" s="56">
        <v>0</v>
      </c>
      <c r="E67" s="22">
        <f t="shared" si="5"/>
        <v>0</v>
      </c>
      <c r="F67" s="28">
        <v>0</v>
      </c>
      <c r="G67" s="28"/>
      <c r="H67" s="25">
        <v>0</v>
      </c>
      <c r="I67" s="40">
        <f t="shared" si="0"/>
        <v>2650</v>
      </c>
      <c r="J67" s="46">
        <f t="shared" si="0"/>
        <v>0</v>
      </c>
      <c r="K67" s="37">
        <f t="shared" si="1"/>
        <v>0</v>
      </c>
    </row>
    <row r="68" spans="1:11" ht="22.5">
      <c r="A68" s="15" t="s">
        <v>33</v>
      </c>
      <c r="B68" s="3" t="s">
        <v>159</v>
      </c>
      <c r="C68" s="56">
        <v>160.7</v>
      </c>
      <c r="D68" s="56">
        <v>0</v>
      </c>
      <c r="E68" s="22">
        <f t="shared" si="5"/>
        <v>0</v>
      </c>
      <c r="F68" s="28">
        <v>196.5</v>
      </c>
      <c r="G68" s="28"/>
      <c r="H68" s="25">
        <f>G68/F68*100</f>
        <v>0</v>
      </c>
      <c r="I68" s="40">
        <f>C68+F68-160.7</f>
        <v>196.5</v>
      </c>
      <c r="J68" s="46">
        <f>D68+G68</f>
        <v>0</v>
      </c>
      <c r="K68" s="37">
        <f t="shared" si="1"/>
        <v>0</v>
      </c>
    </row>
    <row r="69" spans="1:11" ht="22.5">
      <c r="A69" s="14" t="s">
        <v>33</v>
      </c>
      <c r="B69" s="3" t="s">
        <v>100</v>
      </c>
      <c r="C69" s="56">
        <v>4000</v>
      </c>
      <c r="D69" s="56">
        <v>0</v>
      </c>
      <c r="E69" s="22">
        <f t="shared" si="5"/>
        <v>0</v>
      </c>
      <c r="F69" s="28">
        <f>27108.7-F68</f>
        <v>26912.2</v>
      </c>
      <c r="G69" s="28">
        <v>571.6</v>
      </c>
      <c r="H69" s="25">
        <f>G69/F69*100</f>
        <v>2.1239437875758953</v>
      </c>
      <c r="I69" s="40">
        <f>C69+F69</f>
        <v>30912.2</v>
      </c>
      <c r="J69" s="46">
        <f>D69+G69</f>
        <v>571.6</v>
      </c>
      <c r="K69" s="37">
        <f t="shared" si="1"/>
        <v>1.849108119124488</v>
      </c>
    </row>
    <row r="70" spans="1:11" ht="12.75">
      <c r="A70" s="15" t="s">
        <v>138</v>
      </c>
      <c r="B70" s="3" t="s">
        <v>139</v>
      </c>
      <c r="C70" s="56">
        <v>0</v>
      </c>
      <c r="D70" s="22">
        <v>0</v>
      </c>
      <c r="E70" s="22"/>
      <c r="F70" s="28"/>
      <c r="G70" s="28"/>
      <c r="H70" s="25"/>
      <c r="I70" s="40">
        <f t="shared" si="0"/>
        <v>0</v>
      </c>
      <c r="J70" s="46">
        <f t="shared" si="0"/>
        <v>0</v>
      </c>
      <c r="K70" s="37"/>
    </row>
    <row r="71" spans="1:11" ht="12.75">
      <c r="A71" s="17" t="s">
        <v>34</v>
      </c>
      <c r="B71" s="18" t="s">
        <v>35</v>
      </c>
      <c r="C71" s="27">
        <f aca="true" t="shared" si="7" ref="C71:H71">C72</f>
        <v>350</v>
      </c>
      <c r="D71" s="27">
        <f t="shared" si="7"/>
        <v>0</v>
      </c>
      <c r="E71" s="24">
        <f>D71/C71*100</f>
        <v>0</v>
      </c>
      <c r="F71" s="27">
        <f t="shared" si="7"/>
        <v>0</v>
      </c>
      <c r="G71" s="27">
        <f t="shared" si="7"/>
        <v>0</v>
      </c>
      <c r="H71" s="35">
        <f t="shared" si="7"/>
        <v>0</v>
      </c>
      <c r="I71" s="27">
        <f t="shared" si="0"/>
        <v>350</v>
      </c>
      <c r="J71" s="27">
        <f t="shared" si="0"/>
        <v>0</v>
      </c>
      <c r="K71" s="36">
        <f t="shared" si="1"/>
        <v>0</v>
      </c>
    </row>
    <row r="72" spans="1:11" ht="12.75">
      <c r="A72" s="15" t="s">
        <v>36</v>
      </c>
      <c r="B72" s="19" t="s">
        <v>37</v>
      </c>
      <c r="C72" s="28">
        <v>350</v>
      </c>
      <c r="D72" s="25">
        <v>0</v>
      </c>
      <c r="E72" s="22">
        <f t="shared" si="5"/>
        <v>0</v>
      </c>
      <c r="F72" s="25">
        <v>0</v>
      </c>
      <c r="G72" s="23">
        <v>0</v>
      </c>
      <c r="H72" s="25">
        <v>0</v>
      </c>
      <c r="I72" s="40">
        <f t="shared" si="0"/>
        <v>350</v>
      </c>
      <c r="J72" s="46">
        <f t="shared" si="0"/>
        <v>0</v>
      </c>
      <c r="K72" s="37">
        <f t="shared" si="1"/>
        <v>0</v>
      </c>
    </row>
    <row r="73" spans="1:11" ht="12.75">
      <c r="A73" s="13" t="s">
        <v>38</v>
      </c>
      <c r="B73" s="4" t="s">
        <v>39</v>
      </c>
      <c r="C73" s="24">
        <f>SUM(C74:C80)</f>
        <v>2180418</v>
      </c>
      <c r="D73" s="24">
        <f>SUM(D74:D80)</f>
        <v>131616.2</v>
      </c>
      <c r="E73" s="24">
        <f>D73/C73*100</f>
        <v>6.036282951250632</v>
      </c>
      <c r="F73" s="27">
        <f>F74+F75+F76+F79+F80</f>
        <v>5067</v>
      </c>
      <c r="G73" s="27">
        <f>SUM(G74:G80)</f>
        <v>26.8</v>
      </c>
      <c r="H73" s="35">
        <f>G73/F73*100</f>
        <v>0.528912571541346</v>
      </c>
      <c r="I73" s="24">
        <f>SUM(I74:I80)</f>
        <v>2185485</v>
      </c>
      <c r="J73" s="24">
        <f>SUM(J74:J80)</f>
        <v>131643</v>
      </c>
      <c r="K73" s="36">
        <f t="shared" si="1"/>
        <v>6.023514231394862</v>
      </c>
    </row>
    <row r="74" spans="1:11" ht="12.75">
      <c r="A74" s="14" t="s">
        <v>40</v>
      </c>
      <c r="B74" s="3" t="s">
        <v>41</v>
      </c>
      <c r="C74" s="22">
        <v>353355.3</v>
      </c>
      <c r="D74" s="22">
        <v>81194.3</v>
      </c>
      <c r="E74" s="22">
        <f t="shared" si="5"/>
        <v>22.97809032438455</v>
      </c>
      <c r="F74" s="25">
        <v>0</v>
      </c>
      <c r="G74" s="23">
        <v>0</v>
      </c>
      <c r="H74" s="25">
        <v>0</v>
      </c>
      <c r="I74" s="40">
        <f t="shared" si="0"/>
        <v>353355.3</v>
      </c>
      <c r="J74" s="46">
        <f t="shared" si="0"/>
        <v>81194.3</v>
      </c>
      <c r="K74" s="37">
        <f t="shared" si="1"/>
        <v>22.97809032438455</v>
      </c>
    </row>
    <row r="75" spans="1:11" ht="12.75">
      <c r="A75" s="14" t="s">
        <v>42</v>
      </c>
      <c r="B75" s="3" t="s">
        <v>43</v>
      </c>
      <c r="C75" s="22">
        <f>1777622.9-C76-C77-C78</f>
        <v>1073980.6</v>
      </c>
      <c r="D75" s="22">
        <f>48013.9-D76-D77-D78</f>
        <v>47235.8</v>
      </c>
      <c r="E75" s="22">
        <f t="shared" si="5"/>
        <v>4.398198626679103</v>
      </c>
      <c r="F75" s="25">
        <v>0</v>
      </c>
      <c r="G75" s="23">
        <v>0</v>
      </c>
      <c r="H75" s="25">
        <v>0</v>
      </c>
      <c r="I75" s="40">
        <f t="shared" si="0"/>
        <v>1073980.6</v>
      </c>
      <c r="J75" s="46">
        <f t="shared" si="0"/>
        <v>47235.8</v>
      </c>
      <c r="K75" s="37">
        <f t="shared" si="1"/>
        <v>4.398198626679103</v>
      </c>
    </row>
    <row r="76" spans="1:11" ht="12.75">
      <c r="A76" s="14" t="s">
        <v>42</v>
      </c>
      <c r="B76" s="3" t="s">
        <v>76</v>
      </c>
      <c r="C76" s="22">
        <v>41126.4</v>
      </c>
      <c r="D76" s="22">
        <v>778.1</v>
      </c>
      <c r="E76" s="22">
        <f t="shared" si="5"/>
        <v>1.8919720666044197</v>
      </c>
      <c r="F76" s="25">
        <v>0</v>
      </c>
      <c r="G76" s="23">
        <v>0</v>
      </c>
      <c r="H76" s="25">
        <v>0</v>
      </c>
      <c r="I76" s="40">
        <f t="shared" si="0"/>
        <v>41126.4</v>
      </c>
      <c r="J76" s="46">
        <f t="shared" si="0"/>
        <v>778.1</v>
      </c>
      <c r="K76" s="37">
        <f t="shared" si="1"/>
        <v>1.8919720666044197</v>
      </c>
    </row>
    <row r="77" spans="1:11" ht="22.5">
      <c r="A77" s="14" t="s">
        <v>42</v>
      </c>
      <c r="B77" s="3" t="s">
        <v>167</v>
      </c>
      <c r="C77" s="22">
        <v>120954.5</v>
      </c>
      <c r="D77" s="22">
        <v>0</v>
      </c>
      <c r="E77" s="22">
        <f t="shared" si="5"/>
        <v>0</v>
      </c>
      <c r="F77" s="25">
        <v>0</v>
      </c>
      <c r="G77" s="23">
        <v>0</v>
      </c>
      <c r="H77" s="25">
        <v>0</v>
      </c>
      <c r="I77" s="40">
        <f t="shared" si="0"/>
        <v>120954.5</v>
      </c>
      <c r="J77" s="46">
        <f t="shared" si="0"/>
        <v>0</v>
      </c>
      <c r="K77" s="37">
        <f t="shared" si="1"/>
        <v>0</v>
      </c>
    </row>
    <row r="78" spans="1:11" ht="33.75">
      <c r="A78" s="14" t="s">
        <v>42</v>
      </c>
      <c r="B78" s="3" t="s">
        <v>133</v>
      </c>
      <c r="C78" s="22">
        <f>457278.8+84282.6</f>
        <v>541561.4</v>
      </c>
      <c r="D78" s="22">
        <v>0</v>
      </c>
      <c r="E78" s="22">
        <f>D78/C78*100</f>
        <v>0</v>
      </c>
      <c r="F78" s="25">
        <v>0</v>
      </c>
      <c r="G78" s="23">
        <v>0</v>
      </c>
      <c r="H78" s="25">
        <v>0</v>
      </c>
      <c r="I78" s="40">
        <f>C78+F78</f>
        <v>541561.4</v>
      </c>
      <c r="J78" s="46">
        <f>D78+G78</f>
        <v>0</v>
      </c>
      <c r="K78" s="37">
        <f>J78/I78*100</f>
        <v>0</v>
      </c>
    </row>
    <row r="79" spans="1:11" ht="12.75">
      <c r="A79" s="14" t="s">
        <v>44</v>
      </c>
      <c r="B79" s="3" t="s">
        <v>45</v>
      </c>
      <c r="C79" s="22">
        <v>14493.8</v>
      </c>
      <c r="D79" s="22">
        <v>0</v>
      </c>
      <c r="E79" s="22">
        <f t="shared" si="5"/>
        <v>0</v>
      </c>
      <c r="F79" s="25">
        <v>5067</v>
      </c>
      <c r="G79" s="23">
        <v>26.8</v>
      </c>
      <c r="H79" s="25">
        <f>G79/F79*100</f>
        <v>0.528912571541346</v>
      </c>
      <c r="I79" s="40">
        <f t="shared" si="0"/>
        <v>19560.8</v>
      </c>
      <c r="J79" s="46">
        <f t="shared" si="0"/>
        <v>26.8</v>
      </c>
      <c r="K79" s="37">
        <f t="shared" si="1"/>
        <v>0.13700871130015135</v>
      </c>
    </row>
    <row r="80" spans="1:11" ht="12.75">
      <c r="A80" s="14" t="s">
        <v>46</v>
      </c>
      <c r="B80" s="3" t="s">
        <v>47</v>
      </c>
      <c r="C80" s="22">
        <v>34946</v>
      </c>
      <c r="D80" s="22">
        <v>2408</v>
      </c>
      <c r="E80" s="22">
        <f t="shared" si="5"/>
        <v>6.8906312596577575</v>
      </c>
      <c r="F80" s="25">
        <v>0</v>
      </c>
      <c r="G80" s="23">
        <v>0</v>
      </c>
      <c r="H80" s="25">
        <v>0</v>
      </c>
      <c r="I80" s="40">
        <f t="shared" si="0"/>
        <v>34946</v>
      </c>
      <c r="J80" s="46">
        <f t="shared" si="0"/>
        <v>2408</v>
      </c>
      <c r="K80" s="37">
        <f t="shared" si="1"/>
        <v>6.8906312596577575</v>
      </c>
    </row>
    <row r="81" spans="1:11" ht="12.75">
      <c r="A81" s="13" t="s">
        <v>48</v>
      </c>
      <c r="B81" s="4" t="s">
        <v>49</v>
      </c>
      <c r="C81" s="24">
        <f>SUM(C82:C87)</f>
        <v>241521.8</v>
      </c>
      <c r="D81" s="24">
        <f>SUM(D82:D87)</f>
        <v>8609.4</v>
      </c>
      <c r="E81" s="24">
        <f>D81/C81*100</f>
        <v>3.564647166425557</v>
      </c>
      <c r="F81" s="27">
        <f>SUM(F82:F87)</f>
        <v>76480</v>
      </c>
      <c r="G81" s="27">
        <f>SUM(G82:G87)</f>
        <v>1471.3999999999999</v>
      </c>
      <c r="H81" s="35">
        <f>G81/F81*100</f>
        <v>1.9239016736401673</v>
      </c>
      <c r="I81" s="27">
        <f>SUM(I82:I87)</f>
        <v>316213.5</v>
      </c>
      <c r="J81" s="27">
        <f>SUM(J82:J87)</f>
        <v>8292.5</v>
      </c>
      <c r="K81" s="36">
        <f t="shared" si="1"/>
        <v>2.622437055976421</v>
      </c>
    </row>
    <row r="82" spans="1:11" ht="12.75">
      <c r="A82" s="14" t="s">
        <v>50</v>
      </c>
      <c r="B82" s="3" t="s">
        <v>90</v>
      </c>
      <c r="C82" s="22">
        <f>233269.4-C83-C85-C84</f>
        <v>46127.00000000001</v>
      </c>
      <c r="D82" s="22">
        <f>8003.8-D83-D85-D84</f>
        <v>7978.900000000001</v>
      </c>
      <c r="E82" s="22">
        <f t="shared" si="5"/>
        <v>17.29767814945693</v>
      </c>
      <c r="F82" s="25">
        <v>75817</v>
      </c>
      <c r="G82" s="23">
        <v>1465.8</v>
      </c>
      <c r="H82" s="25">
        <f>G82/F82*100</f>
        <v>1.9333394885052164</v>
      </c>
      <c r="I82" s="40">
        <f>C82+F82-1788.3</f>
        <v>120155.7</v>
      </c>
      <c r="J82" s="46">
        <f>D82+G82-1788.3</f>
        <v>7656.400000000001</v>
      </c>
      <c r="K82" s="37">
        <f t="shared" si="1"/>
        <v>6.37206557824556</v>
      </c>
    </row>
    <row r="83" spans="1:11" ht="45">
      <c r="A83" s="48" t="s">
        <v>50</v>
      </c>
      <c r="B83" s="49" t="s">
        <v>163</v>
      </c>
      <c r="C83" s="22">
        <f>75800+26582.1+74506.7</f>
        <v>176888.8</v>
      </c>
      <c r="D83" s="22">
        <v>0</v>
      </c>
      <c r="E83" s="22">
        <f t="shared" si="5"/>
        <v>0</v>
      </c>
      <c r="F83" s="25">
        <v>0</v>
      </c>
      <c r="G83" s="23">
        <v>0</v>
      </c>
      <c r="H83" s="25">
        <v>0</v>
      </c>
      <c r="I83" s="40">
        <f aca="true" t="shared" si="8" ref="I83:J98">C83+F83</f>
        <v>176888.8</v>
      </c>
      <c r="J83" s="46">
        <f t="shared" si="8"/>
        <v>0</v>
      </c>
      <c r="K83" s="37">
        <f>J83/I83*100</f>
        <v>0</v>
      </c>
    </row>
    <row r="84" spans="1:11" ht="12.75">
      <c r="A84" s="48" t="s">
        <v>50</v>
      </c>
      <c r="B84" s="49" t="s">
        <v>137</v>
      </c>
      <c r="C84" s="22">
        <v>1855.6</v>
      </c>
      <c r="D84" s="22">
        <v>0</v>
      </c>
      <c r="E84" s="22">
        <f t="shared" si="5"/>
        <v>0</v>
      </c>
      <c r="F84" s="25">
        <v>0</v>
      </c>
      <c r="G84" s="23">
        <v>0</v>
      </c>
      <c r="H84" s="25"/>
      <c r="I84" s="40">
        <f t="shared" si="8"/>
        <v>1855.6</v>
      </c>
      <c r="J84" s="46">
        <f t="shared" si="8"/>
        <v>0</v>
      </c>
      <c r="K84" s="37">
        <f>J84/I84*100</f>
        <v>0</v>
      </c>
    </row>
    <row r="85" spans="1:11" ht="22.5">
      <c r="A85" s="48" t="s">
        <v>50</v>
      </c>
      <c r="B85" s="49" t="s">
        <v>153</v>
      </c>
      <c r="C85" s="22">
        <v>8398</v>
      </c>
      <c r="D85" s="22">
        <v>24.9</v>
      </c>
      <c r="E85" s="22">
        <f t="shared" si="5"/>
        <v>0.2964991664682067</v>
      </c>
      <c r="F85" s="25">
        <v>0</v>
      </c>
      <c r="G85" s="23">
        <v>0</v>
      </c>
      <c r="H85" s="25">
        <v>0</v>
      </c>
      <c r="I85" s="40">
        <f t="shared" si="8"/>
        <v>8398</v>
      </c>
      <c r="J85" s="46">
        <f t="shared" si="8"/>
        <v>24.9</v>
      </c>
      <c r="K85" s="37">
        <f>J85/I85*100</f>
        <v>0.2964991664682067</v>
      </c>
    </row>
    <row r="86" spans="1:11" ht="12.75">
      <c r="A86" s="14" t="s">
        <v>51</v>
      </c>
      <c r="B86" s="3" t="s">
        <v>52</v>
      </c>
      <c r="C86" s="22">
        <v>619</v>
      </c>
      <c r="D86" s="22">
        <v>150</v>
      </c>
      <c r="E86" s="22">
        <f t="shared" si="5"/>
        <v>24.232633279483036</v>
      </c>
      <c r="F86" s="25">
        <v>663</v>
      </c>
      <c r="G86" s="23">
        <v>5.6</v>
      </c>
      <c r="H86" s="25">
        <f>G86/F86*100</f>
        <v>0.8446455505279035</v>
      </c>
      <c r="I86" s="40">
        <f t="shared" si="8"/>
        <v>1282</v>
      </c>
      <c r="J86" s="46">
        <f t="shared" si="8"/>
        <v>155.6</v>
      </c>
      <c r="K86" s="37">
        <f aca="true" t="shared" si="9" ref="K86:K118">J86/I86*100</f>
        <v>12.137285491419657</v>
      </c>
    </row>
    <row r="87" spans="1:11" ht="12.75">
      <c r="A87" s="14" t="s">
        <v>53</v>
      </c>
      <c r="B87" s="3" t="s">
        <v>91</v>
      </c>
      <c r="C87" s="22">
        <v>7633.4</v>
      </c>
      <c r="D87" s="22">
        <v>455.6</v>
      </c>
      <c r="E87" s="22">
        <f t="shared" si="5"/>
        <v>5.9685068252679025</v>
      </c>
      <c r="F87" s="25">
        <v>0</v>
      </c>
      <c r="G87" s="23">
        <v>0</v>
      </c>
      <c r="H87" s="25"/>
      <c r="I87" s="40">
        <f>C87+F87</f>
        <v>7633.4</v>
      </c>
      <c r="J87" s="46">
        <f>D87+G87</f>
        <v>455.6</v>
      </c>
      <c r="K87" s="37">
        <f t="shared" si="9"/>
        <v>5.9685068252679025</v>
      </c>
    </row>
    <row r="88" spans="1:11" ht="12.75">
      <c r="A88" s="13" t="s">
        <v>54</v>
      </c>
      <c r="B88" s="4" t="s">
        <v>92</v>
      </c>
      <c r="C88" s="24">
        <f>SUM(C89:C92)</f>
        <v>256288.2</v>
      </c>
      <c r="D88" s="24">
        <f>SUM(D89:D92)</f>
        <v>527.1</v>
      </c>
      <c r="E88" s="24">
        <f>D88/C88*100</f>
        <v>0.2056669015584799</v>
      </c>
      <c r="F88" s="27">
        <f>SUM(F89:F91)</f>
        <v>0</v>
      </c>
      <c r="G88" s="27">
        <f>SUM(G89:G91)</f>
        <v>0</v>
      </c>
      <c r="H88" s="35"/>
      <c r="I88" s="27">
        <f>C88+F88</f>
        <v>256288.2</v>
      </c>
      <c r="J88" s="27">
        <f t="shared" si="8"/>
        <v>527.1</v>
      </c>
      <c r="K88" s="36">
        <f t="shared" si="9"/>
        <v>0.2056669015584799</v>
      </c>
    </row>
    <row r="89" spans="1:11" ht="12.75">
      <c r="A89" s="14" t="s">
        <v>55</v>
      </c>
      <c r="B89" s="3" t="s">
        <v>56</v>
      </c>
      <c r="C89" s="22">
        <v>81313.3</v>
      </c>
      <c r="D89" s="22">
        <v>500</v>
      </c>
      <c r="E89" s="22">
        <f t="shared" si="5"/>
        <v>0.6149055566555532</v>
      </c>
      <c r="F89" s="25">
        <v>0</v>
      </c>
      <c r="G89" s="23">
        <v>0</v>
      </c>
      <c r="H89" s="25">
        <v>0</v>
      </c>
      <c r="I89" s="40">
        <f t="shared" si="8"/>
        <v>81313.3</v>
      </c>
      <c r="J89" s="46">
        <f t="shared" si="8"/>
        <v>500</v>
      </c>
      <c r="K89" s="37">
        <f t="shared" si="9"/>
        <v>0.6149055566555532</v>
      </c>
    </row>
    <row r="90" spans="1:11" ht="12.75">
      <c r="A90" s="14" t="s">
        <v>57</v>
      </c>
      <c r="B90" s="3" t="s">
        <v>58</v>
      </c>
      <c r="C90" s="22">
        <v>12279.4</v>
      </c>
      <c r="D90" s="22">
        <v>0</v>
      </c>
      <c r="E90" s="22">
        <f t="shared" si="5"/>
        <v>0</v>
      </c>
      <c r="F90" s="25">
        <v>0</v>
      </c>
      <c r="G90" s="23">
        <v>0</v>
      </c>
      <c r="H90" s="25">
        <v>0</v>
      </c>
      <c r="I90" s="40">
        <f t="shared" si="8"/>
        <v>12279.4</v>
      </c>
      <c r="J90" s="46">
        <f t="shared" si="8"/>
        <v>0</v>
      </c>
      <c r="K90" s="37">
        <f t="shared" si="9"/>
        <v>0</v>
      </c>
    </row>
    <row r="91" spans="1:11" ht="12.75">
      <c r="A91" s="15" t="s">
        <v>104</v>
      </c>
      <c r="B91" s="3" t="s">
        <v>88</v>
      </c>
      <c r="C91" s="22">
        <f>162695.5-C92</f>
        <v>15316.5</v>
      </c>
      <c r="D91" s="25">
        <v>27.1</v>
      </c>
      <c r="E91" s="22">
        <f t="shared" si="5"/>
        <v>0.17693337250677374</v>
      </c>
      <c r="F91" s="25">
        <v>0</v>
      </c>
      <c r="G91" s="23">
        <v>0</v>
      </c>
      <c r="H91" s="25">
        <v>0</v>
      </c>
      <c r="I91" s="40">
        <f t="shared" si="8"/>
        <v>15316.5</v>
      </c>
      <c r="J91" s="46">
        <f t="shared" si="8"/>
        <v>27.1</v>
      </c>
      <c r="K91" s="37">
        <f t="shared" si="9"/>
        <v>0.17693337250677374</v>
      </c>
    </row>
    <row r="92" spans="1:11" ht="22.5">
      <c r="A92" s="15" t="s">
        <v>104</v>
      </c>
      <c r="B92" s="49" t="s">
        <v>132</v>
      </c>
      <c r="C92" s="22">
        <v>147379</v>
      </c>
      <c r="D92" s="25">
        <v>0</v>
      </c>
      <c r="E92" s="22">
        <f t="shared" si="5"/>
        <v>0</v>
      </c>
      <c r="F92" s="25">
        <v>0</v>
      </c>
      <c r="G92" s="23">
        <v>0</v>
      </c>
      <c r="H92" s="25">
        <v>0</v>
      </c>
      <c r="I92" s="40">
        <f t="shared" si="8"/>
        <v>147379</v>
      </c>
      <c r="J92" s="46">
        <f t="shared" si="8"/>
        <v>0</v>
      </c>
      <c r="K92" s="37">
        <f t="shared" si="9"/>
        <v>0</v>
      </c>
    </row>
    <row r="93" spans="1:11" ht="12.75">
      <c r="A93" s="13">
        <v>10</v>
      </c>
      <c r="B93" s="4" t="s">
        <v>60</v>
      </c>
      <c r="C93" s="24">
        <f>SUM(C94:C105)</f>
        <v>146026</v>
      </c>
      <c r="D93" s="24">
        <f>SUM(D94:D105)</f>
        <v>830.4</v>
      </c>
      <c r="E93" s="24">
        <f>D93/C93*100</f>
        <v>0.5686658540259953</v>
      </c>
      <c r="F93" s="24">
        <f>SUM(F94:F103)</f>
        <v>120</v>
      </c>
      <c r="G93" s="24">
        <f>SUM(G94:G103)</f>
        <v>0</v>
      </c>
      <c r="H93" s="35">
        <f>G93/F93*100</f>
        <v>0</v>
      </c>
      <c r="I93" s="24">
        <f>SUM(I94:I105)</f>
        <v>146146</v>
      </c>
      <c r="J93" s="24">
        <f>SUM(J94:J105)</f>
        <v>830.4</v>
      </c>
      <c r="K93" s="36">
        <f t="shared" si="9"/>
        <v>0.5681989243633079</v>
      </c>
    </row>
    <row r="94" spans="1:11" ht="12.75">
      <c r="A94" s="15">
        <v>1001</v>
      </c>
      <c r="B94" s="3" t="s">
        <v>61</v>
      </c>
      <c r="C94" s="22">
        <v>3420</v>
      </c>
      <c r="D94" s="22">
        <v>285.1</v>
      </c>
      <c r="E94" s="22">
        <f t="shared" si="5"/>
        <v>8.336257309941521</v>
      </c>
      <c r="F94" s="25">
        <v>120</v>
      </c>
      <c r="G94" s="23">
        <v>0</v>
      </c>
      <c r="H94" s="25">
        <f>G94/F94*100</f>
        <v>0</v>
      </c>
      <c r="I94" s="40">
        <f t="shared" si="8"/>
        <v>3540</v>
      </c>
      <c r="J94" s="46">
        <f t="shared" si="8"/>
        <v>285.1</v>
      </c>
      <c r="K94" s="37">
        <f t="shared" si="9"/>
        <v>8.053672316384182</v>
      </c>
    </row>
    <row r="95" spans="1:11" ht="22.5">
      <c r="A95" s="15">
        <v>1003</v>
      </c>
      <c r="B95" s="3" t="s">
        <v>79</v>
      </c>
      <c r="C95" s="22">
        <v>2746.8</v>
      </c>
      <c r="D95" s="22">
        <v>0</v>
      </c>
      <c r="E95" s="22">
        <f t="shared" si="5"/>
        <v>0</v>
      </c>
      <c r="F95" s="25">
        <v>0</v>
      </c>
      <c r="G95" s="23">
        <v>0</v>
      </c>
      <c r="H95" s="25">
        <v>0</v>
      </c>
      <c r="I95" s="40">
        <f t="shared" si="8"/>
        <v>2746.8</v>
      </c>
      <c r="J95" s="46">
        <f t="shared" si="8"/>
        <v>0</v>
      </c>
      <c r="K95" s="37">
        <f t="shared" si="9"/>
        <v>0</v>
      </c>
    </row>
    <row r="96" spans="1:11" ht="22.5">
      <c r="A96" s="15">
        <v>1003</v>
      </c>
      <c r="B96" s="3" t="s">
        <v>94</v>
      </c>
      <c r="C96" s="22">
        <v>13827.1</v>
      </c>
      <c r="D96" s="22">
        <v>0</v>
      </c>
      <c r="E96" s="22">
        <f aca="true" t="shared" si="10" ref="E96:E116">D96/C96*100</f>
        <v>0</v>
      </c>
      <c r="F96" s="25">
        <v>0</v>
      </c>
      <c r="G96" s="23">
        <v>0</v>
      </c>
      <c r="H96" s="25">
        <v>0</v>
      </c>
      <c r="I96" s="40">
        <f t="shared" si="8"/>
        <v>13827.1</v>
      </c>
      <c r="J96" s="46">
        <f t="shared" si="8"/>
        <v>0</v>
      </c>
      <c r="K96" s="37">
        <f t="shared" si="9"/>
        <v>0</v>
      </c>
    </row>
    <row r="97" spans="1:11" ht="22.5">
      <c r="A97" s="15">
        <v>1003</v>
      </c>
      <c r="B97" s="3" t="s">
        <v>93</v>
      </c>
      <c r="C97" s="22">
        <v>11451</v>
      </c>
      <c r="D97" s="22">
        <v>0</v>
      </c>
      <c r="E97" s="22">
        <f t="shared" si="10"/>
        <v>0</v>
      </c>
      <c r="F97" s="25">
        <v>0</v>
      </c>
      <c r="G97" s="23">
        <v>0</v>
      </c>
      <c r="H97" s="25">
        <v>0</v>
      </c>
      <c r="I97" s="40">
        <f t="shared" si="8"/>
        <v>11451</v>
      </c>
      <c r="J97" s="46">
        <f t="shared" si="8"/>
        <v>0</v>
      </c>
      <c r="K97" s="37">
        <f t="shared" si="9"/>
        <v>0</v>
      </c>
    </row>
    <row r="98" spans="1:11" ht="12.75">
      <c r="A98" s="15" t="s">
        <v>168</v>
      </c>
      <c r="B98" s="3" t="s">
        <v>62</v>
      </c>
      <c r="C98" s="22">
        <v>734.6</v>
      </c>
      <c r="D98" s="22"/>
      <c r="E98" s="22"/>
      <c r="F98" s="25"/>
      <c r="G98" s="23"/>
      <c r="H98" s="25"/>
      <c r="I98" s="40">
        <f t="shared" si="8"/>
        <v>734.6</v>
      </c>
      <c r="J98" s="46"/>
      <c r="K98" s="37">
        <f t="shared" si="9"/>
        <v>0</v>
      </c>
    </row>
    <row r="99" spans="1:11" ht="22.5">
      <c r="A99" s="15" t="s">
        <v>168</v>
      </c>
      <c r="B99" s="3" t="s">
        <v>164</v>
      </c>
      <c r="C99" s="22">
        <v>1346</v>
      </c>
      <c r="D99" s="22"/>
      <c r="E99" s="22"/>
      <c r="F99" s="25"/>
      <c r="G99" s="23"/>
      <c r="H99" s="25"/>
      <c r="I99" s="40">
        <f aca="true" t="shared" si="11" ref="I99:I105">C99+F99</f>
        <v>1346</v>
      </c>
      <c r="J99" s="46"/>
      <c r="K99" s="37">
        <f t="shared" si="9"/>
        <v>0</v>
      </c>
    </row>
    <row r="100" spans="1:11" ht="45">
      <c r="A100" s="15">
        <v>1004</v>
      </c>
      <c r="B100" s="3" t="s">
        <v>122</v>
      </c>
      <c r="C100" s="56">
        <v>12774</v>
      </c>
      <c r="D100" s="22">
        <v>0</v>
      </c>
      <c r="E100" s="22">
        <f t="shared" si="10"/>
        <v>0</v>
      </c>
      <c r="F100" s="25">
        <v>0</v>
      </c>
      <c r="G100" s="23">
        <v>0</v>
      </c>
      <c r="H100" s="25">
        <v>0</v>
      </c>
      <c r="I100" s="40">
        <f t="shared" si="11"/>
        <v>12774</v>
      </c>
      <c r="J100" s="46">
        <f aca="true" t="shared" si="12" ref="J100:J105">D100+G100</f>
        <v>0</v>
      </c>
      <c r="K100" s="37">
        <f t="shared" si="9"/>
        <v>0</v>
      </c>
    </row>
    <row r="101" spans="1:11" ht="22.5">
      <c r="A101" s="15">
        <v>1004</v>
      </c>
      <c r="B101" s="3" t="s">
        <v>131</v>
      </c>
      <c r="C101" s="56">
        <v>887</v>
      </c>
      <c r="D101" s="22">
        <v>0</v>
      </c>
      <c r="E101" s="22">
        <f t="shared" si="10"/>
        <v>0</v>
      </c>
      <c r="F101" s="25">
        <v>0</v>
      </c>
      <c r="G101" s="25">
        <v>0</v>
      </c>
      <c r="H101" s="25">
        <v>0</v>
      </c>
      <c r="I101" s="40">
        <f t="shared" si="11"/>
        <v>887</v>
      </c>
      <c r="J101" s="40">
        <f t="shared" si="12"/>
        <v>0</v>
      </c>
      <c r="K101" s="37">
        <f t="shared" si="9"/>
        <v>0</v>
      </c>
    </row>
    <row r="102" spans="1:11" ht="12.75">
      <c r="A102" s="15">
        <v>1004</v>
      </c>
      <c r="B102" s="3" t="s">
        <v>72</v>
      </c>
      <c r="C102" s="56">
        <v>60733.5</v>
      </c>
      <c r="D102" s="22">
        <v>0</v>
      </c>
      <c r="E102" s="22">
        <f t="shared" si="10"/>
        <v>0</v>
      </c>
      <c r="F102" s="25">
        <v>0</v>
      </c>
      <c r="G102" s="23">
        <v>0</v>
      </c>
      <c r="H102" s="25">
        <v>0</v>
      </c>
      <c r="I102" s="40">
        <f t="shared" si="11"/>
        <v>60733.5</v>
      </c>
      <c r="J102" s="46">
        <f t="shared" si="12"/>
        <v>0</v>
      </c>
      <c r="K102" s="37">
        <f t="shared" si="9"/>
        <v>0</v>
      </c>
    </row>
    <row r="103" spans="1:11" ht="12.75">
      <c r="A103" s="15">
        <v>1004</v>
      </c>
      <c r="B103" s="3" t="s">
        <v>73</v>
      </c>
      <c r="C103" s="56">
        <v>5995.3</v>
      </c>
      <c r="D103" s="22">
        <v>0</v>
      </c>
      <c r="E103" s="22">
        <f t="shared" si="10"/>
        <v>0</v>
      </c>
      <c r="F103" s="25">
        <v>0</v>
      </c>
      <c r="G103" s="23">
        <v>0</v>
      </c>
      <c r="H103" s="25">
        <v>0</v>
      </c>
      <c r="I103" s="40">
        <f t="shared" si="11"/>
        <v>5995.3</v>
      </c>
      <c r="J103" s="46">
        <f t="shared" si="12"/>
        <v>0</v>
      </c>
      <c r="K103" s="37">
        <f t="shared" si="9"/>
        <v>0</v>
      </c>
    </row>
    <row r="104" spans="1:11" ht="45">
      <c r="A104" s="15" t="s">
        <v>110</v>
      </c>
      <c r="B104" s="3" t="s">
        <v>134</v>
      </c>
      <c r="C104" s="56">
        <v>18715.6</v>
      </c>
      <c r="D104" s="22">
        <v>0</v>
      </c>
      <c r="E104" s="22">
        <f>D104/C104*100</f>
        <v>0</v>
      </c>
      <c r="F104" s="25">
        <v>0</v>
      </c>
      <c r="G104" s="23">
        <v>0</v>
      </c>
      <c r="H104" s="25">
        <v>0</v>
      </c>
      <c r="I104" s="40">
        <f t="shared" si="11"/>
        <v>18715.6</v>
      </c>
      <c r="J104" s="46">
        <f t="shared" si="12"/>
        <v>0</v>
      </c>
      <c r="K104" s="37">
        <f>J104/I104*100</f>
        <v>0</v>
      </c>
    </row>
    <row r="105" spans="1:11" ht="12.75">
      <c r="A105" s="15">
        <v>1006</v>
      </c>
      <c r="B105" s="3" t="s">
        <v>63</v>
      </c>
      <c r="C105" s="22">
        <v>13395.1</v>
      </c>
      <c r="D105" s="22">
        <v>545.3</v>
      </c>
      <c r="E105" s="22">
        <f t="shared" si="10"/>
        <v>4.070891594687609</v>
      </c>
      <c r="F105" s="25">
        <v>0</v>
      </c>
      <c r="G105" s="23">
        <v>0</v>
      </c>
      <c r="H105" s="25">
        <v>0</v>
      </c>
      <c r="I105" s="40">
        <f t="shared" si="11"/>
        <v>13395.1</v>
      </c>
      <c r="J105" s="46">
        <f t="shared" si="12"/>
        <v>545.3</v>
      </c>
      <c r="K105" s="37">
        <f t="shared" si="9"/>
        <v>4.070891594687609</v>
      </c>
    </row>
    <row r="106" spans="1:11" ht="12.75">
      <c r="A106" s="17">
        <v>1100</v>
      </c>
      <c r="B106" s="4" t="s">
        <v>59</v>
      </c>
      <c r="C106" s="24">
        <f>SUM(C107:C108)</f>
        <v>29262.5</v>
      </c>
      <c r="D106" s="24">
        <f>SUM(D107:D108)</f>
        <v>567.2</v>
      </c>
      <c r="E106" s="24">
        <f>D106/C106*100</f>
        <v>1.9383169585647162</v>
      </c>
      <c r="F106" s="27">
        <f>F107+F108</f>
        <v>10198</v>
      </c>
      <c r="G106" s="27">
        <f>G107+G108</f>
        <v>157.4</v>
      </c>
      <c r="H106" s="35">
        <f>G106/F106*100</f>
        <v>1.543439890174544</v>
      </c>
      <c r="I106" s="27">
        <f>SUM(I107:I108)</f>
        <v>39250.5</v>
      </c>
      <c r="J106" s="27">
        <f>SUM(J107:J108)</f>
        <v>724.6</v>
      </c>
      <c r="K106" s="36">
        <f t="shared" si="9"/>
        <v>1.8460911325970368</v>
      </c>
    </row>
    <row r="107" spans="1:11" ht="12.75">
      <c r="A107" s="15">
        <v>1101</v>
      </c>
      <c r="B107" s="3" t="s">
        <v>83</v>
      </c>
      <c r="C107" s="22">
        <v>10850</v>
      </c>
      <c r="D107" s="22">
        <v>333.8</v>
      </c>
      <c r="E107" s="22">
        <f t="shared" si="10"/>
        <v>3.0764976958525345</v>
      </c>
      <c r="F107" s="25">
        <v>9988</v>
      </c>
      <c r="G107" s="23">
        <v>157.4</v>
      </c>
      <c r="H107" s="25">
        <f>G107/F107*100</f>
        <v>1.5758910692831398</v>
      </c>
      <c r="I107" s="40">
        <f>C107+F107</f>
        <v>20838</v>
      </c>
      <c r="J107" s="40">
        <f>D107+G107</f>
        <v>491.20000000000005</v>
      </c>
      <c r="K107" s="37">
        <f t="shared" si="9"/>
        <v>2.357231980036472</v>
      </c>
    </row>
    <row r="108" spans="1:11" ht="12.75">
      <c r="A108" s="15">
        <v>1102</v>
      </c>
      <c r="B108" s="3" t="s">
        <v>84</v>
      </c>
      <c r="C108" s="22">
        <v>18412.5</v>
      </c>
      <c r="D108" s="22">
        <v>233.4</v>
      </c>
      <c r="E108" s="22">
        <f t="shared" si="10"/>
        <v>1.2676171079429734</v>
      </c>
      <c r="F108" s="25">
        <v>210</v>
      </c>
      <c r="G108" s="23">
        <v>0</v>
      </c>
      <c r="H108" s="25">
        <f>G108/F108*100</f>
        <v>0</v>
      </c>
      <c r="I108" s="40">
        <f>C108+F108-210</f>
        <v>18412.5</v>
      </c>
      <c r="J108" s="40">
        <f>D108+G108</f>
        <v>233.4</v>
      </c>
      <c r="K108" s="37">
        <f t="shared" si="9"/>
        <v>1.2676171079429734</v>
      </c>
    </row>
    <row r="109" spans="1:11" ht="12.75">
      <c r="A109" s="17">
        <v>1200</v>
      </c>
      <c r="B109" s="4" t="s">
        <v>85</v>
      </c>
      <c r="C109" s="24">
        <f>C111+C110</f>
        <v>9200</v>
      </c>
      <c r="D109" s="24">
        <f>D111+D110</f>
        <v>2925</v>
      </c>
      <c r="E109" s="24">
        <f>E111</f>
        <v>25</v>
      </c>
      <c r="F109" s="24">
        <f>F111+F110</f>
        <v>0</v>
      </c>
      <c r="G109" s="24">
        <f>G111+G110</f>
        <v>0</v>
      </c>
      <c r="H109" s="38">
        <f>H111</f>
        <v>0</v>
      </c>
      <c r="I109" s="24">
        <f aca="true" t="shared" si="13" ref="I109:J113">C109+F109</f>
        <v>9200</v>
      </c>
      <c r="J109" s="24">
        <f t="shared" si="13"/>
        <v>2925</v>
      </c>
      <c r="K109" s="39">
        <f t="shared" si="9"/>
        <v>31.793478260869566</v>
      </c>
    </row>
    <row r="110" spans="1:11" ht="12.75">
      <c r="A110" s="15" t="s">
        <v>114</v>
      </c>
      <c r="B110" s="3" t="s">
        <v>115</v>
      </c>
      <c r="C110" s="22">
        <v>3500</v>
      </c>
      <c r="D110" s="22">
        <v>1500</v>
      </c>
      <c r="E110" s="22">
        <f>D110/C110*100</f>
        <v>42.857142857142854</v>
      </c>
      <c r="F110" s="25">
        <v>0</v>
      </c>
      <c r="G110" s="23">
        <v>0</v>
      </c>
      <c r="H110" s="25">
        <v>0</v>
      </c>
      <c r="I110" s="40">
        <f t="shared" si="13"/>
        <v>3500</v>
      </c>
      <c r="J110" s="40">
        <f t="shared" si="13"/>
        <v>1500</v>
      </c>
      <c r="K110" s="37">
        <f>J110/I110*100</f>
        <v>42.857142857142854</v>
      </c>
    </row>
    <row r="111" spans="1:11" ht="12.75">
      <c r="A111" s="15">
        <v>1202</v>
      </c>
      <c r="B111" s="3" t="s">
        <v>101</v>
      </c>
      <c r="C111" s="22">
        <v>5700</v>
      </c>
      <c r="D111" s="22">
        <v>1425</v>
      </c>
      <c r="E111" s="22">
        <f t="shared" si="10"/>
        <v>25</v>
      </c>
      <c r="F111" s="25">
        <v>0</v>
      </c>
      <c r="G111" s="23">
        <v>0</v>
      </c>
      <c r="H111" s="25">
        <v>0</v>
      </c>
      <c r="I111" s="40">
        <f t="shared" si="13"/>
        <v>5700</v>
      </c>
      <c r="J111" s="40">
        <f t="shared" si="13"/>
        <v>1425</v>
      </c>
      <c r="K111" s="37">
        <f t="shared" si="9"/>
        <v>25</v>
      </c>
    </row>
    <row r="112" spans="1:11" ht="12.75">
      <c r="A112" s="17">
        <v>1300</v>
      </c>
      <c r="B112" s="4" t="s">
        <v>86</v>
      </c>
      <c r="C112" s="24">
        <f aca="true" t="shared" si="14" ref="C112:H112">C113</f>
        <v>1000</v>
      </c>
      <c r="D112" s="24">
        <f t="shared" si="14"/>
        <v>94.3</v>
      </c>
      <c r="E112" s="24">
        <f t="shared" si="14"/>
        <v>9.43</v>
      </c>
      <c r="F112" s="24">
        <f t="shared" si="14"/>
        <v>0</v>
      </c>
      <c r="G112" s="24">
        <f t="shared" si="14"/>
        <v>0</v>
      </c>
      <c r="H112" s="38">
        <f t="shared" si="14"/>
        <v>0</v>
      </c>
      <c r="I112" s="24">
        <f t="shared" si="13"/>
        <v>1000</v>
      </c>
      <c r="J112" s="24">
        <f t="shared" si="13"/>
        <v>94.3</v>
      </c>
      <c r="K112" s="39">
        <f t="shared" si="9"/>
        <v>9.43</v>
      </c>
    </row>
    <row r="113" spans="1:11" ht="22.5">
      <c r="A113" s="15">
        <v>1301</v>
      </c>
      <c r="B113" s="3" t="s">
        <v>87</v>
      </c>
      <c r="C113" s="22">
        <v>1000</v>
      </c>
      <c r="D113" s="22">
        <v>94.3</v>
      </c>
      <c r="E113" s="22">
        <f t="shared" si="10"/>
        <v>9.43</v>
      </c>
      <c r="F113" s="25"/>
      <c r="G113" s="23">
        <v>0</v>
      </c>
      <c r="H113" s="25">
        <v>0</v>
      </c>
      <c r="I113" s="40">
        <f t="shared" si="13"/>
        <v>1000</v>
      </c>
      <c r="J113" s="40">
        <f t="shared" si="13"/>
        <v>94.3</v>
      </c>
      <c r="K113" s="37">
        <f t="shared" si="9"/>
        <v>9.43</v>
      </c>
    </row>
    <row r="114" spans="1:11" ht="12.75">
      <c r="A114" s="17">
        <v>1400</v>
      </c>
      <c r="B114" s="4" t="s">
        <v>64</v>
      </c>
      <c r="C114" s="24">
        <f>SUM(C115:C116)</f>
        <v>277801.2</v>
      </c>
      <c r="D114" s="24">
        <f>SUM(D115:D116)</f>
        <v>16731.7</v>
      </c>
      <c r="E114" s="24">
        <f>D114/C114*100</f>
        <v>6.022904148722179</v>
      </c>
      <c r="F114" s="27">
        <f>F115+F116+F117</f>
        <v>26826.1</v>
      </c>
      <c r="G114" s="27">
        <f>SUM(G115:G117)</f>
        <v>0</v>
      </c>
      <c r="H114" s="27">
        <f>G114/F114*100</f>
        <v>0</v>
      </c>
      <c r="I114" s="27">
        <v>0</v>
      </c>
      <c r="J114" s="27">
        <v>0</v>
      </c>
      <c r="K114" s="36">
        <v>0</v>
      </c>
    </row>
    <row r="115" spans="1:11" ht="22.5">
      <c r="A115" s="15">
        <v>1401</v>
      </c>
      <c r="B115" s="3" t="s">
        <v>81</v>
      </c>
      <c r="C115" s="22">
        <v>104609.8</v>
      </c>
      <c r="D115" s="22">
        <v>6974</v>
      </c>
      <c r="E115" s="22">
        <f t="shared" si="10"/>
        <v>6.666679412445105</v>
      </c>
      <c r="F115" s="25">
        <v>0</v>
      </c>
      <c r="G115" s="23">
        <v>0</v>
      </c>
      <c r="H115" s="25">
        <v>0</v>
      </c>
      <c r="I115" s="40">
        <v>0</v>
      </c>
      <c r="J115" s="46">
        <v>0</v>
      </c>
      <c r="K115" s="37">
        <v>0</v>
      </c>
    </row>
    <row r="116" spans="1:11" ht="12.75">
      <c r="A116" s="15">
        <v>1402</v>
      </c>
      <c r="B116" s="3" t="s">
        <v>82</v>
      </c>
      <c r="C116" s="22">
        <v>173191.4</v>
      </c>
      <c r="D116" s="22">
        <v>9757.7</v>
      </c>
      <c r="E116" s="22">
        <f t="shared" si="10"/>
        <v>5.63405573255947</v>
      </c>
      <c r="F116" s="25">
        <v>0</v>
      </c>
      <c r="G116" s="23">
        <v>0</v>
      </c>
      <c r="H116" s="25">
        <v>0</v>
      </c>
      <c r="I116" s="40">
        <v>0</v>
      </c>
      <c r="J116" s="46">
        <v>0</v>
      </c>
      <c r="K116" s="37">
        <v>0</v>
      </c>
    </row>
    <row r="117" spans="1:11" ht="12.75">
      <c r="A117" s="15">
        <v>1403</v>
      </c>
      <c r="B117" s="3" t="s">
        <v>95</v>
      </c>
      <c r="C117" s="22"/>
      <c r="D117" s="22"/>
      <c r="E117" s="22">
        <v>0</v>
      </c>
      <c r="F117" s="25">
        <v>26826.1</v>
      </c>
      <c r="G117" s="23">
        <v>0</v>
      </c>
      <c r="H117" s="25">
        <f>G117/F117*100</f>
        <v>0</v>
      </c>
      <c r="I117" s="40">
        <v>0</v>
      </c>
      <c r="J117" s="46">
        <v>0</v>
      </c>
      <c r="K117" s="37">
        <v>0</v>
      </c>
    </row>
    <row r="118" spans="1:11" ht="13.5" thickBot="1">
      <c r="A118" s="182" t="s">
        <v>65</v>
      </c>
      <c r="B118" s="183"/>
      <c r="C118" s="29">
        <f>C9+C18+C20+C25+C45+C71+C73+C81+C88+C93+C106+C109+C112+C114</f>
        <v>3981574.3000000003</v>
      </c>
      <c r="D118" s="29">
        <f>D114+D112+D109+D106+D93+D88+D81+D73+D71+D45+D25+D20+D18+D9</f>
        <v>184490.2</v>
      </c>
      <c r="E118" s="29">
        <f>D118/C118*100</f>
        <v>4.633599327783485</v>
      </c>
      <c r="F118" s="29">
        <f>F9+F18+F20+F25+F45+F71+F73+F81+F88+F93+F106+F109+F112+F114</f>
        <v>484125</v>
      </c>
      <c r="G118" s="29">
        <f>G114+G112+G109+G93+G88+G81+G73+G45+G25+G21+G18+G9+G20+G106</f>
        <v>10643.9</v>
      </c>
      <c r="H118" s="47">
        <f>G118/F118*100</f>
        <v>2.198585076168345</v>
      </c>
      <c r="I118" s="29">
        <f>I114+I112+I109+I106+I93+I88+I81+I73+I71+I45+I25+I20+I18+I9</f>
        <v>4080132</v>
      </c>
      <c r="J118" s="29">
        <f>J114+J112+J109+J106+J93+J88+J81+J73+J71+J45+J25+J20+J18+J9</f>
        <v>176384.1</v>
      </c>
      <c r="K118" s="30">
        <f t="shared" si="9"/>
        <v>4.32299984412269</v>
      </c>
    </row>
    <row r="119" spans="1:11" ht="12.75">
      <c r="A119" s="9"/>
      <c r="B119" s="5"/>
      <c r="C119" s="53"/>
      <c r="D119" s="31"/>
      <c r="E119" s="41"/>
      <c r="F119" s="21"/>
      <c r="G119" s="33"/>
      <c r="H119" s="33"/>
      <c r="I119" s="45"/>
      <c r="J119" s="45"/>
      <c r="K119" s="45"/>
    </row>
    <row r="120" spans="1:11" ht="12.75">
      <c r="A120" s="10"/>
      <c r="B120" s="6"/>
      <c r="C120" s="54"/>
      <c r="D120" s="32"/>
      <c r="E120" s="41"/>
      <c r="F120" s="21"/>
      <c r="G120" s="33"/>
      <c r="H120" s="33"/>
      <c r="I120" s="44"/>
      <c r="J120" s="44"/>
      <c r="K120" s="45"/>
    </row>
    <row r="121" spans="1:11" ht="12.75">
      <c r="A121" s="10"/>
      <c r="B121" s="6"/>
      <c r="C121" s="54"/>
      <c r="D121" s="32"/>
      <c r="E121" s="41"/>
      <c r="F121" s="21"/>
      <c r="G121" s="33"/>
      <c r="H121" s="33"/>
      <c r="I121" s="44"/>
      <c r="J121" s="44"/>
      <c r="K121" s="45"/>
    </row>
    <row r="122" spans="1:11" ht="12.75">
      <c r="A122" s="10"/>
      <c r="B122" s="6"/>
      <c r="C122" s="54"/>
      <c r="D122" s="32"/>
      <c r="E122" s="41"/>
      <c r="F122" s="21"/>
      <c r="G122" s="33"/>
      <c r="H122" s="33"/>
      <c r="I122" s="44"/>
      <c r="J122" s="44"/>
      <c r="K122" s="45"/>
    </row>
    <row r="123" spans="1:11" ht="12.75">
      <c r="A123" s="10"/>
      <c r="B123" s="6"/>
      <c r="C123" s="54"/>
      <c r="D123" s="32"/>
      <c r="E123" s="41"/>
      <c r="F123" s="21"/>
      <c r="G123" s="33"/>
      <c r="H123" s="33"/>
      <c r="I123" s="44"/>
      <c r="J123" s="44"/>
      <c r="K123" s="45"/>
    </row>
    <row r="124" spans="1:11" ht="12.75">
      <c r="A124" s="186" t="s">
        <v>124</v>
      </c>
      <c r="B124" s="186"/>
      <c r="C124" s="186"/>
      <c r="D124" s="21"/>
      <c r="E124" s="33"/>
      <c r="F124" s="33"/>
      <c r="G124" s="33"/>
      <c r="H124" s="33"/>
      <c r="I124" s="45"/>
      <c r="J124" s="45"/>
      <c r="K124" s="45"/>
    </row>
    <row r="125" spans="1:11" ht="12.75">
      <c r="A125" s="186" t="s">
        <v>125</v>
      </c>
      <c r="B125" s="186"/>
      <c r="C125" s="186"/>
      <c r="D125" s="42"/>
      <c r="E125" s="187" t="s">
        <v>66</v>
      </c>
      <c r="F125" s="187"/>
      <c r="G125" s="33"/>
      <c r="H125" s="33"/>
      <c r="I125" s="44"/>
      <c r="J125" s="45"/>
      <c r="K125" s="45"/>
    </row>
    <row r="126" spans="1:11" ht="12.75">
      <c r="A126" s="11"/>
      <c r="B126" s="5"/>
      <c r="C126" s="53"/>
      <c r="D126" s="31"/>
      <c r="E126" s="43"/>
      <c r="F126" s="55"/>
      <c r="G126" s="33"/>
      <c r="H126" s="33"/>
      <c r="I126" s="44"/>
      <c r="J126" s="45"/>
      <c r="K126" s="45"/>
    </row>
    <row r="127" spans="1:11" ht="12.75">
      <c r="A127" s="186" t="s">
        <v>151</v>
      </c>
      <c r="B127" s="186"/>
      <c r="C127" s="186"/>
      <c r="D127" s="34"/>
      <c r="E127" s="187" t="s">
        <v>123</v>
      </c>
      <c r="F127" s="187"/>
      <c r="G127" s="33"/>
      <c r="H127" s="33"/>
      <c r="I127" s="44"/>
      <c r="J127" s="45"/>
      <c r="K127" s="45"/>
    </row>
    <row r="128" spans="1:11" ht="12.75">
      <c r="A128" s="11"/>
      <c r="B128" s="6"/>
      <c r="C128" s="54"/>
      <c r="D128" s="32"/>
      <c r="E128" s="43"/>
      <c r="F128" s="55"/>
      <c r="G128" s="33"/>
      <c r="H128" s="33"/>
      <c r="I128" s="44"/>
      <c r="J128" s="45"/>
      <c r="K128" s="45"/>
    </row>
    <row r="129" spans="1:11" ht="12.75">
      <c r="A129" s="186" t="s">
        <v>154</v>
      </c>
      <c r="B129" s="186"/>
      <c r="C129" s="186"/>
      <c r="D129" s="34"/>
      <c r="E129" s="188" t="s">
        <v>155</v>
      </c>
      <c r="F129" s="188"/>
      <c r="G129" s="33"/>
      <c r="H129" s="33"/>
      <c r="I129" s="44"/>
      <c r="J129" s="45"/>
      <c r="K129" s="45"/>
    </row>
    <row r="130" spans="1:11" ht="12.75">
      <c r="A130" s="12"/>
      <c r="B130" s="7"/>
      <c r="C130" s="51"/>
      <c r="D130" s="21"/>
      <c r="E130" s="21"/>
      <c r="F130" s="33"/>
      <c r="G130" s="33"/>
      <c r="H130" s="33"/>
      <c r="I130" s="45"/>
      <c r="J130" s="45"/>
      <c r="K130" s="45"/>
    </row>
    <row r="131" spans="3:5" ht="12.75">
      <c r="C131" s="58" t="s">
        <v>156</v>
      </c>
      <c r="D131" t="s">
        <v>157</v>
      </c>
      <c r="E131" s="59" t="s">
        <v>158</v>
      </c>
    </row>
    <row r="134" ht="12.75">
      <c r="B134" s="7" t="s">
        <v>172</v>
      </c>
    </row>
  </sheetData>
  <sheetProtection/>
  <mergeCells count="35">
    <mergeCell ref="A124:C124"/>
    <mergeCell ref="A125:C125"/>
    <mergeCell ref="E125:F125"/>
    <mergeCell ref="A127:C127"/>
    <mergeCell ref="E127:F127"/>
    <mergeCell ref="A129:C129"/>
    <mergeCell ref="E129:F129"/>
    <mergeCell ref="K20:K21"/>
    <mergeCell ref="A118:B118"/>
    <mergeCell ref="A20:A21"/>
    <mergeCell ref="B20:B21"/>
    <mergeCell ref="C20:C21"/>
    <mergeCell ref="D20:D21"/>
    <mergeCell ref="E20:E21"/>
    <mergeCell ref="F20:F21"/>
    <mergeCell ref="A1:K1"/>
    <mergeCell ref="A3:A8"/>
    <mergeCell ref="B3:B5"/>
    <mergeCell ref="C3:E3"/>
    <mergeCell ref="F3:H3"/>
    <mergeCell ref="I3:K3"/>
    <mergeCell ref="G4:G5"/>
    <mergeCell ref="H4:H5"/>
    <mergeCell ref="I4:I5"/>
    <mergeCell ref="J4:J5"/>
    <mergeCell ref="C4:C5"/>
    <mergeCell ref="D4:D5"/>
    <mergeCell ref="G20:G21"/>
    <mergeCell ref="H20:H21"/>
    <mergeCell ref="K4:K5"/>
    <mergeCell ref="B6:K8"/>
    <mergeCell ref="E4:E5"/>
    <mergeCell ref="F4:F5"/>
    <mergeCell ref="I20:I21"/>
    <mergeCell ref="J20:J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5"/>
  <sheetViews>
    <sheetView tabSelected="1" zoomScalePageLayoutView="0" workbookViewId="0" topLeftCell="A208">
      <selection activeCell="D219" sqref="D219"/>
    </sheetView>
  </sheetViews>
  <sheetFormatPr defaultColWidth="9.00390625" defaultRowHeight="12.75"/>
  <cols>
    <col min="1" max="1" width="23.75390625" style="0" customWidth="1"/>
    <col min="2" max="2" width="0.12890625" style="0" hidden="1" customWidth="1"/>
    <col min="3" max="3" width="48.00390625" style="0" customWidth="1"/>
    <col min="4" max="4" width="14.625" style="0" customWidth="1"/>
    <col min="5" max="5" width="13.125" style="0" hidden="1" customWidth="1"/>
    <col min="6" max="6" width="10.00390625" style="0" customWidth="1"/>
    <col min="7" max="7" width="8.375" style="0" hidden="1" customWidth="1"/>
    <col min="8" max="8" width="8.75390625" style="0" hidden="1" customWidth="1"/>
    <col min="9" max="9" width="10.00390625" style="0" hidden="1" customWidth="1"/>
    <col min="10" max="10" width="11.00390625" style="0" customWidth="1"/>
    <col min="11" max="11" width="11.00390625" style="0" hidden="1" customWidth="1"/>
    <col min="12" max="12" width="11.125" style="0" hidden="1" customWidth="1"/>
    <col min="13" max="13" width="0.2421875" style="0" hidden="1" customWidth="1"/>
    <col min="14" max="14" width="9.125" style="0" hidden="1" customWidth="1"/>
    <col min="15" max="15" width="10.00390625" style="0" hidden="1" customWidth="1"/>
    <col min="16" max="16" width="10.00390625" style="0" customWidth="1"/>
  </cols>
  <sheetData>
    <row r="1" spans="1:18" ht="23.25" customHeight="1">
      <c r="A1" s="196" t="s">
        <v>325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1:18" ht="12.7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97"/>
      <c r="O2" s="97"/>
      <c r="P2" s="97"/>
      <c r="Q2" s="97"/>
      <c r="R2" s="97"/>
    </row>
    <row r="3" spans="1:18" ht="12.75">
      <c r="A3" s="60"/>
      <c r="B3" s="60"/>
      <c r="C3" s="61"/>
      <c r="D3" s="61"/>
      <c r="E3" s="61"/>
      <c r="F3" s="61"/>
      <c r="G3" s="61"/>
      <c r="H3" s="62"/>
      <c r="I3" s="62"/>
      <c r="J3" s="62"/>
      <c r="K3" s="98" t="s">
        <v>268</v>
      </c>
      <c r="L3" s="62"/>
      <c r="M3" s="62"/>
      <c r="N3" s="97"/>
      <c r="O3" s="97"/>
      <c r="P3" s="97"/>
      <c r="Q3" s="97"/>
      <c r="R3" s="97"/>
    </row>
    <row r="4" spans="1:18" ht="24" customHeight="1">
      <c r="A4" s="63" t="s">
        <v>174</v>
      </c>
      <c r="B4" s="63"/>
      <c r="C4" s="64"/>
      <c r="D4" s="190" t="s">
        <v>269</v>
      </c>
      <c r="E4" s="190" t="s">
        <v>303</v>
      </c>
      <c r="F4" s="193" t="s">
        <v>270</v>
      </c>
      <c r="G4" s="193" t="s">
        <v>271</v>
      </c>
      <c r="H4" s="193" t="s">
        <v>272</v>
      </c>
      <c r="I4" s="238" t="s">
        <v>326</v>
      </c>
      <c r="J4" s="193" t="s">
        <v>273</v>
      </c>
      <c r="K4" s="190" t="s">
        <v>327</v>
      </c>
      <c r="L4" s="190" t="s">
        <v>274</v>
      </c>
      <c r="M4" s="190" t="s">
        <v>275</v>
      </c>
      <c r="N4" s="190" t="s">
        <v>276</v>
      </c>
      <c r="O4" s="190" t="s">
        <v>277</v>
      </c>
      <c r="P4" s="190" t="s">
        <v>278</v>
      </c>
      <c r="Q4" s="190" t="s">
        <v>328</v>
      </c>
      <c r="R4" s="190" t="s">
        <v>279</v>
      </c>
    </row>
    <row r="5" spans="1:18" ht="23.25" customHeight="1">
      <c r="A5" s="65" t="s">
        <v>175</v>
      </c>
      <c r="B5" s="65"/>
      <c r="C5" s="66" t="s">
        <v>176</v>
      </c>
      <c r="D5" s="191"/>
      <c r="E5" s="191"/>
      <c r="F5" s="194"/>
      <c r="G5" s="194"/>
      <c r="H5" s="194"/>
      <c r="I5" s="239"/>
      <c r="J5" s="194"/>
      <c r="K5" s="191"/>
      <c r="L5" s="191"/>
      <c r="M5" s="191"/>
      <c r="N5" s="191"/>
      <c r="O5" s="191"/>
      <c r="P5" s="191"/>
      <c r="Q5" s="191"/>
      <c r="R5" s="191"/>
    </row>
    <row r="6" spans="1:18" ht="25.5" customHeight="1">
      <c r="A6" s="65"/>
      <c r="B6" s="65"/>
      <c r="C6" s="66"/>
      <c r="D6" s="192"/>
      <c r="E6" s="192"/>
      <c r="F6" s="195"/>
      <c r="G6" s="195"/>
      <c r="H6" s="195"/>
      <c r="I6" s="240"/>
      <c r="J6" s="195"/>
      <c r="K6" s="192"/>
      <c r="L6" s="192"/>
      <c r="M6" s="192"/>
      <c r="N6" s="192"/>
      <c r="O6" s="192"/>
      <c r="P6" s="192"/>
      <c r="Q6" s="192"/>
      <c r="R6" s="192"/>
    </row>
    <row r="7" spans="1:18" ht="12.75">
      <c r="A7" s="197" t="s">
        <v>177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97"/>
      <c r="R7" s="97"/>
    </row>
    <row r="8" spans="1:18" ht="12.75">
      <c r="A8" s="99" t="s">
        <v>178</v>
      </c>
      <c r="B8" s="99"/>
      <c r="C8" s="100" t="s">
        <v>179</v>
      </c>
      <c r="D8" s="241">
        <f aca="true" t="shared" si="0" ref="D8:K8">D9+D11+D12+D13+D15+D16+D18+D20+D14+D21+D17+D19+D10</f>
        <v>877527.8999999999</v>
      </c>
      <c r="E8" s="241">
        <f t="shared" si="0"/>
        <v>439529.1</v>
      </c>
      <c r="F8" s="241">
        <f t="shared" si="0"/>
        <v>210585.09999999998</v>
      </c>
      <c r="G8" s="241">
        <f t="shared" si="0"/>
        <v>228944</v>
      </c>
      <c r="H8" s="241">
        <f t="shared" si="0"/>
        <v>204980.4</v>
      </c>
      <c r="I8" s="241">
        <f t="shared" si="0"/>
        <v>644509.4999999999</v>
      </c>
      <c r="J8" s="241">
        <f t="shared" si="0"/>
        <v>233018.4</v>
      </c>
      <c r="K8" s="241">
        <f t="shared" si="0"/>
        <v>586843.9000000003</v>
      </c>
      <c r="L8" s="241" t="e">
        <f>L9+L11+L12+L13+L15+L16+L18+L20+L14+L21+L17+L19</f>
        <v>#REF!</v>
      </c>
      <c r="M8" s="241">
        <f aca="true" t="shared" si="1" ref="M8:M20">K8/H8*100</f>
        <v>286.29268944738146</v>
      </c>
      <c r="N8" s="242"/>
      <c r="O8" s="242"/>
      <c r="P8" s="241">
        <f>K8*100/J8</f>
        <v>251.8444466188079</v>
      </c>
      <c r="Q8" s="241">
        <f>K8*100/I8</f>
        <v>91.052792860307</v>
      </c>
      <c r="R8" s="243">
        <f>K8*100/D8</f>
        <v>66.8746714491927</v>
      </c>
    </row>
    <row r="9" spans="1:18" ht="12.75">
      <c r="A9" s="74" t="s">
        <v>180</v>
      </c>
      <c r="B9" s="74"/>
      <c r="C9" s="103" t="s">
        <v>181</v>
      </c>
      <c r="D9" s="244">
        <f>F9+G9+H9+J9</f>
        <v>686798.8</v>
      </c>
      <c r="E9" s="244">
        <f>F9+G9</f>
        <v>336267</v>
      </c>
      <c r="F9" s="244">
        <v>158666.3</v>
      </c>
      <c r="G9" s="244">
        <v>177600.7</v>
      </c>
      <c r="H9" s="245">
        <v>161953.5</v>
      </c>
      <c r="I9" s="245">
        <f>E9+H9</f>
        <v>498220.5</v>
      </c>
      <c r="J9" s="246">
        <v>188578.3</v>
      </c>
      <c r="K9" s="246">
        <v>448866</v>
      </c>
      <c r="L9" s="247" t="e">
        <f>K9/#REF!*100</f>
        <v>#REF!</v>
      </c>
      <c r="M9" s="247">
        <f t="shared" si="1"/>
        <v>277.1573321972047</v>
      </c>
      <c r="N9" s="242"/>
      <c r="O9" s="242"/>
      <c r="P9" s="245">
        <f aca="true" t="shared" si="2" ref="P9:P76">K9*100/J9</f>
        <v>238.02632646492202</v>
      </c>
      <c r="Q9" s="247">
        <f>K9*100/I9</f>
        <v>90.09384399076312</v>
      </c>
      <c r="R9" s="246">
        <f aca="true" t="shared" si="3" ref="R9:R73">K9*100/D9</f>
        <v>65.35625863062079</v>
      </c>
    </row>
    <row r="10" spans="1:18" ht="12.75">
      <c r="A10" s="67" t="s">
        <v>280</v>
      </c>
      <c r="B10" s="67"/>
      <c r="C10" s="103" t="s">
        <v>281</v>
      </c>
      <c r="D10" s="244">
        <f aca="true" t="shared" si="4" ref="D10:D26">F10+G10+H10+J10</f>
        <v>40154.200000000004</v>
      </c>
      <c r="E10" s="244">
        <f aca="true" t="shared" si="5" ref="E10:E26">F10+G10</f>
        <v>18807.4</v>
      </c>
      <c r="F10" s="244">
        <v>8828.2</v>
      </c>
      <c r="G10" s="244">
        <v>9979.2</v>
      </c>
      <c r="H10" s="245">
        <v>9979.2</v>
      </c>
      <c r="I10" s="245">
        <f aca="true" t="shared" si="6" ref="I10:I21">E10+H10</f>
        <v>28786.600000000002</v>
      </c>
      <c r="J10" s="246">
        <v>11367.6</v>
      </c>
      <c r="K10" s="246">
        <v>22123.8</v>
      </c>
      <c r="L10" s="247"/>
      <c r="M10" s="247"/>
      <c r="N10" s="242"/>
      <c r="O10" s="242"/>
      <c r="P10" s="245"/>
      <c r="Q10" s="247">
        <f aca="true" t="shared" si="7" ref="Q10:Q20">K10*100/I10</f>
        <v>76.85450869501781</v>
      </c>
      <c r="R10" s="246">
        <f t="shared" si="3"/>
        <v>55.097100676890584</v>
      </c>
    </row>
    <row r="11" spans="1:18" ht="12.75">
      <c r="A11" s="67" t="s">
        <v>182</v>
      </c>
      <c r="B11" s="67"/>
      <c r="C11" s="103" t="s">
        <v>183</v>
      </c>
      <c r="D11" s="244">
        <f t="shared" si="4"/>
        <v>34182.799999999996</v>
      </c>
      <c r="E11" s="244">
        <f t="shared" si="5"/>
        <v>17029.6</v>
      </c>
      <c r="F11" s="244">
        <v>8529.8</v>
      </c>
      <c r="G11" s="244">
        <v>8499.8</v>
      </c>
      <c r="H11" s="245">
        <v>8529.3</v>
      </c>
      <c r="I11" s="245">
        <f t="shared" si="6"/>
        <v>25558.899999999998</v>
      </c>
      <c r="J11" s="246">
        <v>8623.9</v>
      </c>
      <c r="K11" s="246">
        <v>24613.7</v>
      </c>
      <c r="L11" s="247" t="e">
        <f>K11/#REF!*100</f>
        <v>#REF!</v>
      </c>
      <c r="M11" s="247">
        <f t="shared" si="1"/>
        <v>288.57819516255734</v>
      </c>
      <c r="N11" s="242"/>
      <c r="O11" s="242"/>
      <c r="P11" s="245">
        <f t="shared" si="2"/>
        <v>285.4126323357182</v>
      </c>
      <c r="Q11" s="247">
        <f t="shared" si="7"/>
        <v>96.30187527632255</v>
      </c>
      <c r="R11" s="246">
        <f t="shared" si="3"/>
        <v>72.00609663339458</v>
      </c>
    </row>
    <row r="12" spans="1:18" ht="12.75">
      <c r="A12" s="67" t="s">
        <v>184</v>
      </c>
      <c r="B12" s="67"/>
      <c r="C12" s="103" t="s">
        <v>185</v>
      </c>
      <c r="D12" s="244">
        <f t="shared" si="4"/>
        <v>3099.9999999999995</v>
      </c>
      <c r="E12" s="244">
        <f t="shared" si="5"/>
        <v>1415.6</v>
      </c>
      <c r="F12" s="244">
        <v>707.8</v>
      </c>
      <c r="G12" s="244">
        <v>707.8</v>
      </c>
      <c r="H12" s="245">
        <v>707.8</v>
      </c>
      <c r="I12" s="245">
        <f t="shared" si="6"/>
        <v>2123.3999999999996</v>
      </c>
      <c r="J12" s="246">
        <v>976.6</v>
      </c>
      <c r="K12" s="246">
        <v>2738</v>
      </c>
      <c r="L12" s="247" t="e">
        <f>K12/#REF!*100</f>
        <v>#REF!</v>
      </c>
      <c r="M12" s="247">
        <f t="shared" si="1"/>
        <v>386.83243854196104</v>
      </c>
      <c r="N12" s="242"/>
      <c r="O12" s="242"/>
      <c r="P12" s="245">
        <f t="shared" si="2"/>
        <v>280.3604341593283</v>
      </c>
      <c r="Q12" s="247">
        <f t="shared" si="7"/>
        <v>128.9441461806537</v>
      </c>
      <c r="R12" s="246">
        <f t="shared" si="3"/>
        <v>88.32258064516131</v>
      </c>
    </row>
    <row r="13" spans="1:18" ht="12.75">
      <c r="A13" s="67" t="s">
        <v>186</v>
      </c>
      <c r="B13" s="67"/>
      <c r="C13" s="103" t="s">
        <v>187</v>
      </c>
      <c r="D13" s="244">
        <f t="shared" si="4"/>
        <v>3230</v>
      </c>
      <c r="E13" s="244">
        <f t="shared" si="5"/>
        <v>1677</v>
      </c>
      <c r="F13" s="244">
        <v>739.5</v>
      </c>
      <c r="G13" s="244">
        <v>937.5</v>
      </c>
      <c r="H13" s="245">
        <v>937.5</v>
      </c>
      <c r="I13" s="245">
        <f t="shared" si="6"/>
        <v>2614.5</v>
      </c>
      <c r="J13" s="246">
        <v>615.5</v>
      </c>
      <c r="K13" s="246">
        <v>2658.4</v>
      </c>
      <c r="L13" s="247" t="e">
        <f>K13/#REF!*100</f>
        <v>#REF!</v>
      </c>
      <c r="M13" s="247">
        <f t="shared" si="1"/>
        <v>283.5626666666667</v>
      </c>
      <c r="N13" s="242"/>
      <c r="O13" s="242"/>
      <c r="P13" s="245">
        <f t="shared" si="2"/>
        <v>431.9090170593014</v>
      </c>
      <c r="Q13" s="247">
        <f t="shared" si="7"/>
        <v>101.67909734174795</v>
      </c>
      <c r="R13" s="246">
        <f t="shared" si="3"/>
        <v>82.30340557275542</v>
      </c>
    </row>
    <row r="14" spans="1:18" ht="24">
      <c r="A14" s="67" t="s">
        <v>188</v>
      </c>
      <c r="B14" s="67"/>
      <c r="C14" s="103" t="s">
        <v>189</v>
      </c>
      <c r="D14" s="244">
        <f t="shared" si="4"/>
        <v>0</v>
      </c>
      <c r="E14" s="244">
        <f t="shared" si="5"/>
        <v>0</v>
      </c>
      <c r="F14" s="244"/>
      <c r="G14" s="244"/>
      <c r="H14" s="245"/>
      <c r="I14" s="245">
        <f t="shared" si="6"/>
        <v>0</v>
      </c>
      <c r="J14" s="246"/>
      <c r="K14" s="246"/>
      <c r="L14" s="247" t="e">
        <f>K14/#REF!*100</f>
        <v>#REF!</v>
      </c>
      <c r="M14" s="247"/>
      <c r="N14" s="242"/>
      <c r="O14" s="242"/>
      <c r="P14" s="245" t="e">
        <f t="shared" si="2"/>
        <v>#DIV/0!</v>
      </c>
      <c r="Q14" s="247" t="e">
        <f t="shared" si="7"/>
        <v>#DIV/0!</v>
      </c>
      <c r="R14" s="246"/>
    </row>
    <row r="15" spans="1:18" ht="24">
      <c r="A15" s="68" t="s">
        <v>190</v>
      </c>
      <c r="B15" s="68"/>
      <c r="C15" s="103" t="s">
        <v>191</v>
      </c>
      <c r="D15" s="244">
        <f t="shared" si="4"/>
        <v>67552.70000000001</v>
      </c>
      <c r="E15" s="244">
        <f t="shared" si="5"/>
        <v>33941.3</v>
      </c>
      <c r="F15" s="244">
        <v>16362.9</v>
      </c>
      <c r="G15" s="244">
        <v>17578.4</v>
      </c>
      <c r="H15" s="245">
        <v>16978.9</v>
      </c>
      <c r="I15" s="245">
        <f t="shared" si="6"/>
        <v>50920.200000000004</v>
      </c>
      <c r="J15" s="246">
        <v>16632.5</v>
      </c>
      <c r="K15" s="246">
        <v>43183.2</v>
      </c>
      <c r="L15" s="247" t="e">
        <f>K15/#REF!*100</f>
        <v>#REF!</v>
      </c>
      <c r="M15" s="247">
        <f t="shared" si="1"/>
        <v>254.33449752339664</v>
      </c>
      <c r="N15" s="242"/>
      <c r="O15" s="242"/>
      <c r="P15" s="245">
        <f t="shared" si="2"/>
        <v>259.63144446114535</v>
      </c>
      <c r="Q15" s="247">
        <f t="shared" si="7"/>
        <v>84.80563705562821</v>
      </c>
      <c r="R15" s="246">
        <f t="shared" si="3"/>
        <v>63.9252021014704</v>
      </c>
    </row>
    <row r="16" spans="1:18" ht="12.75">
      <c r="A16" s="104" t="s">
        <v>192</v>
      </c>
      <c r="B16" s="104"/>
      <c r="C16" s="103" t="s">
        <v>193</v>
      </c>
      <c r="D16" s="244">
        <f t="shared" si="4"/>
        <v>16480.7</v>
      </c>
      <c r="E16" s="244">
        <f t="shared" si="5"/>
        <v>12316.6</v>
      </c>
      <c r="F16" s="244">
        <v>10236.2</v>
      </c>
      <c r="G16" s="244">
        <v>2080.4</v>
      </c>
      <c r="H16" s="245">
        <v>2080.4</v>
      </c>
      <c r="I16" s="245">
        <f t="shared" si="6"/>
        <v>14397</v>
      </c>
      <c r="J16" s="246">
        <v>2083.7</v>
      </c>
      <c r="K16" s="246">
        <v>13742.3</v>
      </c>
      <c r="L16" s="247" t="e">
        <f>K16/#REF!*100</f>
        <v>#REF!</v>
      </c>
      <c r="M16" s="247">
        <f t="shared" si="1"/>
        <v>660.5604691405499</v>
      </c>
      <c r="N16" s="242"/>
      <c r="O16" s="242"/>
      <c r="P16" s="245">
        <f t="shared" si="2"/>
        <v>659.5143254787158</v>
      </c>
      <c r="Q16" s="247">
        <f t="shared" si="7"/>
        <v>95.45252483156213</v>
      </c>
      <c r="R16" s="246">
        <f t="shared" si="3"/>
        <v>83.38420091379614</v>
      </c>
    </row>
    <row r="17" spans="1:18" ht="24">
      <c r="A17" s="105" t="s">
        <v>194</v>
      </c>
      <c r="B17" s="105"/>
      <c r="C17" s="103" t="s">
        <v>195</v>
      </c>
      <c r="D17" s="244">
        <f t="shared" si="4"/>
        <v>6970</v>
      </c>
      <c r="E17" s="244">
        <f t="shared" si="5"/>
        <v>4925.5</v>
      </c>
      <c r="F17" s="244">
        <f>802.4+1705</f>
        <v>2507.4</v>
      </c>
      <c r="G17" s="244">
        <v>2418.1</v>
      </c>
      <c r="H17" s="245">
        <v>923.1</v>
      </c>
      <c r="I17" s="245">
        <f t="shared" si="6"/>
        <v>5848.6</v>
      </c>
      <c r="J17" s="246">
        <v>1121.4</v>
      </c>
      <c r="K17" s="246">
        <v>7343.8</v>
      </c>
      <c r="L17" s="247" t="e">
        <f>K17/#REF!*100</f>
        <v>#REF!</v>
      </c>
      <c r="M17" s="247">
        <f t="shared" si="1"/>
        <v>795.558444372224</v>
      </c>
      <c r="N17" s="242"/>
      <c r="O17" s="242"/>
      <c r="P17" s="245">
        <f t="shared" si="2"/>
        <v>654.8778312823256</v>
      </c>
      <c r="Q17" s="247">
        <f t="shared" si="7"/>
        <v>125.56509250076941</v>
      </c>
      <c r="R17" s="246">
        <f t="shared" si="3"/>
        <v>105.36298421807747</v>
      </c>
    </row>
    <row r="18" spans="1:18" ht="24">
      <c r="A18" s="105" t="s">
        <v>196</v>
      </c>
      <c r="B18" s="105"/>
      <c r="C18" s="103" t="s">
        <v>197</v>
      </c>
      <c r="D18" s="244">
        <f t="shared" si="4"/>
        <v>11300</v>
      </c>
      <c r="E18" s="244">
        <f t="shared" si="5"/>
        <v>7161.7</v>
      </c>
      <c r="F18" s="244">
        <v>2581.7</v>
      </c>
      <c r="G18" s="244">
        <v>4580</v>
      </c>
      <c r="H18" s="245">
        <v>2290</v>
      </c>
      <c r="I18" s="245">
        <f t="shared" si="6"/>
        <v>9451.7</v>
      </c>
      <c r="J18" s="246">
        <v>1848.3</v>
      </c>
      <c r="K18" s="246">
        <v>14380.8</v>
      </c>
      <c r="L18" s="247" t="e">
        <f>K18/#REF!*100</f>
        <v>#REF!</v>
      </c>
      <c r="M18" s="247">
        <f t="shared" si="1"/>
        <v>627.9825327510916</v>
      </c>
      <c r="N18" s="242"/>
      <c r="O18" s="242"/>
      <c r="P18" s="245">
        <f t="shared" si="2"/>
        <v>778.0555104690798</v>
      </c>
      <c r="Q18" s="247">
        <f t="shared" si="7"/>
        <v>152.150406805125</v>
      </c>
      <c r="R18" s="246">
        <f t="shared" si="3"/>
        <v>127.2637168141593</v>
      </c>
    </row>
    <row r="19" spans="1:18" ht="12.75">
      <c r="A19" s="105" t="s">
        <v>198</v>
      </c>
      <c r="B19" s="105"/>
      <c r="C19" s="103" t="s">
        <v>199</v>
      </c>
      <c r="D19" s="244">
        <f t="shared" si="4"/>
        <v>20</v>
      </c>
      <c r="E19" s="244">
        <f t="shared" si="5"/>
        <v>8</v>
      </c>
      <c r="F19" s="244">
        <v>2</v>
      </c>
      <c r="G19" s="244">
        <v>6</v>
      </c>
      <c r="H19" s="245">
        <v>6</v>
      </c>
      <c r="I19" s="245">
        <f t="shared" si="6"/>
        <v>14</v>
      </c>
      <c r="J19" s="246">
        <v>6</v>
      </c>
      <c r="K19" s="246">
        <v>5.3</v>
      </c>
      <c r="L19" s="247" t="e">
        <f>K19/#REF!*100</f>
        <v>#REF!</v>
      </c>
      <c r="M19" s="247">
        <f t="shared" si="1"/>
        <v>88.33333333333333</v>
      </c>
      <c r="N19" s="242"/>
      <c r="O19" s="242"/>
      <c r="P19" s="245">
        <f t="shared" si="2"/>
        <v>88.33333333333333</v>
      </c>
      <c r="Q19" s="247">
        <f t="shared" si="7"/>
        <v>37.857142857142854</v>
      </c>
      <c r="R19" s="246">
        <f t="shared" si="3"/>
        <v>26.5</v>
      </c>
    </row>
    <row r="20" spans="1:18" ht="12.75">
      <c r="A20" s="74" t="s">
        <v>200</v>
      </c>
      <c r="B20" s="74"/>
      <c r="C20" s="103" t="s">
        <v>201</v>
      </c>
      <c r="D20" s="244">
        <f t="shared" si="4"/>
        <v>7738.700000000001</v>
      </c>
      <c r="E20" s="244">
        <f t="shared" si="5"/>
        <v>5979.400000000001</v>
      </c>
      <c r="F20" s="244">
        <v>1423.3</v>
      </c>
      <c r="G20" s="244">
        <v>4556.1</v>
      </c>
      <c r="H20" s="245">
        <v>594.7</v>
      </c>
      <c r="I20" s="245">
        <f t="shared" si="6"/>
        <v>6574.1</v>
      </c>
      <c r="J20" s="246">
        <v>1164.6</v>
      </c>
      <c r="K20" s="246">
        <v>7324</v>
      </c>
      <c r="L20" s="247" t="e">
        <f>K20/#REF!*100</f>
        <v>#REF!</v>
      </c>
      <c r="M20" s="247">
        <f t="shared" si="1"/>
        <v>1231.5453169665377</v>
      </c>
      <c r="N20" s="242"/>
      <c r="O20" s="242"/>
      <c r="P20" s="245">
        <f t="shared" si="2"/>
        <v>628.8854542332132</v>
      </c>
      <c r="Q20" s="247">
        <f t="shared" si="7"/>
        <v>111.40688459256779</v>
      </c>
      <c r="R20" s="246">
        <f t="shared" si="3"/>
        <v>94.64121880936074</v>
      </c>
    </row>
    <row r="21" spans="1:18" ht="12.75">
      <c r="A21" s="106" t="s">
        <v>202</v>
      </c>
      <c r="B21" s="107"/>
      <c r="C21" s="71" t="s">
        <v>203</v>
      </c>
      <c r="D21" s="244">
        <f t="shared" si="4"/>
        <v>0</v>
      </c>
      <c r="E21" s="244">
        <f t="shared" si="5"/>
        <v>0</v>
      </c>
      <c r="F21" s="244"/>
      <c r="G21" s="244"/>
      <c r="H21" s="245"/>
      <c r="I21" s="245">
        <f t="shared" si="6"/>
        <v>0</v>
      </c>
      <c r="J21" s="246"/>
      <c r="K21" s="246">
        <v>-135.4</v>
      </c>
      <c r="L21" s="247"/>
      <c r="M21" s="247"/>
      <c r="N21" s="242"/>
      <c r="O21" s="242"/>
      <c r="P21" s="245"/>
      <c r="Q21" s="247"/>
      <c r="R21" s="246"/>
    </row>
    <row r="22" spans="1:18" ht="12.75">
      <c r="A22" s="99" t="s">
        <v>206</v>
      </c>
      <c r="B22" s="99"/>
      <c r="C22" s="108" t="s">
        <v>207</v>
      </c>
      <c r="D22" s="248">
        <f aca="true" t="shared" si="8" ref="D22:K22">D23+D24+D26+D25</f>
        <v>3050693.1999999997</v>
      </c>
      <c r="E22" s="248">
        <f t="shared" si="8"/>
        <v>992449.8999999999</v>
      </c>
      <c r="F22" s="248">
        <f t="shared" si="8"/>
        <v>239250.40000000002</v>
      </c>
      <c r="G22" s="248">
        <f t="shared" si="8"/>
        <v>753199.5</v>
      </c>
      <c r="H22" s="248">
        <f t="shared" si="8"/>
        <v>859824.2</v>
      </c>
      <c r="I22" s="248">
        <f t="shared" si="8"/>
        <v>1852274.0999999996</v>
      </c>
      <c r="J22" s="248">
        <f t="shared" si="8"/>
        <v>1198419.1</v>
      </c>
      <c r="K22" s="248">
        <f t="shared" si="8"/>
        <v>1851516.6</v>
      </c>
      <c r="L22" s="241" t="e">
        <f>K22/#REF!*100</f>
        <v>#REF!</v>
      </c>
      <c r="M22" s="241">
        <f aca="true" t="shared" si="9" ref="M22:M27">K22/H22*100</f>
        <v>215.3366467238303</v>
      </c>
      <c r="N22" s="242"/>
      <c r="O22" s="242"/>
      <c r="P22" s="249">
        <f t="shared" si="2"/>
        <v>154.49658637783725</v>
      </c>
      <c r="Q22" s="241">
        <f aca="true" t="shared" si="10" ref="Q22:Q27">K22*100/I22</f>
        <v>99.95910432478651</v>
      </c>
      <c r="R22" s="243">
        <f t="shared" si="3"/>
        <v>60.691668372289946</v>
      </c>
    </row>
    <row r="23" spans="1:18" ht="24">
      <c r="A23" s="69" t="s">
        <v>208</v>
      </c>
      <c r="B23" s="67"/>
      <c r="C23" s="109" t="s">
        <v>209</v>
      </c>
      <c r="D23" s="244">
        <f>F23+G23+H23+J23</f>
        <v>3144178.3</v>
      </c>
      <c r="E23" s="244">
        <f t="shared" si="5"/>
        <v>1077481.9</v>
      </c>
      <c r="F23" s="244">
        <v>330882.4</v>
      </c>
      <c r="G23" s="244">
        <v>746599.5</v>
      </c>
      <c r="H23" s="246">
        <f>710028.1-3009.8+167259</f>
        <v>874277.2999999999</v>
      </c>
      <c r="I23" s="245">
        <f>E23+H23</f>
        <v>1951759.1999999997</v>
      </c>
      <c r="J23" s="246">
        <f>1192419.1</f>
        <v>1192419.1</v>
      </c>
      <c r="K23" s="246">
        <v>1995900</v>
      </c>
      <c r="L23" s="247" t="e">
        <f>K23/#REF!*100</f>
        <v>#REF!</v>
      </c>
      <c r="M23" s="247">
        <f t="shared" si="9"/>
        <v>228.29141280461016</v>
      </c>
      <c r="N23" s="242"/>
      <c r="O23" s="242"/>
      <c r="P23" s="245">
        <f t="shared" si="2"/>
        <v>167.38242451835936</v>
      </c>
      <c r="Q23" s="247">
        <f t="shared" si="10"/>
        <v>102.26159046669284</v>
      </c>
      <c r="R23" s="246">
        <f t="shared" si="3"/>
        <v>63.47922444474603</v>
      </c>
    </row>
    <row r="24" spans="1:18" ht="12.75">
      <c r="A24" s="69" t="s">
        <v>210</v>
      </c>
      <c r="B24" s="69"/>
      <c r="C24" s="110" t="s">
        <v>211</v>
      </c>
      <c r="D24" s="244">
        <f t="shared" si="4"/>
        <v>20000</v>
      </c>
      <c r="E24" s="244">
        <f t="shared" si="5"/>
        <v>7400</v>
      </c>
      <c r="F24" s="250">
        <v>800</v>
      </c>
      <c r="G24" s="250">
        <v>6600</v>
      </c>
      <c r="H24" s="246">
        <v>6600</v>
      </c>
      <c r="I24" s="245">
        <f>E24+H24</f>
        <v>14000</v>
      </c>
      <c r="J24" s="246">
        <v>6000</v>
      </c>
      <c r="K24" s="246">
        <v>19064.1</v>
      </c>
      <c r="L24" s="247" t="e">
        <f>K24/#REF!*100</f>
        <v>#REF!</v>
      </c>
      <c r="M24" s="247">
        <f t="shared" si="9"/>
        <v>288.84999999999997</v>
      </c>
      <c r="N24" s="242"/>
      <c r="O24" s="242"/>
      <c r="P24" s="245">
        <f t="shared" si="2"/>
        <v>317.73499999999996</v>
      </c>
      <c r="Q24" s="247">
        <f t="shared" si="10"/>
        <v>136.17214285714283</v>
      </c>
      <c r="R24" s="246">
        <f t="shared" si="3"/>
        <v>95.32049999999998</v>
      </c>
    </row>
    <row r="25" spans="1:18" ht="63" customHeight="1">
      <c r="A25" s="69" t="s">
        <v>212</v>
      </c>
      <c r="B25" s="70" t="s">
        <v>213</v>
      </c>
      <c r="C25" s="71" t="s">
        <v>213</v>
      </c>
      <c r="D25" s="244">
        <f t="shared" si="4"/>
        <v>0</v>
      </c>
      <c r="E25" s="244">
        <f t="shared" si="5"/>
        <v>0</v>
      </c>
      <c r="F25" s="244"/>
      <c r="G25" s="244"/>
      <c r="H25" s="246"/>
      <c r="I25" s="245">
        <f>E25+H25</f>
        <v>0</v>
      </c>
      <c r="J25" s="246"/>
      <c r="K25" s="246"/>
      <c r="L25" s="247" t="e">
        <f>K25/#REF!*100</f>
        <v>#REF!</v>
      </c>
      <c r="M25" s="247"/>
      <c r="N25" s="242"/>
      <c r="O25" s="242"/>
      <c r="P25" s="245" t="e">
        <f t="shared" si="2"/>
        <v>#DIV/0!</v>
      </c>
      <c r="Q25" s="247" t="e">
        <f t="shared" si="10"/>
        <v>#DIV/0!</v>
      </c>
      <c r="R25" s="246"/>
    </row>
    <row r="26" spans="1:18" ht="40.5" customHeight="1">
      <c r="A26" s="69" t="s">
        <v>214</v>
      </c>
      <c r="B26" s="72"/>
      <c r="C26" s="73" t="s">
        <v>215</v>
      </c>
      <c r="D26" s="244">
        <f t="shared" si="4"/>
        <v>-113485.1</v>
      </c>
      <c r="E26" s="244">
        <f t="shared" si="5"/>
        <v>-92432</v>
      </c>
      <c r="F26" s="251">
        <v>-92432</v>
      </c>
      <c r="G26" s="251"/>
      <c r="H26" s="246">
        <v>-21053.1</v>
      </c>
      <c r="I26" s="245">
        <f>E26+H26</f>
        <v>-113485.1</v>
      </c>
      <c r="J26" s="246"/>
      <c r="K26" s="246">
        <v>-163447.5</v>
      </c>
      <c r="L26" s="247" t="e">
        <f>K26/#REF!*100</f>
        <v>#REF!</v>
      </c>
      <c r="M26" s="247"/>
      <c r="N26" s="242"/>
      <c r="O26" s="242"/>
      <c r="P26" s="245" t="e">
        <f t="shared" si="2"/>
        <v>#DIV/0!</v>
      </c>
      <c r="Q26" s="247">
        <f t="shared" si="10"/>
        <v>144.0255152438514</v>
      </c>
      <c r="R26" s="246">
        <f t="shared" si="3"/>
        <v>144.0255152438514</v>
      </c>
    </row>
    <row r="27" spans="1:18" ht="12.75">
      <c r="A27" s="74"/>
      <c r="B27" s="75"/>
      <c r="C27" s="76" t="s">
        <v>216</v>
      </c>
      <c r="D27" s="243">
        <f aca="true" t="shared" si="11" ref="D27:K27">D22+D8</f>
        <v>3928221.0999999996</v>
      </c>
      <c r="E27" s="243">
        <f t="shared" si="11"/>
        <v>1431979</v>
      </c>
      <c r="F27" s="243">
        <f t="shared" si="11"/>
        <v>449835.5</v>
      </c>
      <c r="G27" s="243">
        <f t="shared" si="11"/>
        <v>982143.5</v>
      </c>
      <c r="H27" s="243">
        <f t="shared" si="11"/>
        <v>1064804.5999999999</v>
      </c>
      <c r="I27" s="243">
        <f t="shared" si="11"/>
        <v>2496783.5999999996</v>
      </c>
      <c r="J27" s="243">
        <f t="shared" si="11"/>
        <v>1431437.5</v>
      </c>
      <c r="K27" s="243">
        <f t="shared" si="11"/>
        <v>2438360.5000000005</v>
      </c>
      <c r="L27" s="241" t="e">
        <f>K27/#REF!*100</f>
        <v>#REF!</v>
      </c>
      <c r="M27" s="241">
        <f t="shared" si="9"/>
        <v>228.99605242126123</v>
      </c>
      <c r="N27" s="242"/>
      <c r="O27" s="252" t="e">
        <f>J27+#REF!+#REF!</f>
        <v>#REF!</v>
      </c>
      <c r="P27" s="249">
        <f t="shared" si="2"/>
        <v>170.34348338645597</v>
      </c>
      <c r="Q27" s="241">
        <f t="shared" si="10"/>
        <v>97.66006553391335</v>
      </c>
      <c r="R27" s="243">
        <f t="shared" si="3"/>
        <v>62.07289350388146</v>
      </c>
    </row>
    <row r="28" spans="1:18" ht="12.75">
      <c r="A28" s="198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200"/>
      <c r="N28" s="102"/>
      <c r="O28" s="102"/>
      <c r="P28" s="111"/>
      <c r="Q28" s="101"/>
      <c r="R28" s="77"/>
    </row>
    <row r="29" spans="1:18" ht="12.75">
      <c r="A29" s="203" t="s">
        <v>217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101"/>
      <c r="R29" s="77"/>
    </row>
    <row r="30" spans="1:18" ht="12.75">
      <c r="A30" s="99" t="s">
        <v>178</v>
      </c>
      <c r="B30" s="99"/>
      <c r="C30" s="100" t="s">
        <v>179</v>
      </c>
      <c r="D30" s="241">
        <f aca="true" t="shared" si="12" ref="D30:J30">D31+D32+D34+D36+D33+D35+D37</f>
        <v>15651</v>
      </c>
      <c r="E30" s="241">
        <f t="shared" si="12"/>
        <v>7827.2</v>
      </c>
      <c r="F30" s="241">
        <f t="shared" si="12"/>
        <v>3915.1999999999994</v>
      </c>
      <c r="G30" s="241">
        <f t="shared" si="12"/>
        <v>3912.0000000000005</v>
      </c>
      <c r="H30" s="241">
        <f t="shared" si="12"/>
        <v>3911.6999999999994</v>
      </c>
      <c r="I30" s="241">
        <f t="shared" si="12"/>
        <v>11738.900000000001</v>
      </c>
      <c r="J30" s="241">
        <f t="shared" si="12"/>
        <v>3912.1000000000004</v>
      </c>
      <c r="K30" s="241">
        <f>K31+K32+K34+K36+K33+K35+K37</f>
        <v>9582.699999999999</v>
      </c>
      <c r="L30" s="241" t="e">
        <f>K30/#REF!*100</f>
        <v>#REF!</v>
      </c>
      <c r="M30" s="241">
        <f aca="true" t="shared" si="13" ref="M30:M36">K30/H30*100</f>
        <v>244.97533041899945</v>
      </c>
      <c r="N30" s="242"/>
      <c r="O30" s="242"/>
      <c r="P30" s="241">
        <f t="shared" si="2"/>
        <v>244.95028245699237</v>
      </c>
      <c r="Q30" s="241">
        <f aca="true" t="shared" si="14" ref="Q30:Q38">K30*100/I30</f>
        <v>81.63200981352595</v>
      </c>
      <c r="R30" s="243">
        <f t="shared" si="3"/>
        <v>61.22739761037633</v>
      </c>
    </row>
    <row r="31" spans="1:18" ht="12.75">
      <c r="A31" s="67" t="s">
        <v>180</v>
      </c>
      <c r="B31" s="67"/>
      <c r="C31" s="112" t="s">
        <v>181</v>
      </c>
      <c r="D31" s="244">
        <f aca="true" t="shared" si="15" ref="D31:D36">F31+G31+H31+J31</f>
        <v>14175</v>
      </c>
      <c r="E31" s="244">
        <f aca="true" t="shared" si="16" ref="E31:E36">F31+G31</f>
        <v>7087.5</v>
      </c>
      <c r="F31" s="253">
        <v>3543.7</v>
      </c>
      <c r="G31" s="253">
        <v>3543.8</v>
      </c>
      <c r="H31" s="245">
        <v>3543.7</v>
      </c>
      <c r="I31" s="245">
        <f>E31+H31</f>
        <v>10631.2</v>
      </c>
      <c r="J31" s="246">
        <v>3543.8</v>
      </c>
      <c r="K31" s="254">
        <v>8082.7</v>
      </c>
      <c r="L31" s="247" t="e">
        <f>K31/#REF!*100</f>
        <v>#REF!</v>
      </c>
      <c r="M31" s="247">
        <f t="shared" si="13"/>
        <v>228.08646330106953</v>
      </c>
      <c r="N31" s="242"/>
      <c r="O31" s="242"/>
      <c r="P31" s="245">
        <f t="shared" si="2"/>
        <v>228.08002708956485</v>
      </c>
      <c r="Q31" s="247">
        <f t="shared" si="14"/>
        <v>76.02810595229137</v>
      </c>
      <c r="R31" s="246">
        <f t="shared" si="3"/>
        <v>57.020811287477954</v>
      </c>
    </row>
    <row r="32" spans="1:18" ht="12.75">
      <c r="A32" s="67" t="s">
        <v>184</v>
      </c>
      <c r="B32" s="67"/>
      <c r="C32" s="103" t="s">
        <v>185</v>
      </c>
      <c r="D32" s="244">
        <f t="shared" si="15"/>
        <v>432</v>
      </c>
      <c r="E32" s="244">
        <f t="shared" si="16"/>
        <v>216</v>
      </c>
      <c r="F32" s="244">
        <v>108</v>
      </c>
      <c r="G32" s="244">
        <v>108</v>
      </c>
      <c r="H32" s="245">
        <v>108</v>
      </c>
      <c r="I32" s="245">
        <f aca="true" t="shared" si="17" ref="I32:I40">E32+H32</f>
        <v>324</v>
      </c>
      <c r="J32" s="246">
        <v>108</v>
      </c>
      <c r="K32" s="246">
        <v>85.7</v>
      </c>
      <c r="L32" s="247" t="e">
        <f>K32/#REF!*100</f>
        <v>#REF!</v>
      </c>
      <c r="M32" s="247">
        <f t="shared" si="13"/>
        <v>79.35185185185185</v>
      </c>
      <c r="N32" s="242"/>
      <c r="O32" s="242"/>
      <c r="P32" s="245">
        <f t="shared" si="2"/>
        <v>79.35185185185185</v>
      </c>
      <c r="Q32" s="247">
        <f t="shared" si="14"/>
        <v>26.450617283950617</v>
      </c>
      <c r="R32" s="246">
        <f t="shared" si="3"/>
        <v>19.837962962962962</v>
      </c>
    </row>
    <row r="33" spans="1:18" ht="12.75">
      <c r="A33" s="67" t="s">
        <v>186</v>
      </c>
      <c r="B33" s="67"/>
      <c r="C33" s="103" t="s">
        <v>187</v>
      </c>
      <c r="D33" s="244">
        <f t="shared" si="15"/>
        <v>23</v>
      </c>
      <c r="E33" s="244">
        <f t="shared" si="16"/>
        <v>11.5</v>
      </c>
      <c r="F33" s="244">
        <v>5.7</v>
      </c>
      <c r="G33" s="244">
        <v>5.8</v>
      </c>
      <c r="H33" s="245">
        <v>5.7</v>
      </c>
      <c r="I33" s="245">
        <f t="shared" si="17"/>
        <v>17.2</v>
      </c>
      <c r="J33" s="246">
        <v>5.8</v>
      </c>
      <c r="K33" s="246">
        <v>13.4</v>
      </c>
      <c r="L33" s="247" t="e">
        <f>K33/#REF!*100</f>
        <v>#REF!</v>
      </c>
      <c r="M33" s="247">
        <f t="shared" si="13"/>
        <v>235.08771929824564</v>
      </c>
      <c r="N33" s="242"/>
      <c r="O33" s="242"/>
      <c r="P33" s="245">
        <f t="shared" si="2"/>
        <v>231.0344827586207</v>
      </c>
      <c r="Q33" s="247">
        <f t="shared" si="14"/>
        <v>77.90697674418605</v>
      </c>
      <c r="R33" s="246">
        <f t="shared" si="3"/>
        <v>58.26086956521739</v>
      </c>
    </row>
    <row r="34" spans="1:18" ht="24">
      <c r="A34" s="68" t="s">
        <v>190</v>
      </c>
      <c r="B34" s="68"/>
      <c r="C34" s="103" t="s">
        <v>191</v>
      </c>
      <c r="D34" s="244">
        <f t="shared" si="15"/>
        <v>925</v>
      </c>
      <c r="E34" s="244">
        <f t="shared" si="16"/>
        <v>462.5</v>
      </c>
      <c r="F34" s="244">
        <v>231.2</v>
      </c>
      <c r="G34" s="244">
        <v>231.3</v>
      </c>
      <c r="H34" s="245">
        <v>231.2</v>
      </c>
      <c r="I34" s="245">
        <f t="shared" si="17"/>
        <v>693.7</v>
      </c>
      <c r="J34" s="246">
        <v>231.3</v>
      </c>
      <c r="K34" s="246">
        <v>1319.6</v>
      </c>
      <c r="L34" s="247" t="e">
        <f>K34/#REF!*100</f>
        <v>#REF!</v>
      </c>
      <c r="M34" s="247">
        <f t="shared" si="13"/>
        <v>570.7612456747404</v>
      </c>
      <c r="N34" s="242"/>
      <c r="O34" s="242"/>
      <c r="P34" s="245">
        <f t="shared" si="2"/>
        <v>570.5144833549502</v>
      </c>
      <c r="Q34" s="247">
        <f t="shared" si="14"/>
        <v>190.2263226178463</v>
      </c>
      <c r="R34" s="246">
        <f t="shared" si="3"/>
        <v>142.65945945945947</v>
      </c>
    </row>
    <row r="35" spans="1:18" ht="24">
      <c r="A35" s="105" t="s">
        <v>194</v>
      </c>
      <c r="B35" s="105"/>
      <c r="C35" s="103" t="s">
        <v>195</v>
      </c>
      <c r="D35" s="244">
        <f t="shared" si="15"/>
        <v>3.5</v>
      </c>
      <c r="E35" s="244">
        <f t="shared" si="16"/>
        <v>3.5</v>
      </c>
      <c r="F35" s="244">
        <f>3.5</f>
        <v>3.5</v>
      </c>
      <c r="G35" s="244"/>
      <c r="H35" s="245"/>
      <c r="I35" s="245">
        <f t="shared" si="17"/>
        <v>3.5</v>
      </c>
      <c r="J35" s="246"/>
      <c r="K35" s="246">
        <v>3.5</v>
      </c>
      <c r="L35" s="247"/>
      <c r="M35" s="247"/>
      <c r="N35" s="242"/>
      <c r="O35" s="242"/>
      <c r="P35" s="245"/>
      <c r="Q35" s="247">
        <f t="shared" si="14"/>
        <v>100</v>
      </c>
      <c r="R35" s="246">
        <f t="shared" si="3"/>
        <v>100</v>
      </c>
    </row>
    <row r="36" spans="1:18" ht="24">
      <c r="A36" s="104" t="s">
        <v>196</v>
      </c>
      <c r="B36" s="104"/>
      <c r="C36" s="103" t="s">
        <v>197</v>
      </c>
      <c r="D36" s="244">
        <f t="shared" si="15"/>
        <v>92.50000000000001</v>
      </c>
      <c r="E36" s="244">
        <f t="shared" si="16"/>
        <v>46.2</v>
      </c>
      <c r="F36" s="244">
        <v>23.1</v>
      </c>
      <c r="G36" s="244">
        <v>23.1</v>
      </c>
      <c r="H36" s="245">
        <v>23.1</v>
      </c>
      <c r="I36" s="245">
        <f t="shared" si="17"/>
        <v>69.30000000000001</v>
      </c>
      <c r="J36" s="246">
        <v>23.2</v>
      </c>
      <c r="K36" s="246">
        <v>57.8</v>
      </c>
      <c r="L36" s="247" t="e">
        <f>K36/#REF!*100</f>
        <v>#REF!</v>
      </c>
      <c r="M36" s="247">
        <f t="shared" si="13"/>
        <v>250.2164502164502</v>
      </c>
      <c r="N36" s="242"/>
      <c r="O36" s="242"/>
      <c r="P36" s="245">
        <f t="shared" si="2"/>
        <v>249.13793103448276</v>
      </c>
      <c r="Q36" s="247">
        <f t="shared" si="14"/>
        <v>83.4054834054834</v>
      </c>
      <c r="R36" s="246">
        <f t="shared" si="3"/>
        <v>62.48648648648648</v>
      </c>
    </row>
    <row r="37" spans="1:18" ht="12.75">
      <c r="A37" s="106" t="s">
        <v>202</v>
      </c>
      <c r="B37" s="107"/>
      <c r="C37" s="71" t="s">
        <v>203</v>
      </c>
      <c r="D37" s="255"/>
      <c r="E37" s="256"/>
      <c r="F37" s="256"/>
      <c r="G37" s="256"/>
      <c r="H37" s="245"/>
      <c r="I37" s="245">
        <f t="shared" si="17"/>
        <v>0</v>
      </c>
      <c r="J37" s="246"/>
      <c r="K37" s="246">
        <v>20</v>
      </c>
      <c r="L37" s="247"/>
      <c r="M37" s="247"/>
      <c r="N37" s="242"/>
      <c r="O37" s="242"/>
      <c r="P37" s="245" t="e">
        <f t="shared" si="2"/>
        <v>#DIV/0!</v>
      </c>
      <c r="Q37" s="247"/>
      <c r="R37" s="243"/>
    </row>
    <row r="38" spans="1:18" ht="12.75">
      <c r="A38" s="99" t="s">
        <v>206</v>
      </c>
      <c r="B38" s="99"/>
      <c r="C38" s="108" t="s">
        <v>207</v>
      </c>
      <c r="D38" s="248">
        <f>D39+D40</f>
        <v>8147.499999999999</v>
      </c>
      <c r="E38" s="248">
        <f aca="true" t="shared" si="18" ref="E38:K38">E39+E40</f>
        <v>3532.2</v>
      </c>
      <c r="F38" s="248">
        <f t="shared" si="18"/>
        <v>1738.6999999999998</v>
      </c>
      <c r="G38" s="248">
        <f t="shared" si="18"/>
        <v>1793.5</v>
      </c>
      <c r="H38" s="248">
        <f t="shared" si="18"/>
        <v>2879.7999999999997</v>
      </c>
      <c r="I38" s="248">
        <f t="shared" si="18"/>
        <v>6411.999999999999</v>
      </c>
      <c r="J38" s="248">
        <f t="shared" si="18"/>
        <v>1735.5</v>
      </c>
      <c r="K38" s="248">
        <f t="shared" si="18"/>
        <v>5158.9</v>
      </c>
      <c r="L38" s="248" t="e">
        <f>L39</f>
        <v>#REF!</v>
      </c>
      <c r="M38" s="241">
        <f>K38/H38*100</f>
        <v>179.14091256337247</v>
      </c>
      <c r="N38" s="242"/>
      <c r="O38" s="242"/>
      <c r="P38" s="249">
        <f t="shared" si="2"/>
        <v>297.2572745606453</v>
      </c>
      <c r="Q38" s="241">
        <f t="shared" si="14"/>
        <v>80.45695570804742</v>
      </c>
      <c r="R38" s="243">
        <f t="shared" si="3"/>
        <v>63.318809450751765</v>
      </c>
    </row>
    <row r="39" spans="1:18" ht="24">
      <c r="A39" s="69" t="s">
        <v>208</v>
      </c>
      <c r="B39" s="67"/>
      <c r="C39" s="109" t="s">
        <v>209</v>
      </c>
      <c r="D39" s="244">
        <f>F39+G39+H39+J39</f>
        <v>8074.199999999999</v>
      </c>
      <c r="E39" s="244">
        <f>F39+G39</f>
        <v>3507.2</v>
      </c>
      <c r="F39" s="257">
        <f>1735.6+3.1</f>
        <v>1738.6999999999998</v>
      </c>
      <c r="G39" s="257">
        <f>1735.5+7.6+25.4</f>
        <v>1768.5</v>
      </c>
      <c r="H39" s="245">
        <f>1735.6+845.8+215.9+34.2</f>
        <v>2831.4999999999995</v>
      </c>
      <c r="I39" s="245">
        <f t="shared" si="17"/>
        <v>6338.699999999999</v>
      </c>
      <c r="J39" s="257">
        <f>1735.5</f>
        <v>1735.5</v>
      </c>
      <c r="K39" s="246">
        <v>5075.7</v>
      </c>
      <c r="L39" s="247" t="e">
        <f>K39/#REF!*100</f>
        <v>#REF!</v>
      </c>
      <c r="M39" s="247">
        <f>K39/H39*100</f>
        <v>179.25834363411622</v>
      </c>
      <c r="N39" s="242"/>
      <c r="O39" s="242"/>
      <c r="P39" s="245">
        <f t="shared" si="2"/>
        <v>292.46326707000867</v>
      </c>
      <c r="Q39" s="247">
        <f>K39*100/I39</f>
        <v>80.07477874012022</v>
      </c>
      <c r="R39" s="246">
        <f t="shared" si="3"/>
        <v>62.86319387679276</v>
      </c>
    </row>
    <row r="40" spans="1:18" ht="12.75">
      <c r="A40" s="69" t="s">
        <v>210</v>
      </c>
      <c r="B40" s="69"/>
      <c r="C40" s="110" t="s">
        <v>211</v>
      </c>
      <c r="D40" s="244">
        <f>F40+G40+H40+J40</f>
        <v>73.3</v>
      </c>
      <c r="E40" s="244">
        <f>F40+G40</f>
        <v>25</v>
      </c>
      <c r="F40" s="257"/>
      <c r="G40" s="257">
        <v>25</v>
      </c>
      <c r="H40" s="245">
        <v>48.3</v>
      </c>
      <c r="I40" s="245">
        <f t="shared" si="17"/>
        <v>73.3</v>
      </c>
      <c r="J40" s="257"/>
      <c r="K40" s="246">
        <v>83.2</v>
      </c>
      <c r="L40" s="247"/>
      <c r="M40" s="247"/>
      <c r="N40" s="242"/>
      <c r="O40" s="242"/>
      <c r="P40" s="245"/>
      <c r="Q40" s="247">
        <f>K40*100/I40</f>
        <v>113.50613915416099</v>
      </c>
      <c r="R40" s="246">
        <f t="shared" si="3"/>
        <v>113.50613915416099</v>
      </c>
    </row>
    <row r="41" spans="1:18" ht="12.75">
      <c r="A41" s="74"/>
      <c r="B41" s="75"/>
      <c r="C41" s="76" t="s">
        <v>216</v>
      </c>
      <c r="D41" s="243">
        <f aca="true" t="shared" si="19" ref="D41:J41">D38+D30</f>
        <v>23798.5</v>
      </c>
      <c r="E41" s="243">
        <f t="shared" si="19"/>
        <v>11359.4</v>
      </c>
      <c r="F41" s="243">
        <f t="shared" si="19"/>
        <v>5653.9</v>
      </c>
      <c r="G41" s="243">
        <f t="shared" si="19"/>
        <v>5705.5</v>
      </c>
      <c r="H41" s="243">
        <f t="shared" si="19"/>
        <v>6791.499999999999</v>
      </c>
      <c r="I41" s="243">
        <f t="shared" si="19"/>
        <v>18150.9</v>
      </c>
      <c r="J41" s="243">
        <f t="shared" si="19"/>
        <v>5647.6</v>
      </c>
      <c r="K41" s="243">
        <f>K38+K30</f>
        <v>14741.599999999999</v>
      </c>
      <c r="L41" s="241" t="e">
        <f>K41/#REF!*100</f>
        <v>#REF!</v>
      </c>
      <c r="M41" s="241">
        <f>K41/H41*100</f>
        <v>217.0595597437974</v>
      </c>
      <c r="N41" s="242"/>
      <c r="O41" s="252" t="e">
        <f>J41+#REF!+#REF!</f>
        <v>#REF!</v>
      </c>
      <c r="P41" s="249">
        <f t="shared" si="2"/>
        <v>261.02415185211413</v>
      </c>
      <c r="Q41" s="241">
        <f>K41*100/I41</f>
        <v>81.21690935435707</v>
      </c>
      <c r="R41" s="243">
        <f t="shared" si="3"/>
        <v>61.943399794104664</v>
      </c>
    </row>
    <row r="42" spans="1:18" ht="12.75">
      <c r="A42" s="113"/>
      <c r="B42" s="114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2"/>
      <c r="N42" s="102"/>
      <c r="O42" s="102"/>
      <c r="P42" s="111"/>
      <c r="Q42" s="101"/>
      <c r="R42" s="77"/>
    </row>
    <row r="43" spans="1:18" ht="12.75">
      <c r="A43" s="203" t="s">
        <v>218</v>
      </c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101"/>
      <c r="R43" s="77"/>
    </row>
    <row r="44" spans="1:18" ht="12.75">
      <c r="A44" s="99" t="s">
        <v>178</v>
      </c>
      <c r="B44" s="99"/>
      <c r="C44" s="100" t="s">
        <v>179</v>
      </c>
      <c r="D44" s="241">
        <f aca="true" t="shared" si="20" ref="D44:K44">D45+D47+D49+D50+D51+D52+D48+D46</f>
        <v>14517.9</v>
      </c>
      <c r="E44" s="241">
        <f t="shared" si="20"/>
        <v>6757.400000000001</v>
      </c>
      <c r="F44" s="241">
        <f t="shared" si="20"/>
        <v>2836.3</v>
      </c>
      <c r="G44" s="241">
        <f t="shared" si="20"/>
        <v>3921.1000000000004</v>
      </c>
      <c r="H44" s="241">
        <f t="shared" si="20"/>
        <v>3484.2000000000003</v>
      </c>
      <c r="I44" s="241">
        <f t="shared" si="20"/>
        <v>10241.6</v>
      </c>
      <c r="J44" s="241">
        <f t="shared" si="20"/>
        <v>4276.299999999999</v>
      </c>
      <c r="K44" s="241">
        <f t="shared" si="20"/>
        <v>11683.899999999998</v>
      </c>
      <c r="L44" s="241" t="e">
        <f>K44/#REF!*100</f>
        <v>#REF!</v>
      </c>
      <c r="M44" s="241">
        <f>K44/H44*100</f>
        <v>335.33953274783295</v>
      </c>
      <c r="N44" s="242"/>
      <c r="O44" s="242"/>
      <c r="P44" s="241">
        <f t="shared" si="2"/>
        <v>273.2245165212918</v>
      </c>
      <c r="Q44" s="241">
        <f>K44*100/I44</f>
        <v>114.08276050617089</v>
      </c>
      <c r="R44" s="243">
        <f t="shared" si="3"/>
        <v>80.4792704178979</v>
      </c>
    </row>
    <row r="45" spans="1:18" ht="12.75">
      <c r="A45" s="74" t="s">
        <v>180</v>
      </c>
      <c r="B45" s="67"/>
      <c r="C45" s="112" t="s">
        <v>181</v>
      </c>
      <c r="D45" s="244">
        <f aca="true" t="shared" si="21" ref="D45:D56">F45+G45+H45+J45</f>
        <v>11550</v>
      </c>
      <c r="E45" s="244">
        <f aca="true" t="shared" si="22" ref="E45:E56">F45+G45</f>
        <v>5102.200000000001</v>
      </c>
      <c r="F45" s="244">
        <v>2342.8</v>
      </c>
      <c r="G45" s="244">
        <v>2759.4</v>
      </c>
      <c r="H45" s="245">
        <v>2759.4</v>
      </c>
      <c r="I45" s="245">
        <f>E45+H45</f>
        <v>7861.6</v>
      </c>
      <c r="J45" s="246">
        <v>3688.4</v>
      </c>
      <c r="K45" s="254">
        <v>8997.3</v>
      </c>
      <c r="L45" s="247" t="e">
        <f>K45/#REF!*100</f>
        <v>#REF!</v>
      </c>
      <c r="M45" s="247">
        <f>K45/H45*100</f>
        <v>326.0600130463144</v>
      </c>
      <c r="N45" s="242"/>
      <c r="O45" s="242"/>
      <c r="P45" s="245">
        <f t="shared" si="2"/>
        <v>243.93503958355922</v>
      </c>
      <c r="Q45" s="247">
        <f>K45*100/I45</f>
        <v>114.44616871883584</v>
      </c>
      <c r="R45" s="246">
        <f t="shared" si="3"/>
        <v>77.89870129870128</v>
      </c>
    </row>
    <row r="46" spans="1:18" ht="12.75">
      <c r="A46" s="67" t="s">
        <v>182</v>
      </c>
      <c r="B46" s="67"/>
      <c r="C46" s="103" t="s">
        <v>183</v>
      </c>
      <c r="D46" s="244">
        <f t="shared" si="21"/>
        <v>9.5</v>
      </c>
      <c r="E46" s="244">
        <f t="shared" si="22"/>
        <v>4.8</v>
      </c>
      <c r="F46" s="244">
        <v>1.5</v>
      </c>
      <c r="G46" s="244">
        <v>3.3</v>
      </c>
      <c r="H46" s="245">
        <v>2.3</v>
      </c>
      <c r="I46" s="245">
        <f aca="true" t="shared" si="23" ref="I46:I52">E46+H46</f>
        <v>7.1</v>
      </c>
      <c r="J46" s="246">
        <v>2.4</v>
      </c>
      <c r="K46" s="254">
        <v>22.3</v>
      </c>
      <c r="L46" s="247" t="e">
        <f>K46/#REF!*100</f>
        <v>#REF!</v>
      </c>
      <c r="M46" s="247">
        <f>K46/H46*100</f>
        <v>969.5652173913045</v>
      </c>
      <c r="N46" s="242"/>
      <c r="O46" s="242"/>
      <c r="P46" s="245">
        <f t="shared" si="2"/>
        <v>929.1666666666667</v>
      </c>
      <c r="Q46" s="247">
        <f aca="true" t="shared" si="24" ref="Q46:Q55">K46*100/I46</f>
        <v>314.08450704225356</v>
      </c>
      <c r="R46" s="246">
        <f t="shared" si="3"/>
        <v>234.73684210526315</v>
      </c>
    </row>
    <row r="47" spans="1:18" ht="12.75">
      <c r="A47" s="67" t="s">
        <v>184</v>
      </c>
      <c r="B47" s="67"/>
      <c r="C47" s="103" t="s">
        <v>185</v>
      </c>
      <c r="D47" s="244">
        <f t="shared" si="21"/>
        <v>1780</v>
      </c>
      <c r="E47" s="244">
        <f t="shared" si="22"/>
        <v>855</v>
      </c>
      <c r="F47" s="244">
        <v>411</v>
      </c>
      <c r="G47" s="244">
        <v>444</v>
      </c>
      <c r="H47" s="245">
        <v>444</v>
      </c>
      <c r="I47" s="245">
        <f t="shared" si="23"/>
        <v>1299</v>
      </c>
      <c r="J47" s="246">
        <v>481</v>
      </c>
      <c r="K47" s="246">
        <v>1144.4</v>
      </c>
      <c r="L47" s="247" t="e">
        <f>K47/#REF!*100</f>
        <v>#REF!</v>
      </c>
      <c r="M47" s="247">
        <f>K47/H47*100</f>
        <v>257.7477477477478</v>
      </c>
      <c r="N47" s="242"/>
      <c r="O47" s="242"/>
      <c r="P47" s="245">
        <f t="shared" si="2"/>
        <v>237.92099792099796</v>
      </c>
      <c r="Q47" s="247">
        <f t="shared" si="24"/>
        <v>88.09853733641263</v>
      </c>
      <c r="R47" s="246">
        <f t="shared" si="3"/>
        <v>64.29213483146069</v>
      </c>
    </row>
    <row r="48" spans="1:18" ht="12.75">
      <c r="A48" s="67" t="s">
        <v>186</v>
      </c>
      <c r="B48" s="67"/>
      <c r="C48" s="103" t="s">
        <v>187</v>
      </c>
      <c r="D48" s="244">
        <f t="shared" si="21"/>
        <v>0</v>
      </c>
      <c r="E48" s="244">
        <f t="shared" si="22"/>
        <v>0</v>
      </c>
      <c r="F48" s="244"/>
      <c r="G48" s="244"/>
      <c r="H48" s="245"/>
      <c r="I48" s="245">
        <f t="shared" si="23"/>
        <v>0</v>
      </c>
      <c r="J48" s="246"/>
      <c r="K48" s="246"/>
      <c r="L48" s="247"/>
      <c r="M48" s="247"/>
      <c r="N48" s="242"/>
      <c r="O48" s="242"/>
      <c r="P48" s="245" t="e">
        <f t="shared" si="2"/>
        <v>#DIV/0!</v>
      </c>
      <c r="Q48" s="247" t="e">
        <f t="shared" si="24"/>
        <v>#DIV/0!</v>
      </c>
      <c r="R48" s="246" t="e">
        <f t="shared" si="3"/>
        <v>#DIV/0!</v>
      </c>
    </row>
    <row r="49" spans="1:18" ht="24">
      <c r="A49" s="68" t="s">
        <v>190</v>
      </c>
      <c r="B49" s="68"/>
      <c r="C49" s="103" t="s">
        <v>191</v>
      </c>
      <c r="D49" s="244">
        <f t="shared" si="21"/>
        <v>848.9</v>
      </c>
      <c r="E49" s="244">
        <f t="shared" si="22"/>
        <v>722.9</v>
      </c>
      <c r="F49" s="244">
        <v>46</v>
      </c>
      <c r="G49" s="244">
        <v>676.9</v>
      </c>
      <c r="H49" s="245">
        <v>61.5</v>
      </c>
      <c r="I49" s="245">
        <f t="shared" si="23"/>
        <v>784.4</v>
      </c>
      <c r="J49" s="246">
        <v>64.5</v>
      </c>
      <c r="K49" s="246">
        <v>1177.3</v>
      </c>
      <c r="L49" s="247" t="e">
        <f>K49/#REF!*100</f>
        <v>#REF!</v>
      </c>
      <c r="M49" s="247">
        <f>K49/H49*100</f>
        <v>1914.3089430894306</v>
      </c>
      <c r="N49" s="242"/>
      <c r="O49" s="242"/>
      <c r="P49" s="245">
        <f t="shared" si="2"/>
        <v>1825.2713178294573</v>
      </c>
      <c r="Q49" s="247">
        <f t="shared" si="24"/>
        <v>150.08924018357982</v>
      </c>
      <c r="R49" s="246">
        <f t="shared" si="3"/>
        <v>138.68535752149842</v>
      </c>
    </row>
    <row r="50" spans="1:18" ht="24">
      <c r="A50" s="105" t="s">
        <v>196</v>
      </c>
      <c r="B50" s="105"/>
      <c r="C50" s="103" t="s">
        <v>197</v>
      </c>
      <c r="D50" s="244">
        <f t="shared" si="21"/>
        <v>300</v>
      </c>
      <c r="E50" s="244">
        <f t="shared" si="22"/>
        <v>72.5</v>
      </c>
      <c r="F50" s="244">
        <v>35</v>
      </c>
      <c r="G50" s="244">
        <v>37.5</v>
      </c>
      <c r="H50" s="245">
        <f>37.5+150</f>
        <v>187.5</v>
      </c>
      <c r="I50" s="245">
        <f t="shared" si="23"/>
        <v>260</v>
      </c>
      <c r="J50" s="246">
        <v>40</v>
      </c>
      <c r="K50" s="246">
        <v>310.4</v>
      </c>
      <c r="L50" s="247" t="e">
        <f>K50/#REF!*100</f>
        <v>#REF!</v>
      </c>
      <c r="M50" s="247">
        <f>K50/H50*100</f>
        <v>165.54666666666665</v>
      </c>
      <c r="N50" s="242"/>
      <c r="O50" s="242"/>
      <c r="P50" s="245">
        <f t="shared" si="2"/>
        <v>775.9999999999999</v>
      </c>
      <c r="Q50" s="247">
        <f t="shared" si="24"/>
        <v>119.38461538461537</v>
      </c>
      <c r="R50" s="246">
        <f t="shared" si="3"/>
        <v>103.46666666666665</v>
      </c>
    </row>
    <row r="51" spans="1:18" ht="12.75">
      <c r="A51" s="74" t="s">
        <v>200</v>
      </c>
      <c r="B51" s="74"/>
      <c r="C51" s="103" t="s">
        <v>201</v>
      </c>
      <c r="D51" s="244">
        <f t="shared" si="21"/>
        <v>29.5</v>
      </c>
      <c r="E51" s="244">
        <f t="shared" si="22"/>
        <v>0</v>
      </c>
      <c r="F51" s="244"/>
      <c r="G51" s="244"/>
      <c r="H51" s="245">
        <v>29.5</v>
      </c>
      <c r="I51" s="245">
        <f t="shared" si="23"/>
        <v>29.5</v>
      </c>
      <c r="J51" s="246"/>
      <c r="K51" s="246">
        <v>29.5</v>
      </c>
      <c r="L51" s="247" t="e">
        <f>K51/#REF!*100</f>
        <v>#REF!</v>
      </c>
      <c r="M51" s="247"/>
      <c r="N51" s="242"/>
      <c r="O51" s="242"/>
      <c r="P51" s="245" t="e">
        <f t="shared" si="2"/>
        <v>#DIV/0!</v>
      </c>
      <c r="Q51" s="247">
        <f t="shared" si="24"/>
        <v>100</v>
      </c>
      <c r="R51" s="246">
        <f t="shared" si="3"/>
        <v>100</v>
      </c>
    </row>
    <row r="52" spans="1:18" ht="12.75">
      <c r="A52" s="115" t="s">
        <v>202</v>
      </c>
      <c r="B52" s="107"/>
      <c r="C52" s="71" t="s">
        <v>203</v>
      </c>
      <c r="D52" s="244">
        <f t="shared" si="21"/>
        <v>0</v>
      </c>
      <c r="E52" s="244">
        <f t="shared" si="22"/>
        <v>0</v>
      </c>
      <c r="F52" s="244"/>
      <c r="G52" s="244"/>
      <c r="H52" s="245"/>
      <c r="I52" s="245">
        <f t="shared" si="23"/>
        <v>0</v>
      </c>
      <c r="J52" s="246"/>
      <c r="K52" s="246">
        <v>2.7</v>
      </c>
      <c r="L52" s="247"/>
      <c r="M52" s="247"/>
      <c r="N52" s="242"/>
      <c r="O52" s="242"/>
      <c r="P52" s="245" t="e">
        <f t="shared" si="2"/>
        <v>#DIV/0!</v>
      </c>
      <c r="Q52" s="247"/>
      <c r="R52" s="246"/>
    </row>
    <row r="53" spans="1:18" ht="12.75">
      <c r="A53" s="116" t="s">
        <v>206</v>
      </c>
      <c r="B53" s="116"/>
      <c r="C53" s="108" t="s">
        <v>207</v>
      </c>
      <c r="D53" s="248">
        <f>D54+D56+D55</f>
        <v>37298.5</v>
      </c>
      <c r="E53" s="248">
        <f aca="true" t="shared" si="25" ref="E53:P53">E54+E56+E55</f>
        <v>22401.5</v>
      </c>
      <c r="F53" s="248">
        <f t="shared" si="25"/>
        <v>14340.4</v>
      </c>
      <c r="G53" s="248">
        <f t="shared" si="25"/>
        <v>8061.1</v>
      </c>
      <c r="H53" s="248">
        <f t="shared" si="25"/>
        <v>7645.8</v>
      </c>
      <c r="I53" s="248">
        <f t="shared" si="25"/>
        <v>30047.3</v>
      </c>
      <c r="J53" s="248">
        <f t="shared" si="25"/>
        <v>7251.2</v>
      </c>
      <c r="K53" s="248">
        <f t="shared" si="25"/>
        <v>18519</v>
      </c>
      <c r="L53" s="248" t="e">
        <f t="shared" si="25"/>
        <v>#REF!</v>
      </c>
      <c r="M53" s="248">
        <f t="shared" si="25"/>
        <v>242.21141018598448</v>
      </c>
      <c r="N53" s="248">
        <f t="shared" si="25"/>
        <v>0.1</v>
      </c>
      <c r="O53" s="248">
        <f t="shared" si="25"/>
        <v>0</v>
      </c>
      <c r="P53" s="248" t="e">
        <f t="shared" si="25"/>
        <v>#DIV/0!</v>
      </c>
      <c r="Q53" s="241">
        <f>K53*100/I53</f>
        <v>61.632825578338156</v>
      </c>
      <c r="R53" s="243">
        <f t="shared" si="3"/>
        <v>49.650790246256555</v>
      </c>
    </row>
    <row r="54" spans="1:18" ht="24">
      <c r="A54" s="69" t="s">
        <v>208</v>
      </c>
      <c r="B54" s="67"/>
      <c r="C54" s="109" t="s">
        <v>209</v>
      </c>
      <c r="D54" s="244">
        <f t="shared" si="21"/>
        <v>30728.3</v>
      </c>
      <c r="E54" s="244">
        <f t="shared" si="22"/>
        <v>15831.3</v>
      </c>
      <c r="F54" s="257">
        <f>7251.1+503.2+15.9</f>
        <v>7770.2</v>
      </c>
      <c r="G54" s="257">
        <v>8061.1</v>
      </c>
      <c r="H54" s="245">
        <f>7251.1+228.5+166.2</f>
        <v>7645.8</v>
      </c>
      <c r="I54" s="245">
        <f>E54+H54</f>
        <v>23477.1</v>
      </c>
      <c r="J54" s="245">
        <f>7251.2</f>
        <v>7251.2</v>
      </c>
      <c r="K54" s="246">
        <v>18519</v>
      </c>
      <c r="L54" s="247" t="e">
        <f>K54/#REF!*100</f>
        <v>#REF!</v>
      </c>
      <c r="M54" s="247">
        <f>K54/H54*100</f>
        <v>242.21141018598448</v>
      </c>
      <c r="N54" s="242">
        <v>0.1</v>
      </c>
      <c r="O54" s="242"/>
      <c r="P54" s="245">
        <f t="shared" si="2"/>
        <v>255.39221094439543</v>
      </c>
      <c r="Q54" s="247">
        <f t="shared" si="24"/>
        <v>78.8811224554992</v>
      </c>
      <c r="R54" s="246">
        <f t="shared" si="3"/>
        <v>60.26692007042368</v>
      </c>
    </row>
    <row r="55" spans="1:18" ht="12.75">
      <c r="A55" s="69" t="s">
        <v>210</v>
      </c>
      <c r="B55" s="69"/>
      <c r="C55" s="110" t="s">
        <v>211</v>
      </c>
      <c r="D55" s="244">
        <f>F55+G55+H55+J55</f>
        <v>6570.2</v>
      </c>
      <c r="E55" s="244">
        <f t="shared" si="22"/>
        <v>6570.2</v>
      </c>
      <c r="F55" s="257">
        <v>6570.2</v>
      </c>
      <c r="G55" s="257"/>
      <c r="H55" s="245"/>
      <c r="I55" s="245">
        <f>E55+H55</f>
        <v>6570.2</v>
      </c>
      <c r="J55" s="258"/>
      <c r="K55" s="246"/>
      <c r="L55" s="247"/>
      <c r="M55" s="247"/>
      <c r="N55" s="242"/>
      <c r="O55" s="242"/>
      <c r="P55" s="245"/>
      <c r="Q55" s="247">
        <f t="shared" si="24"/>
        <v>0</v>
      </c>
      <c r="R55" s="246">
        <f t="shared" si="3"/>
        <v>0</v>
      </c>
    </row>
    <row r="56" spans="1:18" ht="36">
      <c r="A56" s="69" t="s">
        <v>214</v>
      </c>
      <c r="B56" s="72"/>
      <c r="C56" s="73" t="s">
        <v>215</v>
      </c>
      <c r="D56" s="244">
        <f t="shared" si="21"/>
        <v>0</v>
      </c>
      <c r="E56" s="244">
        <f t="shared" si="22"/>
        <v>0</v>
      </c>
      <c r="F56" s="259"/>
      <c r="G56" s="259"/>
      <c r="H56" s="245"/>
      <c r="I56" s="245">
        <f>E56+H56</f>
        <v>0</v>
      </c>
      <c r="J56" s="258"/>
      <c r="K56" s="246"/>
      <c r="L56" s="247" t="e">
        <f>K56/#REF!*100</f>
        <v>#REF!</v>
      </c>
      <c r="M56" s="247"/>
      <c r="N56" s="242"/>
      <c r="O56" s="242"/>
      <c r="P56" s="245" t="e">
        <f t="shared" si="2"/>
        <v>#DIV/0!</v>
      </c>
      <c r="Q56" s="247"/>
      <c r="R56" s="246"/>
    </row>
    <row r="57" spans="1:18" ht="12.75">
      <c r="A57" s="68"/>
      <c r="B57" s="117"/>
      <c r="C57" s="118" t="s">
        <v>216</v>
      </c>
      <c r="D57" s="260">
        <f aca="true" t="shared" si="26" ref="D57:K57">D53+D44</f>
        <v>51816.4</v>
      </c>
      <c r="E57" s="260">
        <f t="shared" si="26"/>
        <v>29158.9</v>
      </c>
      <c r="F57" s="260">
        <f t="shared" si="26"/>
        <v>17176.7</v>
      </c>
      <c r="G57" s="260">
        <f t="shared" si="26"/>
        <v>11982.2</v>
      </c>
      <c r="H57" s="260">
        <f t="shared" si="26"/>
        <v>11130</v>
      </c>
      <c r="I57" s="260">
        <f t="shared" si="26"/>
        <v>40288.9</v>
      </c>
      <c r="J57" s="260">
        <f t="shared" si="26"/>
        <v>11527.5</v>
      </c>
      <c r="K57" s="260">
        <f t="shared" si="26"/>
        <v>30202.899999999998</v>
      </c>
      <c r="L57" s="241" t="e">
        <f>K57/#REF!*100</f>
        <v>#REF!</v>
      </c>
      <c r="M57" s="241">
        <f>K57/H57*100</f>
        <v>271.3647798742138</v>
      </c>
      <c r="N57" s="242"/>
      <c r="O57" s="252" t="e">
        <f>J57+#REF!+#REF!</f>
        <v>#REF!</v>
      </c>
      <c r="P57" s="249">
        <f t="shared" si="2"/>
        <v>262.00737367165476</v>
      </c>
      <c r="Q57" s="241">
        <f>K57*100/I57</f>
        <v>74.96580944131013</v>
      </c>
      <c r="R57" s="243">
        <f t="shared" si="3"/>
        <v>58.28830254514015</v>
      </c>
    </row>
    <row r="58" spans="1:18" ht="12.75">
      <c r="A58" s="198"/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200"/>
      <c r="N58" s="102"/>
      <c r="O58" s="102"/>
      <c r="P58" s="111"/>
      <c r="Q58" s="101"/>
      <c r="R58" s="77"/>
    </row>
    <row r="59" spans="1:18" ht="12.75">
      <c r="A59" s="203" t="s">
        <v>219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101"/>
      <c r="R59" s="77"/>
    </row>
    <row r="60" spans="1:18" ht="12.75">
      <c r="A60" s="116" t="s">
        <v>178</v>
      </c>
      <c r="B60" s="116"/>
      <c r="C60" s="119" t="s">
        <v>179</v>
      </c>
      <c r="D60" s="249">
        <f aca="true" t="shared" si="27" ref="D60:K60">D61+D63+D65+D67+D64+D69+D68+D62+D66</f>
        <v>32741</v>
      </c>
      <c r="E60" s="249">
        <f t="shared" si="27"/>
        <v>16322.4</v>
      </c>
      <c r="F60" s="249">
        <f t="shared" si="27"/>
        <v>7963.099999999999</v>
      </c>
      <c r="G60" s="249">
        <f t="shared" si="27"/>
        <v>8359.3</v>
      </c>
      <c r="H60" s="249">
        <f t="shared" si="27"/>
        <v>8291.1</v>
      </c>
      <c r="I60" s="249">
        <f t="shared" si="27"/>
        <v>24613.5</v>
      </c>
      <c r="J60" s="249">
        <f t="shared" si="27"/>
        <v>8127.500000000001</v>
      </c>
      <c r="K60" s="249">
        <f t="shared" si="27"/>
        <v>17646.5</v>
      </c>
      <c r="L60" s="249" t="e">
        <f>K60/#REF!*100</f>
        <v>#REF!</v>
      </c>
      <c r="M60" s="249">
        <f aca="true" t="shared" si="28" ref="M60:M68">K60/H60*100</f>
        <v>212.83665617348723</v>
      </c>
      <c r="N60" s="261"/>
      <c r="O60" s="261"/>
      <c r="P60" s="249">
        <f t="shared" si="2"/>
        <v>217.12088588126727</v>
      </c>
      <c r="Q60" s="241">
        <f>K60*100/I60</f>
        <v>71.69439535214414</v>
      </c>
      <c r="R60" s="243">
        <f t="shared" si="3"/>
        <v>53.89725420726307</v>
      </c>
    </row>
    <row r="61" spans="1:18" ht="12.75">
      <c r="A61" s="67" t="s">
        <v>180</v>
      </c>
      <c r="B61" s="67"/>
      <c r="C61" s="112" t="s">
        <v>181</v>
      </c>
      <c r="D61" s="244">
        <f>F61+G61+H61+J61</f>
        <v>18270</v>
      </c>
      <c r="E61" s="244">
        <f aca="true" t="shared" si="29" ref="E61:E72">F61+G61</f>
        <v>9134.9</v>
      </c>
      <c r="F61" s="262">
        <v>4567.5</v>
      </c>
      <c r="G61" s="262">
        <v>4567.4</v>
      </c>
      <c r="H61" s="247">
        <v>4567.5</v>
      </c>
      <c r="I61" s="245">
        <f>E61+H61</f>
        <v>13702.4</v>
      </c>
      <c r="J61" s="247">
        <v>4567.6</v>
      </c>
      <c r="K61" s="247">
        <v>9530.1</v>
      </c>
      <c r="L61" s="247" t="e">
        <f>K61/#REF!*100</f>
        <v>#REF!</v>
      </c>
      <c r="M61" s="247">
        <f t="shared" si="28"/>
        <v>208.65024630541873</v>
      </c>
      <c r="N61" s="242"/>
      <c r="O61" s="242"/>
      <c r="P61" s="247">
        <f t="shared" si="2"/>
        <v>208.645678255539</v>
      </c>
      <c r="Q61" s="247">
        <f>K61*100/I61</f>
        <v>69.5505896777207</v>
      </c>
      <c r="R61" s="246">
        <f t="shared" si="3"/>
        <v>52.16256157635468</v>
      </c>
    </row>
    <row r="62" spans="1:18" ht="12.75">
      <c r="A62" s="67" t="s">
        <v>182</v>
      </c>
      <c r="B62" s="67"/>
      <c r="C62" s="103" t="s">
        <v>183</v>
      </c>
      <c r="D62" s="244">
        <f aca="true" t="shared" si="30" ref="D62:D72">F62+G62+H62+J62</f>
        <v>35</v>
      </c>
      <c r="E62" s="244">
        <f t="shared" si="29"/>
        <v>17.5</v>
      </c>
      <c r="F62" s="257">
        <v>8.7</v>
      </c>
      <c r="G62" s="257">
        <v>8.8</v>
      </c>
      <c r="H62" s="245">
        <v>8.7</v>
      </c>
      <c r="I62" s="245">
        <f aca="true" t="shared" si="31" ref="I62:I72">E62+H62</f>
        <v>26.2</v>
      </c>
      <c r="J62" s="245">
        <v>8.8</v>
      </c>
      <c r="K62" s="245">
        <v>31.5</v>
      </c>
      <c r="L62" s="247" t="e">
        <f>K62/#REF!*100</f>
        <v>#REF!</v>
      </c>
      <c r="M62" s="247">
        <f t="shared" si="28"/>
        <v>362.0689655172414</v>
      </c>
      <c r="N62" s="242"/>
      <c r="O62" s="242"/>
      <c r="P62" s="245">
        <f t="shared" si="2"/>
        <v>357.95454545454544</v>
      </c>
      <c r="Q62" s="247">
        <f aca="true" t="shared" si="32" ref="Q62:Q67">K62*100/I62</f>
        <v>120.22900763358778</v>
      </c>
      <c r="R62" s="246">
        <f t="shared" si="3"/>
        <v>90</v>
      </c>
    </row>
    <row r="63" spans="1:18" ht="12.75">
      <c r="A63" s="67" t="s">
        <v>184</v>
      </c>
      <c r="B63" s="67"/>
      <c r="C63" s="103" t="s">
        <v>185</v>
      </c>
      <c r="D63" s="244">
        <f t="shared" si="30"/>
        <v>8443</v>
      </c>
      <c r="E63" s="244">
        <f t="shared" si="29"/>
        <v>4099.5</v>
      </c>
      <c r="F63" s="257">
        <v>2051.7</v>
      </c>
      <c r="G63" s="257">
        <v>2047.8</v>
      </c>
      <c r="H63" s="245">
        <v>2127.7</v>
      </c>
      <c r="I63" s="245">
        <f t="shared" si="31"/>
        <v>6227.2</v>
      </c>
      <c r="J63" s="245">
        <v>2215.8</v>
      </c>
      <c r="K63" s="245">
        <v>4003.2</v>
      </c>
      <c r="L63" s="247" t="e">
        <f>K63/#REF!*100</f>
        <v>#REF!</v>
      </c>
      <c r="M63" s="247">
        <f t="shared" si="28"/>
        <v>188.146825210321</v>
      </c>
      <c r="N63" s="242"/>
      <c r="O63" s="242"/>
      <c r="P63" s="245">
        <f t="shared" si="2"/>
        <v>180.66612510154346</v>
      </c>
      <c r="Q63" s="247">
        <f t="shared" si="32"/>
        <v>64.28571428571429</v>
      </c>
      <c r="R63" s="246">
        <f t="shared" si="3"/>
        <v>47.41442615184176</v>
      </c>
    </row>
    <row r="64" spans="1:18" ht="12.75">
      <c r="A64" s="67" t="s">
        <v>186</v>
      </c>
      <c r="B64" s="67"/>
      <c r="C64" s="103" t="s">
        <v>187</v>
      </c>
      <c r="D64" s="244">
        <f t="shared" si="30"/>
        <v>0</v>
      </c>
      <c r="E64" s="244">
        <f t="shared" si="29"/>
        <v>0</v>
      </c>
      <c r="F64" s="257"/>
      <c r="G64" s="257"/>
      <c r="H64" s="245"/>
      <c r="I64" s="245">
        <f t="shared" si="31"/>
        <v>0</v>
      </c>
      <c r="J64" s="245"/>
      <c r="K64" s="245">
        <v>10</v>
      </c>
      <c r="L64" s="247"/>
      <c r="M64" s="247" t="e">
        <f t="shared" si="28"/>
        <v>#DIV/0!</v>
      </c>
      <c r="N64" s="242"/>
      <c r="O64" s="242"/>
      <c r="P64" s="245" t="e">
        <f t="shared" si="2"/>
        <v>#DIV/0!</v>
      </c>
      <c r="Q64" s="247"/>
      <c r="R64" s="246"/>
    </row>
    <row r="65" spans="1:18" ht="24">
      <c r="A65" s="68" t="s">
        <v>190</v>
      </c>
      <c r="B65" s="68"/>
      <c r="C65" s="103" t="s">
        <v>191</v>
      </c>
      <c r="D65" s="244">
        <f t="shared" si="30"/>
        <v>5185</v>
      </c>
      <c r="E65" s="244">
        <f t="shared" si="29"/>
        <v>2517.5</v>
      </c>
      <c r="F65" s="257">
        <v>1258.7</v>
      </c>
      <c r="G65" s="257">
        <v>1258.8</v>
      </c>
      <c r="H65" s="245">
        <v>1408.7</v>
      </c>
      <c r="I65" s="245">
        <f t="shared" si="31"/>
        <v>3926.2</v>
      </c>
      <c r="J65" s="245">
        <v>1258.8</v>
      </c>
      <c r="K65" s="245">
        <v>3260.2</v>
      </c>
      <c r="L65" s="247" t="e">
        <f>K65/#REF!*100</f>
        <v>#REF!</v>
      </c>
      <c r="M65" s="247">
        <f t="shared" si="28"/>
        <v>231.43323631717183</v>
      </c>
      <c r="N65" s="242"/>
      <c r="O65" s="242"/>
      <c r="P65" s="245">
        <f t="shared" si="2"/>
        <v>258.9926914521767</v>
      </c>
      <c r="Q65" s="247">
        <f t="shared" si="32"/>
        <v>83.03703326371556</v>
      </c>
      <c r="R65" s="246">
        <f t="shared" si="3"/>
        <v>62.877531340405014</v>
      </c>
    </row>
    <row r="66" spans="1:18" ht="24">
      <c r="A66" s="105" t="s">
        <v>194</v>
      </c>
      <c r="B66" s="105"/>
      <c r="C66" s="103" t="s">
        <v>195</v>
      </c>
      <c r="D66" s="244">
        <f t="shared" si="30"/>
        <v>0</v>
      </c>
      <c r="E66" s="244">
        <f t="shared" si="29"/>
        <v>0</v>
      </c>
      <c r="F66" s="257"/>
      <c r="G66" s="257"/>
      <c r="H66" s="245"/>
      <c r="I66" s="245">
        <f t="shared" si="31"/>
        <v>0</v>
      </c>
      <c r="J66" s="245"/>
      <c r="K66" s="245"/>
      <c r="L66" s="247" t="e">
        <f>K66/#REF!*100</f>
        <v>#REF!</v>
      </c>
      <c r="M66" s="247"/>
      <c r="N66" s="242"/>
      <c r="O66" s="242"/>
      <c r="P66" s="245" t="e">
        <f t="shared" si="2"/>
        <v>#DIV/0!</v>
      </c>
      <c r="Q66" s="247"/>
      <c r="R66" s="246"/>
    </row>
    <row r="67" spans="1:18" ht="24">
      <c r="A67" s="104" t="s">
        <v>196</v>
      </c>
      <c r="B67" s="104"/>
      <c r="C67" s="103" t="s">
        <v>197</v>
      </c>
      <c r="D67" s="244">
        <f t="shared" si="30"/>
        <v>806</v>
      </c>
      <c r="E67" s="244">
        <f t="shared" si="29"/>
        <v>553</v>
      </c>
      <c r="F67" s="257">
        <v>76.5</v>
      </c>
      <c r="G67" s="257">
        <v>476.5</v>
      </c>
      <c r="H67" s="245">
        <v>176.5</v>
      </c>
      <c r="I67" s="245">
        <f t="shared" si="31"/>
        <v>729.5</v>
      </c>
      <c r="J67" s="245">
        <v>76.5</v>
      </c>
      <c r="K67" s="245">
        <v>808.3</v>
      </c>
      <c r="L67" s="247" t="e">
        <f>K67/#REF!*100</f>
        <v>#REF!</v>
      </c>
      <c r="M67" s="247">
        <f t="shared" si="28"/>
        <v>457.9603399433427</v>
      </c>
      <c r="N67" s="242"/>
      <c r="O67" s="242"/>
      <c r="P67" s="245">
        <f t="shared" si="2"/>
        <v>1056.6013071895425</v>
      </c>
      <c r="Q67" s="247">
        <f t="shared" si="32"/>
        <v>110.80191912268677</v>
      </c>
      <c r="R67" s="246">
        <f t="shared" si="3"/>
        <v>100.28535980148884</v>
      </c>
    </row>
    <row r="68" spans="1:18" ht="12.75">
      <c r="A68" s="74" t="s">
        <v>200</v>
      </c>
      <c r="B68" s="74"/>
      <c r="C68" s="103" t="s">
        <v>201</v>
      </c>
      <c r="D68" s="244">
        <f t="shared" si="30"/>
        <v>2</v>
      </c>
      <c r="E68" s="244">
        <f t="shared" si="29"/>
        <v>0</v>
      </c>
      <c r="F68" s="257"/>
      <c r="G68" s="257"/>
      <c r="H68" s="245">
        <v>2</v>
      </c>
      <c r="I68" s="245">
        <f t="shared" si="31"/>
        <v>2</v>
      </c>
      <c r="J68" s="245"/>
      <c r="K68" s="245">
        <v>1.3</v>
      </c>
      <c r="L68" s="247"/>
      <c r="M68" s="247">
        <f t="shared" si="28"/>
        <v>65</v>
      </c>
      <c r="N68" s="242"/>
      <c r="O68" s="242"/>
      <c r="P68" s="245" t="e">
        <f t="shared" si="2"/>
        <v>#DIV/0!</v>
      </c>
      <c r="Q68" s="247">
        <f>K68*100/I68</f>
        <v>65</v>
      </c>
      <c r="R68" s="246">
        <f>K68*100/D68</f>
        <v>65</v>
      </c>
    </row>
    <row r="69" spans="1:18" ht="12.75">
      <c r="A69" s="106" t="s">
        <v>202</v>
      </c>
      <c r="B69" s="107"/>
      <c r="C69" s="71" t="s">
        <v>203</v>
      </c>
      <c r="D69" s="244">
        <f t="shared" si="30"/>
        <v>0</v>
      </c>
      <c r="E69" s="244">
        <f t="shared" si="29"/>
        <v>0</v>
      </c>
      <c r="F69" s="257"/>
      <c r="G69" s="257"/>
      <c r="H69" s="245"/>
      <c r="I69" s="245">
        <f t="shared" si="31"/>
        <v>0</v>
      </c>
      <c r="J69" s="245"/>
      <c r="K69" s="245">
        <v>1.9</v>
      </c>
      <c r="L69" s="247"/>
      <c r="M69" s="247"/>
      <c r="N69" s="242"/>
      <c r="O69" s="242"/>
      <c r="P69" s="245" t="e">
        <f t="shared" si="2"/>
        <v>#DIV/0!</v>
      </c>
      <c r="Q69" s="247"/>
      <c r="R69" s="246"/>
    </row>
    <row r="70" spans="1:18" ht="12.75">
      <c r="A70" s="99" t="s">
        <v>206</v>
      </c>
      <c r="B70" s="99"/>
      <c r="C70" s="108" t="s">
        <v>207</v>
      </c>
      <c r="D70" s="248">
        <f aca="true" t="shared" si="33" ref="D70:K70">D71+D72</f>
        <v>40636.299999999996</v>
      </c>
      <c r="E70" s="248">
        <f t="shared" si="33"/>
        <v>23711.1</v>
      </c>
      <c r="F70" s="248">
        <f t="shared" si="33"/>
        <v>11774.5</v>
      </c>
      <c r="G70" s="248">
        <f t="shared" si="33"/>
        <v>11936.6</v>
      </c>
      <c r="H70" s="248">
        <f t="shared" si="33"/>
        <v>8513.6</v>
      </c>
      <c r="I70" s="248">
        <f t="shared" si="33"/>
        <v>32224.699999999997</v>
      </c>
      <c r="J70" s="248">
        <f t="shared" si="33"/>
        <v>8411.6</v>
      </c>
      <c r="K70" s="248">
        <f t="shared" si="33"/>
        <v>27471.3</v>
      </c>
      <c r="L70" s="241" t="e">
        <f>K70/#REF!*100</f>
        <v>#REF!</v>
      </c>
      <c r="M70" s="241">
        <f>K70/H70*100</f>
        <v>322.67548393159177</v>
      </c>
      <c r="N70" s="242"/>
      <c r="O70" s="242"/>
      <c r="P70" s="249">
        <f t="shared" si="2"/>
        <v>326.5882828474963</v>
      </c>
      <c r="Q70" s="241">
        <f>K70*100/I70</f>
        <v>85.24920325092243</v>
      </c>
      <c r="R70" s="243">
        <f t="shared" si="3"/>
        <v>67.6028575436248</v>
      </c>
    </row>
    <row r="71" spans="1:18" ht="24">
      <c r="A71" s="69" t="s">
        <v>208</v>
      </c>
      <c r="B71" s="67"/>
      <c r="C71" s="109" t="s">
        <v>209</v>
      </c>
      <c r="D71" s="244">
        <f t="shared" si="30"/>
        <v>40548.299999999996</v>
      </c>
      <c r="E71" s="244">
        <f t="shared" si="29"/>
        <v>23711.1</v>
      </c>
      <c r="F71" s="257">
        <f>8411.5+3363</f>
        <v>11774.5</v>
      </c>
      <c r="G71" s="257">
        <v>11936.6</v>
      </c>
      <c r="H71" s="245">
        <f>8411.6-87.9+101.9</f>
        <v>8425.6</v>
      </c>
      <c r="I71" s="245">
        <f t="shared" si="31"/>
        <v>32136.699999999997</v>
      </c>
      <c r="J71" s="246">
        <v>8411.6</v>
      </c>
      <c r="K71" s="246">
        <v>27383.3</v>
      </c>
      <c r="L71" s="247" t="e">
        <f>K71/#REF!*100</f>
        <v>#REF!</v>
      </c>
      <c r="M71" s="247">
        <f>K71/H71*100</f>
        <v>325.0011868590961</v>
      </c>
      <c r="N71" s="242"/>
      <c r="O71" s="242"/>
      <c r="P71" s="245">
        <f t="shared" si="2"/>
        <v>325.5421085168101</v>
      </c>
      <c r="Q71" s="247">
        <f>K71*100/I71</f>
        <v>85.2088111100393</v>
      </c>
      <c r="R71" s="246">
        <f t="shared" si="3"/>
        <v>67.532547603722</v>
      </c>
    </row>
    <row r="72" spans="1:18" ht="12.75">
      <c r="A72" s="69" t="s">
        <v>210</v>
      </c>
      <c r="B72" s="69"/>
      <c r="C72" s="110" t="s">
        <v>211</v>
      </c>
      <c r="D72" s="244">
        <f t="shared" si="30"/>
        <v>88</v>
      </c>
      <c r="E72" s="244">
        <f t="shared" si="29"/>
        <v>0</v>
      </c>
      <c r="F72" s="259"/>
      <c r="G72" s="259"/>
      <c r="H72" s="245">
        <v>88</v>
      </c>
      <c r="I72" s="245">
        <f t="shared" si="31"/>
        <v>88</v>
      </c>
      <c r="J72" s="246"/>
      <c r="K72" s="246">
        <v>88</v>
      </c>
      <c r="L72" s="247" t="e">
        <f>K72/#REF!*100</f>
        <v>#REF!</v>
      </c>
      <c r="M72" s="247"/>
      <c r="N72" s="242"/>
      <c r="O72" s="242"/>
      <c r="P72" s="245" t="e">
        <f t="shared" si="2"/>
        <v>#DIV/0!</v>
      </c>
      <c r="Q72" s="247">
        <f>K72*100/I72</f>
        <v>100</v>
      </c>
      <c r="R72" s="246">
        <f t="shared" si="3"/>
        <v>100</v>
      </c>
    </row>
    <row r="73" spans="1:18" ht="12.75">
      <c r="A73" s="74"/>
      <c r="B73" s="75"/>
      <c r="C73" s="76" t="s">
        <v>216</v>
      </c>
      <c r="D73" s="243">
        <f aca="true" t="shared" si="34" ref="D73:L73">D70+D60</f>
        <v>73377.29999999999</v>
      </c>
      <c r="E73" s="243">
        <f t="shared" si="34"/>
        <v>40033.5</v>
      </c>
      <c r="F73" s="243">
        <f t="shared" si="34"/>
        <v>19737.6</v>
      </c>
      <c r="G73" s="243">
        <f t="shared" si="34"/>
        <v>20295.9</v>
      </c>
      <c r="H73" s="243">
        <f t="shared" si="34"/>
        <v>16804.7</v>
      </c>
      <c r="I73" s="243">
        <f t="shared" si="34"/>
        <v>56838.2</v>
      </c>
      <c r="J73" s="243">
        <f t="shared" si="34"/>
        <v>16539.100000000002</v>
      </c>
      <c r="K73" s="243">
        <f t="shared" si="34"/>
        <v>45117.8</v>
      </c>
      <c r="L73" s="243" t="e">
        <f t="shared" si="34"/>
        <v>#REF!</v>
      </c>
      <c r="M73" s="241">
        <f>K73/H73*100</f>
        <v>268.48322195576236</v>
      </c>
      <c r="N73" s="242"/>
      <c r="O73" s="252" t="e">
        <f>J73+#REF!+#REF!</f>
        <v>#REF!</v>
      </c>
      <c r="P73" s="249">
        <f t="shared" si="2"/>
        <v>272.79477117860097</v>
      </c>
      <c r="Q73" s="241">
        <f>K73*100/I73</f>
        <v>79.3793610635101</v>
      </c>
      <c r="R73" s="243">
        <f t="shared" si="3"/>
        <v>61.48740823115597</v>
      </c>
    </row>
    <row r="74" spans="1:18" ht="12.75">
      <c r="A74" s="198"/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200"/>
      <c r="N74" s="102"/>
      <c r="O74" s="102"/>
      <c r="P74" s="111"/>
      <c r="Q74" s="101"/>
      <c r="R74" s="77"/>
    </row>
    <row r="75" spans="1:18" ht="12.75">
      <c r="A75" s="203" t="s">
        <v>220</v>
      </c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101"/>
      <c r="R75" s="77"/>
    </row>
    <row r="76" spans="1:18" ht="12.75">
      <c r="A76" s="99" t="s">
        <v>178</v>
      </c>
      <c r="B76" s="99"/>
      <c r="C76" s="100" t="s">
        <v>179</v>
      </c>
      <c r="D76" s="241">
        <f aca="true" t="shared" si="35" ref="D76:I76">D77+D78+D79+D80+D81+D82+D83+D84+D85</f>
        <v>27390.5</v>
      </c>
      <c r="E76" s="241">
        <f t="shared" si="35"/>
        <v>11873.2</v>
      </c>
      <c r="F76" s="241">
        <f t="shared" si="35"/>
        <v>6031.5</v>
      </c>
      <c r="G76" s="241">
        <f t="shared" si="35"/>
        <v>5841.7</v>
      </c>
      <c r="H76" s="241">
        <f t="shared" si="35"/>
        <v>8831.099999999999</v>
      </c>
      <c r="I76" s="241">
        <f t="shared" si="35"/>
        <v>20704.3</v>
      </c>
      <c r="J76" s="241">
        <f>J77+J78+J79+J80+J81+J82+J83+J84+J85+J86</f>
        <v>6686.2</v>
      </c>
      <c r="K76" s="241">
        <f>K77+K78+K79+K80+K81+K82+K83+K84+K85+K86</f>
        <v>18065.3</v>
      </c>
      <c r="L76" s="241" t="e">
        <f>K76/#REF!*100</f>
        <v>#REF!</v>
      </c>
      <c r="M76" s="241">
        <f>K76/H76*100</f>
        <v>204.56455028252427</v>
      </c>
      <c r="N76" s="242"/>
      <c r="O76" s="242"/>
      <c r="P76" s="241">
        <f t="shared" si="2"/>
        <v>270.18784960067006</v>
      </c>
      <c r="Q76" s="241">
        <f>K76*100/I76</f>
        <v>87.25385547929658</v>
      </c>
      <c r="R76" s="243">
        <f aca="true" t="shared" si="36" ref="R76:R138">K76*100/D76</f>
        <v>65.95461930231285</v>
      </c>
    </row>
    <row r="77" spans="1:18" ht="12.75">
      <c r="A77" s="74" t="s">
        <v>180</v>
      </c>
      <c r="B77" s="74"/>
      <c r="C77" s="103" t="s">
        <v>181</v>
      </c>
      <c r="D77" s="244">
        <f>F77+G77+H77+J77</f>
        <v>16170</v>
      </c>
      <c r="E77" s="244">
        <f aca="true" t="shared" si="37" ref="E77:E85">F77+G77</f>
        <v>8400</v>
      </c>
      <c r="F77" s="257">
        <v>4300</v>
      </c>
      <c r="G77" s="257">
        <v>4100</v>
      </c>
      <c r="H77" s="245">
        <v>3450</v>
      </c>
      <c r="I77" s="245">
        <f>E77+H77</f>
        <v>11850</v>
      </c>
      <c r="J77" s="245">
        <v>4320</v>
      </c>
      <c r="K77" s="246">
        <v>9522.2</v>
      </c>
      <c r="L77" s="247" t="e">
        <f>K77/#REF!*100</f>
        <v>#REF!</v>
      </c>
      <c r="M77" s="247">
        <f>K77/H77*100</f>
        <v>276.0057971014493</v>
      </c>
      <c r="N77" s="242"/>
      <c r="O77" s="242"/>
      <c r="P77" s="245">
        <f aca="true" t="shared" si="38" ref="P77:P142">K77*100/J77</f>
        <v>220.42129629629633</v>
      </c>
      <c r="Q77" s="247">
        <f>K77*100/I77</f>
        <v>80.35611814345992</v>
      </c>
      <c r="R77" s="246">
        <f t="shared" si="36"/>
        <v>58.888064316635756</v>
      </c>
    </row>
    <row r="78" spans="1:18" ht="12.75">
      <c r="A78" s="67" t="s">
        <v>182</v>
      </c>
      <c r="B78" s="67"/>
      <c r="C78" s="103" t="s">
        <v>183</v>
      </c>
      <c r="D78" s="244">
        <f aca="true" t="shared" si="39" ref="D78:D85">F78+G78+H78+J78</f>
        <v>0</v>
      </c>
      <c r="E78" s="244">
        <f t="shared" si="37"/>
        <v>0</v>
      </c>
      <c r="F78" s="257"/>
      <c r="G78" s="257"/>
      <c r="H78" s="245"/>
      <c r="I78" s="245">
        <f aca="true" t="shared" si="40" ref="I78:I89">E78+H78</f>
        <v>0</v>
      </c>
      <c r="J78" s="245"/>
      <c r="K78" s="246"/>
      <c r="L78" s="247"/>
      <c r="M78" s="247"/>
      <c r="N78" s="242"/>
      <c r="O78" s="242"/>
      <c r="P78" s="245" t="e">
        <f t="shared" si="38"/>
        <v>#DIV/0!</v>
      </c>
      <c r="Q78" s="247" t="e">
        <f aca="true" t="shared" si="41" ref="Q78:Q84">K78*100/I78</f>
        <v>#DIV/0!</v>
      </c>
      <c r="R78" s="246" t="e">
        <f t="shared" si="36"/>
        <v>#DIV/0!</v>
      </c>
    </row>
    <row r="79" spans="1:18" ht="12.75">
      <c r="A79" s="67" t="s">
        <v>184</v>
      </c>
      <c r="B79" s="67"/>
      <c r="C79" s="103" t="s">
        <v>185</v>
      </c>
      <c r="D79" s="244">
        <f t="shared" si="39"/>
        <v>1372</v>
      </c>
      <c r="E79" s="244">
        <f t="shared" si="37"/>
        <v>405.6</v>
      </c>
      <c r="F79" s="257">
        <v>223.3</v>
      </c>
      <c r="G79" s="257">
        <v>182.3</v>
      </c>
      <c r="H79" s="245">
        <v>283.9</v>
      </c>
      <c r="I79" s="245">
        <f t="shared" si="40"/>
        <v>689.5</v>
      </c>
      <c r="J79" s="245">
        <v>682.5</v>
      </c>
      <c r="K79" s="246">
        <v>681</v>
      </c>
      <c r="L79" s="247" t="e">
        <f>K79/#REF!*100</f>
        <v>#REF!</v>
      </c>
      <c r="M79" s="247">
        <f>K79/H79*100</f>
        <v>239.8731947868968</v>
      </c>
      <c r="N79" s="242"/>
      <c r="O79" s="242"/>
      <c r="P79" s="245">
        <f t="shared" si="38"/>
        <v>99.78021978021978</v>
      </c>
      <c r="Q79" s="247">
        <f t="shared" si="41"/>
        <v>98.76722262509064</v>
      </c>
      <c r="R79" s="246">
        <f t="shared" si="36"/>
        <v>49.63556851311953</v>
      </c>
    </row>
    <row r="80" spans="1:18" ht="12.75">
      <c r="A80" s="67" t="s">
        <v>186</v>
      </c>
      <c r="B80" s="67"/>
      <c r="C80" s="103" t="s">
        <v>187</v>
      </c>
      <c r="D80" s="244">
        <f t="shared" si="39"/>
        <v>0</v>
      </c>
      <c r="E80" s="244">
        <f t="shared" si="37"/>
        <v>0</v>
      </c>
      <c r="F80" s="257"/>
      <c r="G80" s="257"/>
      <c r="H80" s="245"/>
      <c r="I80" s="245">
        <f t="shared" si="40"/>
        <v>0</v>
      </c>
      <c r="J80" s="245"/>
      <c r="K80" s="246"/>
      <c r="L80" s="247"/>
      <c r="M80" s="247"/>
      <c r="N80" s="242"/>
      <c r="O80" s="242"/>
      <c r="P80" s="245" t="e">
        <f t="shared" si="38"/>
        <v>#DIV/0!</v>
      </c>
      <c r="Q80" s="247" t="e">
        <f t="shared" si="41"/>
        <v>#DIV/0!</v>
      </c>
      <c r="R80" s="246" t="e">
        <f t="shared" si="36"/>
        <v>#DIV/0!</v>
      </c>
    </row>
    <row r="81" spans="1:18" ht="24">
      <c r="A81" s="68" t="s">
        <v>190</v>
      </c>
      <c r="B81" s="68"/>
      <c r="C81" s="103" t="s">
        <v>191</v>
      </c>
      <c r="D81" s="244">
        <f t="shared" si="39"/>
        <v>5633</v>
      </c>
      <c r="E81" s="244">
        <f t="shared" si="37"/>
        <v>2750</v>
      </c>
      <c r="F81" s="257">
        <v>1340</v>
      </c>
      <c r="G81" s="257">
        <v>1410</v>
      </c>
      <c r="H81" s="245">
        <v>1410</v>
      </c>
      <c r="I81" s="245">
        <f t="shared" si="40"/>
        <v>4160</v>
      </c>
      <c r="J81" s="245">
        <v>1473</v>
      </c>
      <c r="K81" s="246">
        <v>3797.2</v>
      </c>
      <c r="L81" s="247" t="e">
        <f>K81/#REF!*100</f>
        <v>#REF!</v>
      </c>
      <c r="M81" s="247">
        <f>K81/H81*100</f>
        <v>269.3049645390071</v>
      </c>
      <c r="N81" s="242"/>
      <c r="O81" s="242"/>
      <c r="P81" s="245">
        <f t="shared" si="38"/>
        <v>257.7868295994569</v>
      </c>
      <c r="Q81" s="247">
        <f t="shared" si="41"/>
        <v>91.27884615384616</v>
      </c>
      <c r="R81" s="246">
        <f t="shared" si="36"/>
        <v>67.4099059115924</v>
      </c>
    </row>
    <row r="82" spans="1:18" ht="24">
      <c r="A82" s="105" t="s">
        <v>194</v>
      </c>
      <c r="B82" s="105"/>
      <c r="C82" s="103" t="s">
        <v>195</v>
      </c>
      <c r="D82" s="244">
        <f t="shared" si="39"/>
        <v>465.99999999999994</v>
      </c>
      <c r="E82" s="244">
        <f t="shared" si="37"/>
        <v>243.39999999999998</v>
      </c>
      <c r="F82" s="257">
        <v>138.2</v>
      </c>
      <c r="G82" s="257">
        <v>105.2</v>
      </c>
      <c r="H82" s="245">
        <v>36.4</v>
      </c>
      <c r="I82" s="245">
        <f t="shared" si="40"/>
        <v>279.79999999999995</v>
      </c>
      <c r="J82" s="245">
        <v>186.2</v>
      </c>
      <c r="K82" s="246">
        <v>315.8</v>
      </c>
      <c r="L82" s="247" t="e">
        <f>K82/#REF!*100</f>
        <v>#REF!</v>
      </c>
      <c r="M82" s="247">
        <f>K82/H82*100</f>
        <v>867.5824175824177</v>
      </c>
      <c r="N82" s="242"/>
      <c r="O82" s="242"/>
      <c r="P82" s="245">
        <f t="shared" si="38"/>
        <v>169.60257787325457</v>
      </c>
      <c r="Q82" s="247">
        <f t="shared" si="41"/>
        <v>112.86633309506793</v>
      </c>
      <c r="R82" s="246">
        <f t="shared" si="36"/>
        <v>67.76824034334764</v>
      </c>
    </row>
    <row r="83" spans="1:18" ht="24">
      <c r="A83" s="104" t="s">
        <v>196</v>
      </c>
      <c r="B83" s="104"/>
      <c r="C83" s="103" t="s">
        <v>197</v>
      </c>
      <c r="D83" s="244">
        <f t="shared" si="39"/>
        <v>102.5</v>
      </c>
      <c r="E83" s="244">
        <f t="shared" si="37"/>
        <v>54</v>
      </c>
      <c r="F83" s="257">
        <v>30</v>
      </c>
      <c r="G83" s="257">
        <v>24</v>
      </c>
      <c r="H83" s="245">
        <v>24</v>
      </c>
      <c r="I83" s="245">
        <f t="shared" si="40"/>
        <v>78</v>
      </c>
      <c r="J83" s="245">
        <v>24.5</v>
      </c>
      <c r="K83" s="246">
        <v>45.5</v>
      </c>
      <c r="L83" s="247" t="e">
        <f>K83/#REF!*100</f>
        <v>#REF!</v>
      </c>
      <c r="M83" s="247">
        <f>K83/H83*100</f>
        <v>189.58333333333331</v>
      </c>
      <c r="N83" s="242"/>
      <c r="O83" s="242"/>
      <c r="P83" s="245">
        <f t="shared" si="38"/>
        <v>185.71428571428572</v>
      </c>
      <c r="Q83" s="247">
        <f t="shared" si="41"/>
        <v>58.333333333333336</v>
      </c>
      <c r="R83" s="246">
        <f t="shared" si="36"/>
        <v>44.390243902439025</v>
      </c>
    </row>
    <row r="84" spans="1:18" ht="12.75">
      <c r="A84" s="74" t="s">
        <v>200</v>
      </c>
      <c r="B84" s="74"/>
      <c r="C84" s="103" t="s">
        <v>201</v>
      </c>
      <c r="D84" s="244">
        <f>F84+G84+H84+J84</f>
        <v>3647</v>
      </c>
      <c r="E84" s="244">
        <f t="shared" si="37"/>
        <v>20.2</v>
      </c>
      <c r="F84" s="257"/>
      <c r="G84" s="257">
        <v>20.2</v>
      </c>
      <c r="H84" s="245">
        <v>3626.8</v>
      </c>
      <c r="I84" s="245">
        <f t="shared" si="40"/>
        <v>3647</v>
      </c>
      <c r="J84" s="245"/>
      <c r="K84" s="246">
        <v>3647</v>
      </c>
      <c r="L84" s="241"/>
      <c r="M84" s="241">
        <f>K84/H84*100</f>
        <v>100.55696481746995</v>
      </c>
      <c r="N84" s="242"/>
      <c r="O84" s="242"/>
      <c r="P84" s="245" t="e">
        <f t="shared" si="38"/>
        <v>#DIV/0!</v>
      </c>
      <c r="Q84" s="247">
        <f t="shared" si="41"/>
        <v>100</v>
      </c>
      <c r="R84" s="246">
        <f t="shared" si="36"/>
        <v>100</v>
      </c>
    </row>
    <row r="85" spans="1:18" ht="12.75">
      <c r="A85" s="106" t="s">
        <v>202</v>
      </c>
      <c r="B85" s="107"/>
      <c r="C85" s="71" t="s">
        <v>203</v>
      </c>
      <c r="D85" s="244">
        <f t="shared" si="39"/>
        <v>0</v>
      </c>
      <c r="E85" s="244">
        <f t="shared" si="37"/>
        <v>0</v>
      </c>
      <c r="F85" s="257"/>
      <c r="G85" s="257"/>
      <c r="H85" s="245"/>
      <c r="I85" s="245">
        <f t="shared" si="40"/>
        <v>0</v>
      </c>
      <c r="J85" s="245"/>
      <c r="K85" s="246">
        <v>56.6</v>
      </c>
      <c r="L85" s="241"/>
      <c r="M85" s="241"/>
      <c r="N85" s="242"/>
      <c r="O85" s="242"/>
      <c r="P85" s="245" t="e">
        <f t="shared" si="38"/>
        <v>#DIV/0!</v>
      </c>
      <c r="Q85" s="247"/>
      <c r="R85" s="246"/>
    </row>
    <row r="86" spans="1:18" ht="12.75">
      <c r="A86" s="106" t="s">
        <v>204</v>
      </c>
      <c r="B86" s="107"/>
      <c r="C86" s="71" t="s">
        <v>205</v>
      </c>
      <c r="D86" s="255"/>
      <c r="E86" s="255"/>
      <c r="F86" s="257"/>
      <c r="G86" s="257"/>
      <c r="H86" s="245" t="e">
        <f>J86+#REF!+#REF!+#REF!</f>
        <v>#REF!</v>
      </c>
      <c r="I86" s="245" t="e">
        <f t="shared" si="40"/>
        <v>#REF!</v>
      </c>
      <c r="J86" s="245"/>
      <c r="K86" s="246"/>
      <c r="L86" s="241"/>
      <c r="M86" s="241"/>
      <c r="N86" s="242"/>
      <c r="O86" s="242"/>
      <c r="P86" s="245" t="e">
        <f t="shared" si="38"/>
        <v>#DIV/0!</v>
      </c>
      <c r="Q86" s="241" t="e">
        <f>K86*100/E86</f>
        <v>#DIV/0!</v>
      </c>
      <c r="R86" s="243" t="e">
        <f t="shared" si="36"/>
        <v>#DIV/0!</v>
      </c>
    </row>
    <row r="87" spans="1:18" ht="12.75">
      <c r="A87" s="99" t="s">
        <v>206</v>
      </c>
      <c r="B87" s="99"/>
      <c r="C87" s="108" t="s">
        <v>207</v>
      </c>
      <c r="D87" s="248">
        <f aca="true" t="shared" si="42" ref="D87:K87">D88+D89</f>
        <v>56032</v>
      </c>
      <c r="E87" s="263">
        <f t="shared" si="42"/>
        <v>27692.899999999998</v>
      </c>
      <c r="F87" s="248">
        <f t="shared" si="42"/>
        <v>10689.8</v>
      </c>
      <c r="G87" s="248">
        <f t="shared" si="42"/>
        <v>17003.1</v>
      </c>
      <c r="H87" s="248">
        <f t="shared" si="42"/>
        <v>16788.500000000004</v>
      </c>
      <c r="I87" s="248">
        <f t="shared" si="42"/>
        <v>44481.4</v>
      </c>
      <c r="J87" s="248">
        <f t="shared" si="42"/>
        <v>11550.6</v>
      </c>
      <c r="K87" s="248">
        <f t="shared" si="42"/>
        <v>40014.8</v>
      </c>
      <c r="L87" s="241" t="e">
        <f>K87/#REF!*100</f>
        <v>#REF!</v>
      </c>
      <c r="M87" s="241">
        <f>K87/H87*100</f>
        <v>238.3464871787235</v>
      </c>
      <c r="N87" s="242"/>
      <c r="O87" s="242"/>
      <c r="P87" s="249">
        <f t="shared" si="38"/>
        <v>346.430488459474</v>
      </c>
      <c r="Q87" s="241">
        <f>K87*100/I87</f>
        <v>89.95849950765938</v>
      </c>
      <c r="R87" s="243">
        <f t="shared" si="36"/>
        <v>71.41419189034838</v>
      </c>
    </row>
    <row r="88" spans="1:18" ht="24">
      <c r="A88" s="69" t="s">
        <v>208</v>
      </c>
      <c r="B88" s="67"/>
      <c r="C88" s="109" t="s">
        <v>209</v>
      </c>
      <c r="D88" s="244">
        <f>F88+G88+H88+J88</f>
        <v>55927</v>
      </c>
      <c r="E88" s="244">
        <f>F88+G88</f>
        <v>27587.899999999998</v>
      </c>
      <c r="F88" s="257">
        <v>10684.8</v>
      </c>
      <c r="G88" s="257">
        <v>16903.1</v>
      </c>
      <c r="H88" s="245">
        <f>16511.9+116.2+160.4</f>
        <v>16788.500000000004</v>
      </c>
      <c r="I88" s="245">
        <f t="shared" si="40"/>
        <v>44376.4</v>
      </c>
      <c r="J88" s="245">
        <v>11550.6</v>
      </c>
      <c r="K88" s="246">
        <v>39900.3</v>
      </c>
      <c r="L88" s="247" t="e">
        <f>K88/#REF!*100</f>
        <v>#REF!</v>
      </c>
      <c r="M88" s="247">
        <f>K88/H88*100</f>
        <v>237.66447270452983</v>
      </c>
      <c r="N88" s="242"/>
      <c r="O88" s="242"/>
      <c r="P88" s="245">
        <f t="shared" si="38"/>
        <v>345.4391979637422</v>
      </c>
      <c r="Q88" s="247">
        <f>K88*100/I88</f>
        <v>89.91333231176932</v>
      </c>
      <c r="R88" s="246">
        <f t="shared" si="36"/>
        <v>71.34353711087668</v>
      </c>
    </row>
    <row r="89" spans="1:18" ht="12.75">
      <c r="A89" s="69" t="s">
        <v>210</v>
      </c>
      <c r="B89" s="69"/>
      <c r="C89" s="110" t="s">
        <v>211</v>
      </c>
      <c r="D89" s="244">
        <f>F89+G89+H89+J89</f>
        <v>105</v>
      </c>
      <c r="E89" s="244">
        <f>F89+G89</f>
        <v>105</v>
      </c>
      <c r="F89" s="264">
        <v>5</v>
      </c>
      <c r="G89" s="264">
        <v>100</v>
      </c>
      <c r="H89" s="245"/>
      <c r="I89" s="245">
        <f t="shared" si="40"/>
        <v>105</v>
      </c>
      <c r="J89" s="245"/>
      <c r="K89" s="246">
        <v>114.5</v>
      </c>
      <c r="L89" s="247" t="e">
        <f>K89/#REF!*100</f>
        <v>#REF!</v>
      </c>
      <c r="M89" s="247"/>
      <c r="N89" s="242"/>
      <c r="O89" s="242"/>
      <c r="P89" s="245" t="e">
        <f t="shared" si="38"/>
        <v>#DIV/0!</v>
      </c>
      <c r="Q89" s="247">
        <f>K89*100/I89</f>
        <v>109.04761904761905</v>
      </c>
      <c r="R89" s="246">
        <f>K89*100/D89</f>
        <v>109.04761904761905</v>
      </c>
    </row>
    <row r="90" spans="1:18" ht="12.75">
      <c r="A90" s="74"/>
      <c r="B90" s="75"/>
      <c r="C90" s="76" t="s">
        <v>216</v>
      </c>
      <c r="D90" s="243">
        <f aca="true" t="shared" si="43" ref="D90:K90">D87+D76</f>
        <v>83422.5</v>
      </c>
      <c r="E90" s="243">
        <f t="shared" si="43"/>
        <v>39566.1</v>
      </c>
      <c r="F90" s="243">
        <f t="shared" si="43"/>
        <v>16721.3</v>
      </c>
      <c r="G90" s="243">
        <f t="shared" si="43"/>
        <v>22844.8</v>
      </c>
      <c r="H90" s="243">
        <f t="shared" si="43"/>
        <v>25619.600000000002</v>
      </c>
      <c r="I90" s="243">
        <f t="shared" si="43"/>
        <v>65185.7</v>
      </c>
      <c r="J90" s="243">
        <f t="shared" si="43"/>
        <v>18236.8</v>
      </c>
      <c r="K90" s="243">
        <f t="shared" si="43"/>
        <v>58080.100000000006</v>
      </c>
      <c r="L90" s="241" t="e">
        <f>K90/#REF!*100</f>
        <v>#REF!</v>
      </c>
      <c r="M90" s="241">
        <f>K90/H90*100</f>
        <v>226.70182204249875</v>
      </c>
      <c r="N90" s="242"/>
      <c r="O90" s="252" t="e">
        <f>J90+#REF!+#REF!</f>
        <v>#REF!</v>
      </c>
      <c r="P90" s="249">
        <f t="shared" si="38"/>
        <v>318.4774741182664</v>
      </c>
      <c r="Q90" s="241">
        <f>K90*100/I90</f>
        <v>89.09944972593684</v>
      </c>
      <c r="R90" s="243">
        <f t="shared" si="36"/>
        <v>69.62162486139832</v>
      </c>
    </row>
    <row r="91" spans="1:18" ht="12.75">
      <c r="A91" s="198"/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200"/>
      <c r="N91" s="102"/>
      <c r="O91" s="102"/>
      <c r="P91" s="111"/>
      <c r="Q91" s="101"/>
      <c r="R91" s="77"/>
    </row>
    <row r="92" spans="1:18" ht="12.75">
      <c r="A92" s="203" t="s">
        <v>221</v>
      </c>
      <c r="B92" s="203"/>
      <c r="C92" s="203"/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101"/>
      <c r="R92" s="77"/>
    </row>
    <row r="93" spans="1:18" ht="12.75">
      <c r="A93" s="99" t="s">
        <v>178</v>
      </c>
      <c r="B93" s="99"/>
      <c r="C93" s="100" t="s">
        <v>179</v>
      </c>
      <c r="D93" s="241">
        <f aca="true" t="shared" si="44" ref="D93:K93">D94+D95+D99+D96+D97+D100+D98</f>
        <v>2449.5</v>
      </c>
      <c r="E93" s="241">
        <f t="shared" si="44"/>
        <v>1209.8</v>
      </c>
      <c r="F93" s="241">
        <f t="shared" si="44"/>
        <v>599.3</v>
      </c>
      <c r="G93" s="241">
        <f t="shared" si="44"/>
        <v>610.5000000000001</v>
      </c>
      <c r="H93" s="241">
        <f t="shared" si="44"/>
        <v>632.5000000000001</v>
      </c>
      <c r="I93" s="241">
        <f t="shared" si="44"/>
        <v>1842.3000000000002</v>
      </c>
      <c r="J93" s="241">
        <f t="shared" si="44"/>
        <v>607.2</v>
      </c>
      <c r="K93" s="241">
        <f t="shared" si="44"/>
        <v>2257.3</v>
      </c>
      <c r="L93" s="241" t="e">
        <f>K93/#REF!*100</f>
        <v>#REF!</v>
      </c>
      <c r="M93" s="241">
        <f>K93/H93*100</f>
        <v>356.8853754940711</v>
      </c>
      <c r="N93" s="242"/>
      <c r="O93" s="242"/>
      <c r="P93" s="241">
        <f t="shared" si="38"/>
        <v>371.7555994729908</v>
      </c>
      <c r="Q93" s="241">
        <f aca="true" t="shared" si="45" ref="Q93:Q99">K93*100/I93</f>
        <v>122.52619008847637</v>
      </c>
      <c r="R93" s="243">
        <f t="shared" si="36"/>
        <v>92.15350071443153</v>
      </c>
    </row>
    <row r="94" spans="1:18" ht="12.75">
      <c r="A94" s="74" t="s">
        <v>180</v>
      </c>
      <c r="B94" s="74"/>
      <c r="C94" s="103" t="s">
        <v>181</v>
      </c>
      <c r="D94" s="244">
        <f>F94+G94+H94+J94</f>
        <v>2278.5</v>
      </c>
      <c r="E94" s="244">
        <f aca="true" t="shared" si="46" ref="E94:E103">F94+G94</f>
        <v>1139.2</v>
      </c>
      <c r="F94" s="257">
        <v>569.6</v>
      </c>
      <c r="G94" s="257">
        <v>569.6</v>
      </c>
      <c r="H94" s="245">
        <v>569.6</v>
      </c>
      <c r="I94" s="245">
        <f>E94+H94</f>
        <v>1708.8000000000002</v>
      </c>
      <c r="J94" s="246">
        <v>569.7</v>
      </c>
      <c r="K94" s="246">
        <v>2118.2</v>
      </c>
      <c r="L94" s="247"/>
      <c r="M94" s="247">
        <f>K94/H94*100</f>
        <v>371.87499999999994</v>
      </c>
      <c r="N94" s="252"/>
      <c r="O94" s="242"/>
      <c r="P94" s="245">
        <f t="shared" si="38"/>
        <v>371.8097244163594</v>
      </c>
      <c r="Q94" s="247">
        <f t="shared" si="45"/>
        <v>123.9583333333333</v>
      </c>
      <c r="R94" s="246">
        <f t="shared" si="36"/>
        <v>92.96466973886328</v>
      </c>
    </row>
    <row r="95" spans="1:18" ht="12.75">
      <c r="A95" s="67" t="s">
        <v>184</v>
      </c>
      <c r="B95" s="67"/>
      <c r="C95" s="103" t="s">
        <v>185</v>
      </c>
      <c r="D95" s="244">
        <f aca="true" t="shared" si="47" ref="D95:D103">F95+G95+H95+J95</f>
        <v>50</v>
      </c>
      <c r="E95" s="244">
        <f t="shared" si="46"/>
        <v>25.5</v>
      </c>
      <c r="F95" s="257">
        <v>12.8</v>
      </c>
      <c r="G95" s="257">
        <v>12.7</v>
      </c>
      <c r="H95" s="245">
        <v>12.7</v>
      </c>
      <c r="I95" s="245">
        <f aca="true" t="shared" si="48" ref="I95:I102">E95+H95</f>
        <v>38.2</v>
      </c>
      <c r="J95" s="246">
        <v>11.8</v>
      </c>
      <c r="K95" s="246">
        <v>11.9</v>
      </c>
      <c r="L95" s="247"/>
      <c r="M95" s="247">
        <f aca="true" t="shared" si="49" ref="M95:M102">K95/H95*100</f>
        <v>93.70078740157481</v>
      </c>
      <c r="N95" s="252"/>
      <c r="O95" s="242"/>
      <c r="P95" s="245">
        <f t="shared" si="38"/>
        <v>100.84745762711864</v>
      </c>
      <c r="Q95" s="247">
        <f t="shared" si="45"/>
        <v>31.151832460732983</v>
      </c>
      <c r="R95" s="246">
        <f t="shared" si="36"/>
        <v>23.8</v>
      </c>
    </row>
    <row r="96" spans="1:18" ht="12.75">
      <c r="A96" s="67" t="s">
        <v>186</v>
      </c>
      <c r="B96" s="67"/>
      <c r="C96" s="103" t="s">
        <v>187</v>
      </c>
      <c r="D96" s="244">
        <f t="shared" si="47"/>
        <v>10</v>
      </c>
      <c r="E96" s="244">
        <f t="shared" si="46"/>
        <v>4</v>
      </c>
      <c r="F96" s="257">
        <v>1</v>
      </c>
      <c r="G96" s="257">
        <v>3</v>
      </c>
      <c r="H96" s="245">
        <v>3</v>
      </c>
      <c r="I96" s="245">
        <f t="shared" si="48"/>
        <v>7</v>
      </c>
      <c r="J96" s="246">
        <v>3</v>
      </c>
      <c r="K96" s="246"/>
      <c r="L96" s="247"/>
      <c r="M96" s="247">
        <f t="shared" si="49"/>
        <v>0</v>
      </c>
      <c r="N96" s="242"/>
      <c r="O96" s="242"/>
      <c r="P96" s="245">
        <f t="shared" si="38"/>
        <v>0</v>
      </c>
      <c r="Q96" s="247">
        <f t="shared" si="45"/>
        <v>0</v>
      </c>
      <c r="R96" s="246">
        <f t="shared" si="36"/>
        <v>0</v>
      </c>
    </row>
    <row r="97" spans="1:18" ht="24">
      <c r="A97" s="68" t="s">
        <v>190</v>
      </c>
      <c r="B97" s="68"/>
      <c r="C97" s="103" t="s">
        <v>191</v>
      </c>
      <c r="D97" s="244">
        <f t="shared" si="47"/>
        <v>77</v>
      </c>
      <c r="E97" s="244">
        <f t="shared" si="46"/>
        <v>25</v>
      </c>
      <c r="F97" s="257">
        <v>10</v>
      </c>
      <c r="G97" s="257">
        <v>15</v>
      </c>
      <c r="H97" s="245">
        <f>15+22</f>
        <v>37</v>
      </c>
      <c r="I97" s="245">
        <f t="shared" si="48"/>
        <v>62</v>
      </c>
      <c r="J97" s="246">
        <v>15</v>
      </c>
      <c r="K97" s="246">
        <v>74</v>
      </c>
      <c r="L97" s="247"/>
      <c r="M97" s="247">
        <f t="shared" si="49"/>
        <v>200</v>
      </c>
      <c r="N97" s="242"/>
      <c r="O97" s="242"/>
      <c r="P97" s="245">
        <f t="shared" si="38"/>
        <v>493.3333333333333</v>
      </c>
      <c r="Q97" s="247">
        <f t="shared" si="45"/>
        <v>119.35483870967742</v>
      </c>
      <c r="R97" s="246">
        <f t="shared" si="36"/>
        <v>96.1038961038961</v>
      </c>
    </row>
    <row r="98" spans="1:18" ht="24">
      <c r="A98" s="105" t="s">
        <v>194</v>
      </c>
      <c r="B98" s="105"/>
      <c r="C98" s="103" t="s">
        <v>195</v>
      </c>
      <c r="D98" s="244">
        <f t="shared" si="47"/>
        <v>25</v>
      </c>
      <c r="E98" s="244">
        <f t="shared" si="46"/>
        <v>12.5</v>
      </c>
      <c r="F98" s="257">
        <v>5</v>
      </c>
      <c r="G98" s="257">
        <v>7.5</v>
      </c>
      <c r="H98" s="245">
        <v>7.5</v>
      </c>
      <c r="I98" s="245">
        <f t="shared" si="48"/>
        <v>20</v>
      </c>
      <c r="J98" s="246">
        <v>5</v>
      </c>
      <c r="K98" s="246">
        <v>12.3</v>
      </c>
      <c r="L98" s="247"/>
      <c r="M98" s="247">
        <f t="shared" si="49"/>
        <v>164</v>
      </c>
      <c r="N98" s="242"/>
      <c r="O98" s="242"/>
      <c r="P98" s="245">
        <f t="shared" si="38"/>
        <v>246</v>
      </c>
      <c r="Q98" s="247">
        <f t="shared" si="45"/>
        <v>61.5</v>
      </c>
      <c r="R98" s="246">
        <f t="shared" si="36"/>
        <v>49.2</v>
      </c>
    </row>
    <row r="99" spans="1:18" ht="24">
      <c r="A99" s="105" t="s">
        <v>196</v>
      </c>
      <c r="B99" s="105"/>
      <c r="C99" s="103" t="s">
        <v>197</v>
      </c>
      <c r="D99" s="244">
        <f t="shared" si="47"/>
        <v>9</v>
      </c>
      <c r="E99" s="244">
        <f t="shared" si="46"/>
        <v>3.6</v>
      </c>
      <c r="F99" s="257">
        <v>0.9</v>
      </c>
      <c r="G99" s="257">
        <v>2.7</v>
      </c>
      <c r="H99" s="245">
        <v>2.7</v>
      </c>
      <c r="I99" s="245">
        <f t="shared" si="48"/>
        <v>6.300000000000001</v>
      </c>
      <c r="J99" s="246">
        <v>2.7</v>
      </c>
      <c r="K99" s="246">
        <v>16.6</v>
      </c>
      <c r="L99" s="247"/>
      <c r="M99" s="247">
        <f t="shared" si="49"/>
        <v>614.8148148148148</v>
      </c>
      <c r="N99" s="242"/>
      <c r="O99" s="242"/>
      <c r="P99" s="245">
        <f t="shared" si="38"/>
        <v>614.8148148148149</v>
      </c>
      <c r="Q99" s="247">
        <f t="shared" si="45"/>
        <v>263.4920634920635</v>
      </c>
      <c r="R99" s="246">
        <f t="shared" si="36"/>
        <v>184.44444444444446</v>
      </c>
    </row>
    <row r="100" spans="1:18" ht="12.75">
      <c r="A100" s="105" t="s">
        <v>202</v>
      </c>
      <c r="B100" s="120"/>
      <c r="C100" s="71" t="s">
        <v>203</v>
      </c>
      <c r="D100" s="244">
        <f t="shared" si="47"/>
        <v>0</v>
      </c>
      <c r="E100" s="244">
        <f t="shared" si="46"/>
        <v>0</v>
      </c>
      <c r="F100" s="265"/>
      <c r="G100" s="265"/>
      <c r="H100" s="245"/>
      <c r="I100" s="245"/>
      <c r="J100" s="246"/>
      <c r="K100" s="246">
        <v>24.3</v>
      </c>
      <c r="L100" s="241"/>
      <c r="M100" s="247" t="e">
        <f t="shared" si="49"/>
        <v>#DIV/0!</v>
      </c>
      <c r="N100" s="242"/>
      <c r="O100" s="242"/>
      <c r="P100" s="245" t="e">
        <f t="shared" si="38"/>
        <v>#DIV/0!</v>
      </c>
      <c r="Q100" s="241"/>
      <c r="R100" s="243"/>
    </row>
    <row r="101" spans="1:18" ht="12.75">
      <c r="A101" s="116" t="s">
        <v>206</v>
      </c>
      <c r="B101" s="116"/>
      <c r="C101" s="108" t="s">
        <v>207</v>
      </c>
      <c r="D101" s="248">
        <f aca="true" t="shared" si="50" ref="D101:L101">D102+D103</f>
        <v>23722.2</v>
      </c>
      <c r="E101" s="248">
        <f t="shared" si="50"/>
        <v>12398.8</v>
      </c>
      <c r="F101" s="248">
        <f t="shared" si="50"/>
        <v>6080.5</v>
      </c>
      <c r="G101" s="248">
        <f t="shared" si="50"/>
        <v>6318.3</v>
      </c>
      <c r="H101" s="248">
        <f t="shared" si="50"/>
        <v>5725.7</v>
      </c>
      <c r="I101" s="248">
        <f t="shared" si="50"/>
        <v>18124.5</v>
      </c>
      <c r="J101" s="248">
        <f t="shared" si="50"/>
        <v>5597.7</v>
      </c>
      <c r="K101" s="248">
        <f t="shared" si="50"/>
        <v>17683.1</v>
      </c>
      <c r="L101" s="248">
        <f t="shared" si="50"/>
        <v>0</v>
      </c>
      <c r="M101" s="241">
        <f>K101/H101*100</f>
        <v>308.83734739857135</v>
      </c>
      <c r="N101" s="242"/>
      <c r="O101" s="242"/>
      <c r="P101" s="249">
        <f t="shared" si="38"/>
        <v>315.8993872483341</v>
      </c>
      <c r="Q101" s="241">
        <f>K101*100/I101</f>
        <v>97.56462247234406</v>
      </c>
      <c r="R101" s="243">
        <f t="shared" si="36"/>
        <v>74.54241174933183</v>
      </c>
    </row>
    <row r="102" spans="1:18" ht="24">
      <c r="A102" s="69" t="s">
        <v>208</v>
      </c>
      <c r="B102" s="67"/>
      <c r="C102" s="109" t="s">
        <v>209</v>
      </c>
      <c r="D102" s="244">
        <f t="shared" si="47"/>
        <v>23722.2</v>
      </c>
      <c r="E102" s="244">
        <f t="shared" si="46"/>
        <v>12398.8</v>
      </c>
      <c r="F102" s="257">
        <f>5480.9+599.6</f>
        <v>6080.5</v>
      </c>
      <c r="G102" s="257">
        <f>5676.8+129.3+13.8+498.4</f>
        <v>6318.3</v>
      </c>
      <c r="H102" s="245">
        <f>5676.8+48.9</f>
        <v>5725.7</v>
      </c>
      <c r="I102" s="245">
        <f t="shared" si="48"/>
        <v>18124.5</v>
      </c>
      <c r="J102" s="246">
        <f>5480.9+116.8</f>
        <v>5597.7</v>
      </c>
      <c r="K102" s="246">
        <v>17683.1</v>
      </c>
      <c r="L102" s="247"/>
      <c r="M102" s="247">
        <f t="shared" si="49"/>
        <v>308.83734739857135</v>
      </c>
      <c r="N102" s="242"/>
      <c r="O102" s="242"/>
      <c r="P102" s="245">
        <f t="shared" si="38"/>
        <v>315.8993872483341</v>
      </c>
      <c r="Q102" s="247">
        <f>K102*100/I102</f>
        <v>97.56462247234406</v>
      </c>
      <c r="R102" s="246">
        <f t="shared" si="36"/>
        <v>74.54241174933183</v>
      </c>
    </row>
    <row r="103" spans="1:18" ht="12.75">
      <c r="A103" s="69" t="s">
        <v>210</v>
      </c>
      <c r="B103" s="69"/>
      <c r="C103" s="110" t="s">
        <v>211</v>
      </c>
      <c r="D103" s="244">
        <f t="shared" si="47"/>
        <v>0</v>
      </c>
      <c r="E103" s="244">
        <f t="shared" si="46"/>
        <v>0</v>
      </c>
      <c r="F103" s="264"/>
      <c r="G103" s="264"/>
      <c r="H103" s="245"/>
      <c r="I103" s="245"/>
      <c r="J103" s="246"/>
      <c r="K103" s="246"/>
      <c r="L103" s="247"/>
      <c r="M103" s="247"/>
      <c r="N103" s="242"/>
      <c r="O103" s="242"/>
      <c r="P103" s="245" t="e">
        <f t="shared" si="38"/>
        <v>#DIV/0!</v>
      </c>
      <c r="Q103" s="241"/>
      <c r="R103" s="243"/>
    </row>
    <row r="104" spans="1:18" ht="12.75">
      <c r="A104" s="74"/>
      <c r="B104" s="75"/>
      <c r="C104" s="76" t="s">
        <v>216</v>
      </c>
      <c r="D104" s="243">
        <f aca="true" t="shared" si="51" ref="D104:L104">D101+D93</f>
        <v>26171.7</v>
      </c>
      <c r="E104" s="249">
        <f t="shared" si="51"/>
        <v>13608.599999999999</v>
      </c>
      <c r="F104" s="249">
        <f t="shared" si="51"/>
        <v>6679.8</v>
      </c>
      <c r="G104" s="249">
        <f>G101+G93</f>
        <v>6928.8</v>
      </c>
      <c r="H104" s="243">
        <f t="shared" si="51"/>
        <v>6358.2</v>
      </c>
      <c r="I104" s="243">
        <f t="shared" si="51"/>
        <v>19966.8</v>
      </c>
      <c r="J104" s="243">
        <f t="shared" si="51"/>
        <v>6204.9</v>
      </c>
      <c r="K104" s="243">
        <f t="shared" si="51"/>
        <v>19940.399999999998</v>
      </c>
      <c r="L104" s="243" t="e">
        <f t="shared" si="51"/>
        <v>#REF!</v>
      </c>
      <c r="M104" s="241">
        <f>K104/H104*100</f>
        <v>313.61706143248085</v>
      </c>
      <c r="N104" s="242"/>
      <c r="O104" s="252" t="e">
        <f>J104+#REF!+#REF!</f>
        <v>#REF!</v>
      </c>
      <c r="P104" s="249">
        <f t="shared" si="38"/>
        <v>321.3653725281632</v>
      </c>
      <c r="Q104" s="241">
        <f>K104*100/I104</f>
        <v>99.86778051565598</v>
      </c>
      <c r="R104" s="243">
        <f t="shared" si="36"/>
        <v>76.1906945288231</v>
      </c>
    </row>
    <row r="105" spans="1:18" ht="12.75">
      <c r="A105" s="198"/>
      <c r="B105" s="199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200"/>
      <c r="N105" s="102"/>
      <c r="O105" s="102"/>
      <c r="P105" s="111"/>
      <c r="Q105" s="101"/>
      <c r="R105" s="77"/>
    </row>
    <row r="106" spans="1:18" ht="12.75">
      <c r="A106" s="203" t="s">
        <v>222</v>
      </c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O106" s="203"/>
      <c r="P106" s="203"/>
      <c r="Q106" s="101"/>
      <c r="R106" s="77"/>
    </row>
    <row r="107" spans="1:18" ht="12.75">
      <c r="A107" s="99" t="s">
        <v>178</v>
      </c>
      <c r="B107" s="99"/>
      <c r="C107" s="100" t="s">
        <v>179</v>
      </c>
      <c r="D107" s="241">
        <f>D108+D110+D114+D111+D112+D115+D113+D116+D109</f>
        <v>1418.9</v>
      </c>
      <c r="E107" s="241">
        <f aca="true" t="shared" si="52" ref="E107:K107">E108+E110+E114+E111+E112+E115+E113+E116+E109</f>
        <v>594.2</v>
      </c>
      <c r="F107" s="241">
        <f t="shared" si="52"/>
        <v>196.2</v>
      </c>
      <c r="G107" s="241">
        <f t="shared" si="52"/>
        <v>398</v>
      </c>
      <c r="H107" s="241">
        <f t="shared" si="52"/>
        <v>399.20000000000005</v>
      </c>
      <c r="I107" s="241">
        <f t="shared" si="52"/>
        <v>993.4000000000001</v>
      </c>
      <c r="J107" s="241">
        <f t="shared" si="52"/>
        <v>425.5</v>
      </c>
      <c r="K107" s="241">
        <f t="shared" si="52"/>
        <v>1205.5</v>
      </c>
      <c r="L107" s="241" t="e">
        <f>K107/#REF!*100</f>
        <v>#REF!</v>
      </c>
      <c r="M107" s="241">
        <f aca="true" t="shared" si="53" ref="M107:M114">K107/H107*100</f>
        <v>301.97895791583164</v>
      </c>
      <c r="N107" s="242"/>
      <c r="O107" s="242"/>
      <c r="P107" s="241">
        <f t="shared" si="38"/>
        <v>283.3137485311398</v>
      </c>
      <c r="Q107" s="241">
        <f>K107*100/I107</f>
        <v>121.35091604590295</v>
      </c>
      <c r="R107" s="243">
        <f t="shared" si="36"/>
        <v>84.96018042145323</v>
      </c>
    </row>
    <row r="108" spans="1:18" ht="12.75">
      <c r="A108" s="74" t="s">
        <v>180</v>
      </c>
      <c r="B108" s="74"/>
      <c r="C108" s="103" t="s">
        <v>181</v>
      </c>
      <c r="D108" s="244">
        <f>F108+G108+H108+J108</f>
        <v>840</v>
      </c>
      <c r="E108" s="244">
        <f aca="true" t="shared" si="54" ref="E108:E118">F108+G108</f>
        <v>350.2</v>
      </c>
      <c r="F108" s="244">
        <v>127.6</v>
      </c>
      <c r="G108" s="244">
        <v>222.6</v>
      </c>
      <c r="H108" s="246">
        <v>198.2</v>
      </c>
      <c r="I108" s="246">
        <f>H108+E108</f>
        <v>548.4</v>
      </c>
      <c r="J108" s="246">
        <v>291.6</v>
      </c>
      <c r="K108" s="246">
        <v>708.8</v>
      </c>
      <c r="L108" s="247" t="e">
        <f>K108/#REF!*100</f>
        <v>#REF!</v>
      </c>
      <c r="M108" s="247">
        <f t="shared" si="53"/>
        <v>357.6185671039354</v>
      </c>
      <c r="N108" s="242"/>
      <c r="O108" s="242"/>
      <c r="P108" s="245">
        <f t="shared" si="38"/>
        <v>243.07270233196158</v>
      </c>
      <c r="Q108" s="247">
        <f>K108*100/I108</f>
        <v>129.24872355944566</v>
      </c>
      <c r="R108" s="246">
        <f t="shared" si="36"/>
        <v>84.38095238095238</v>
      </c>
    </row>
    <row r="109" spans="1:18" ht="12.75">
      <c r="A109" s="67" t="s">
        <v>182</v>
      </c>
      <c r="B109" s="67"/>
      <c r="C109" s="103" t="s">
        <v>183</v>
      </c>
      <c r="D109" s="244">
        <f>F109+G109+H109+J109</f>
        <v>0</v>
      </c>
      <c r="E109" s="244">
        <f t="shared" si="54"/>
        <v>0</v>
      </c>
      <c r="F109" s="244"/>
      <c r="G109" s="244"/>
      <c r="H109" s="246"/>
      <c r="I109" s="246">
        <f aca="true" t="shared" si="55" ref="I109:I115">H109+E109</f>
        <v>0</v>
      </c>
      <c r="J109" s="246"/>
      <c r="K109" s="246"/>
      <c r="L109" s="247"/>
      <c r="M109" s="247"/>
      <c r="N109" s="242"/>
      <c r="O109" s="242"/>
      <c r="P109" s="245"/>
      <c r="Q109" s="247"/>
      <c r="R109" s="246"/>
    </row>
    <row r="110" spans="1:18" ht="12.75">
      <c r="A110" s="67" t="s">
        <v>184</v>
      </c>
      <c r="B110" s="67"/>
      <c r="C110" s="103" t="s">
        <v>185</v>
      </c>
      <c r="D110" s="244">
        <f aca="true" t="shared" si="56" ref="D110:D118">F110+G110+H110+J110</f>
        <v>55</v>
      </c>
      <c r="E110" s="244">
        <f t="shared" si="54"/>
        <v>21.3</v>
      </c>
      <c r="F110" s="244">
        <v>7.8</v>
      </c>
      <c r="G110" s="244">
        <v>13.5</v>
      </c>
      <c r="H110" s="246">
        <v>19.8</v>
      </c>
      <c r="I110" s="246">
        <f t="shared" si="55"/>
        <v>41.1</v>
      </c>
      <c r="J110" s="246">
        <v>13.9</v>
      </c>
      <c r="K110" s="246">
        <v>13.3</v>
      </c>
      <c r="L110" s="247" t="e">
        <f>K110/#REF!*100</f>
        <v>#REF!</v>
      </c>
      <c r="M110" s="247">
        <f t="shared" si="53"/>
        <v>67.17171717171718</v>
      </c>
      <c r="N110" s="242"/>
      <c r="O110" s="242"/>
      <c r="P110" s="245">
        <f t="shared" si="38"/>
        <v>95.68345323741006</v>
      </c>
      <c r="Q110" s="247">
        <f aca="true" t="shared" si="57" ref="Q110:Q115">K110*100/I110</f>
        <v>32.360097323600975</v>
      </c>
      <c r="R110" s="246">
        <f t="shared" si="36"/>
        <v>24.181818181818183</v>
      </c>
    </row>
    <row r="111" spans="1:18" ht="12.75">
      <c r="A111" s="67" t="s">
        <v>186</v>
      </c>
      <c r="B111" s="67"/>
      <c r="C111" s="103" t="s">
        <v>187</v>
      </c>
      <c r="D111" s="244">
        <f t="shared" si="56"/>
        <v>31</v>
      </c>
      <c r="E111" s="244">
        <f t="shared" si="54"/>
        <v>7.699999999999999</v>
      </c>
      <c r="F111" s="244">
        <v>5.6</v>
      </c>
      <c r="G111" s="244">
        <v>2.1</v>
      </c>
      <c r="H111" s="246">
        <v>12.4</v>
      </c>
      <c r="I111" s="246">
        <f t="shared" si="55"/>
        <v>20.1</v>
      </c>
      <c r="J111" s="246">
        <v>10.9</v>
      </c>
      <c r="K111" s="246">
        <v>45.7</v>
      </c>
      <c r="L111" s="247" t="e">
        <f>K111/#REF!*100</f>
        <v>#REF!</v>
      </c>
      <c r="M111" s="247">
        <f t="shared" si="53"/>
        <v>368.5483870967742</v>
      </c>
      <c r="N111" s="242"/>
      <c r="O111" s="242"/>
      <c r="P111" s="245">
        <f t="shared" si="38"/>
        <v>419.26605504587155</v>
      </c>
      <c r="Q111" s="247">
        <f t="shared" si="57"/>
        <v>227.36318407960198</v>
      </c>
      <c r="R111" s="246">
        <f t="shared" si="36"/>
        <v>147.41935483870967</v>
      </c>
    </row>
    <row r="112" spans="1:18" ht="24">
      <c r="A112" s="68" t="s">
        <v>190</v>
      </c>
      <c r="B112" s="68"/>
      <c r="C112" s="103" t="s">
        <v>191</v>
      </c>
      <c r="D112" s="244">
        <f t="shared" si="56"/>
        <v>375.4</v>
      </c>
      <c r="E112" s="244">
        <f t="shared" si="54"/>
        <v>152.5</v>
      </c>
      <c r="F112" s="244">
        <v>32.7</v>
      </c>
      <c r="G112" s="244">
        <v>119.8</v>
      </c>
      <c r="H112" s="246">
        <v>136.3</v>
      </c>
      <c r="I112" s="246">
        <f t="shared" si="55"/>
        <v>288.8</v>
      </c>
      <c r="J112" s="246">
        <v>86.6</v>
      </c>
      <c r="K112" s="246">
        <v>422.4</v>
      </c>
      <c r="L112" s="247" t="e">
        <f>K112/#REF!*100</f>
        <v>#REF!</v>
      </c>
      <c r="M112" s="247">
        <f t="shared" si="53"/>
        <v>309.9046221570066</v>
      </c>
      <c r="N112" s="242"/>
      <c r="O112" s="242"/>
      <c r="P112" s="245">
        <f t="shared" si="38"/>
        <v>487.75981524249426</v>
      </c>
      <c r="Q112" s="247">
        <f t="shared" si="57"/>
        <v>146.26038781163433</v>
      </c>
      <c r="R112" s="246">
        <f t="shared" si="36"/>
        <v>112.51997868939799</v>
      </c>
    </row>
    <row r="113" spans="1:18" ht="24">
      <c r="A113" s="105" t="s">
        <v>194</v>
      </c>
      <c r="B113" s="105"/>
      <c r="C113" s="103" t="s">
        <v>195</v>
      </c>
      <c r="D113" s="244">
        <f t="shared" si="56"/>
        <v>90</v>
      </c>
      <c r="E113" s="244">
        <f t="shared" si="54"/>
        <v>45</v>
      </c>
      <c r="F113" s="244">
        <v>22.5</v>
      </c>
      <c r="G113" s="244">
        <v>22.5</v>
      </c>
      <c r="H113" s="246">
        <v>22.5</v>
      </c>
      <c r="I113" s="246">
        <f t="shared" si="55"/>
        <v>67.5</v>
      </c>
      <c r="J113" s="246">
        <v>22.5</v>
      </c>
      <c r="K113" s="246">
        <v>10.5</v>
      </c>
      <c r="L113" s="247" t="e">
        <f>K113/#REF!*100</f>
        <v>#REF!</v>
      </c>
      <c r="M113" s="247">
        <f t="shared" si="53"/>
        <v>46.666666666666664</v>
      </c>
      <c r="N113" s="242"/>
      <c r="O113" s="242"/>
      <c r="P113" s="245">
        <f t="shared" si="38"/>
        <v>46.666666666666664</v>
      </c>
      <c r="Q113" s="247">
        <f t="shared" si="57"/>
        <v>15.555555555555555</v>
      </c>
      <c r="R113" s="246">
        <f t="shared" si="36"/>
        <v>11.666666666666666</v>
      </c>
    </row>
    <row r="114" spans="1:18" ht="24">
      <c r="A114" s="104" t="s">
        <v>196</v>
      </c>
      <c r="B114" s="104"/>
      <c r="C114" s="103" t="s">
        <v>197</v>
      </c>
      <c r="D114" s="244">
        <f t="shared" si="56"/>
        <v>27.5</v>
      </c>
      <c r="E114" s="244">
        <f t="shared" si="54"/>
        <v>17.5</v>
      </c>
      <c r="F114" s="244"/>
      <c r="G114" s="244">
        <v>17.5</v>
      </c>
      <c r="H114" s="246">
        <v>10</v>
      </c>
      <c r="I114" s="246">
        <f t="shared" si="55"/>
        <v>27.5</v>
      </c>
      <c r="J114" s="246"/>
      <c r="K114" s="246">
        <v>4.3</v>
      </c>
      <c r="L114" s="247" t="e">
        <f>K114/#REF!*100</f>
        <v>#REF!</v>
      </c>
      <c r="M114" s="247">
        <f t="shared" si="53"/>
        <v>43</v>
      </c>
      <c r="N114" s="242"/>
      <c r="O114" s="242"/>
      <c r="P114" s="245" t="e">
        <f t="shared" si="38"/>
        <v>#DIV/0!</v>
      </c>
      <c r="Q114" s="247">
        <f t="shared" si="57"/>
        <v>15.636363636363637</v>
      </c>
      <c r="R114" s="246">
        <f t="shared" si="36"/>
        <v>15.636363636363637</v>
      </c>
    </row>
    <row r="115" spans="1:18" ht="12.75">
      <c r="A115" s="74" t="s">
        <v>200</v>
      </c>
      <c r="B115" s="74"/>
      <c r="C115" s="103" t="s">
        <v>201</v>
      </c>
      <c r="D115" s="244">
        <f t="shared" si="56"/>
        <v>0</v>
      </c>
      <c r="E115" s="244">
        <f t="shared" si="54"/>
        <v>0</v>
      </c>
      <c r="F115" s="244"/>
      <c r="G115" s="244"/>
      <c r="H115" s="246"/>
      <c r="I115" s="246">
        <f t="shared" si="55"/>
        <v>0</v>
      </c>
      <c r="J115" s="246"/>
      <c r="K115" s="246"/>
      <c r="L115" s="247"/>
      <c r="M115" s="247"/>
      <c r="N115" s="242"/>
      <c r="O115" s="242"/>
      <c r="P115" s="245" t="e">
        <f t="shared" si="38"/>
        <v>#DIV/0!</v>
      </c>
      <c r="Q115" s="247" t="e">
        <f t="shared" si="57"/>
        <v>#DIV/0!</v>
      </c>
      <c r="R115" s="243" t="e">
        <f t="shared" si="36"/>
        <v>#DIV/0!</v>
      </c>
    </row>
    <row r="116" spans="1:18" ht="12.75">
      <c r="A116" s="104" t="s">
        <v>202</v>
      </c>
      <c r="B116" s="120"/>
      <c r="C116" s="71" t="s">
        <v>203</v>
      </c>
      <c r="D116" s="244">
        <f t="shared" si="56"/>
        <v>0</v>
      </c>
      <c r="E116" s="244">
        <f t="shared" si="54"/>
        <v>0</v>
      </c>
      <c r="F116" s="244"/>
      <c r="G116" s="244"/>
      <c r="H116" s="246"/>
      <c r="I116" s="246"/>
      <c r="J116" s="246"/>
      <c r="K116" s="246">
        <v>0.5</v>
      </c>
      <c r="L116" s="247"/>
      <c r="M116" s="247"/>
      <c r="N116" s="242"/>
      <c r="O116" s="242"/>
      <c r="P116" s="245" t="e">
        <f t="shared" si="38"/>
        <v>#DIV/0!</v>
      </c>
      <c r="Q116" s="247"/>
      <c r="R116" s="243"/>
    </row>
    <row r="117" spans="1:18" ht="12.75">
      <c r="A117" s="99" t="s">
        <v>206</v>
      </c>
      <c r="B117" s="99"/>
      <c r="C117" s="108" t="s">
        <v>207</v>
      </c>
      <c r="D117" s="248">
        <f aca="true" t="shared" si="58" ref="D117:L117">D118</f>
        <v>30647.7</v>
      </c>
      <c r="E117" s="266">
        <f t="shared" si="58"/>
        <v>14267.800000000001</v>
      </c>
      <c r="F117" s="266">
        <f t="shared" si="58"/>
        <v>5407.5</v>
      </c>
      <c r="G117" s="266">
        <f t="shared" si="58"/>
        <v>8860.300000000001</v>
      </c>
      <c r="H117" s="266">
        <f t="shared" si="58"/>
        <v>9050.1</v>
      </c>
      <c r="I117" s="266">
        <f t="shared" si="58"/>
        <v>23317.9</v>
      </c>
      <c r="J117" s="248">
        <f t="shared" si="58"/>
        <v>7329.8</v>
      </c>
      <c r="K117" s="248">
        <f t="shared" si="58"/>
        <v>19663.1</v>
      </c>
      <c r="L117" s="248" t="e">
        <f t="shared" si="58"/>
        <v>#REF!</v>
      </c>
      <c r="M117" s="241">
        <f>K117/H117*100</f>
        <v>217.2694224373211</v>
      </c>
      <c r="N117" s="242"/>
      <c r="O117" s="242"/>
      <c r="P117" s="249">
        <f t="shared" si="38"/>
        <v>268.26243553712237</v>
      </c>
      <c r="Q117" s="241">
        <f>K117*100/I117</f>
        <v>84.32620433229405</v>
      </c>
      <c r="R117" s="243">
        <f t="shared" si="36"/>
        <v>64.15848497603407</v>
      </c>
    </row>
    <row r="118" spans="1:18" ht="24">
      <c r="A118" s="69" t="s">
        <v>208</v>
      </c>
      <c r="B118" s="67"/>
      <c r="C118" s="109" t="s">
        <v>209</v>
      </c>
      <c r="D118" s="244">
        <f t="shared" si="56"/>
        <v>30647.7</v>
      </c>
      <c r="E118" s="244">
        <f t="shared" si="54"/>
        <v>14267.800000000001</v>
      </c>
      <c r="F118" s="244">
        <f>5070.3+337.2</f>
        <v>5407.5</v>
      </c>
      <c r="G118" s="244">
        <f>8644.5+20.6+47.7+147.5</f>
        <v>8860.300000000001</v>
      </c>
      <c r="H118" s="246">
        <f>7774.2+813.9+281.1+180.9</f>
        <v>9050.1</v>
      </c>
      <c r="I118" s="246">
        <f>H118+E118</f>
        <v>23317.9</v>
      </c>
      <c r="J118" s="246">
        <v>7329.8</v>
      </c>
      <c r="K118" s="246">
        <v>19663.1</v>
      </c>
      <c r="L118" s="247" t="e">
        <f>K118/#REF!*100</f>
        <v>#REF!</v>
      </c>
      <c r="M118" s="247">
        <f>K118/H118*100</f>
        <v>217.2694224373211</v>
      </c>
      <c r="N118" s="242"/>
      <c r="O118" s="242"/>
      <c r="P118" s="245">
        <f t="shared" si="38"/>
        <v>268.26243553712237</v>
      </c>
      <c r="Q118" s="247">
        <f>K118*100/I118</f>
        <v>84.32620433229405</v>
      </c>
      <c r="R118" s="246">
        <f t="shared" si="36"/>
        <v>64.15848497603407</v>
      </c>
    </row>
    <row r="119" spans="1:18" ht="12.75">
      <c r="A119" s="74"/>
      <c r="B119" s="75"/>
      <c r="C119" s="76" t="s">
        <v>216</v>
      </c>
      <c r="D119" s="243">
        <f aca="true" t="shared" si="59" ref="D119:K119">D117+D107</f>
        <v>32066.600000000002</v>
      </c>
      <c r="E119" s="243">
        <f t="shared" si="59"/>
        <v>14862.000000000002</v>
      </c>
      <c r="F119" s="243">
        <f t="shared" si="59"/>
        <v>5603.7</v>
      </c>
      <c r="G119" s="243">
        <f t="shared" si="59"/>
        <v>9258.300000000001</v>
      </c>
      <c r="H119" s="243">
        <f t="shared" si="59"/>
        <v>9449.300000000001</v>
      </c>
      <c r="I119" s="243">
        <f t="shared" si="59"/>
        <v>24311.300000000003</v>
      </c>
      <c r="J119" s="243">
        <f t="shared" si="59"/>
        <v>7755.3</v>
      </c>
      <c r="K119" s="243">
        <f t="shared" si="59"/>
        <v>20868.6</v>
      </c>
      <c r="L119" s="241" t="e">
        <f>K119/#REF!*100</f>
        <v>#REF!</v>
      </c>
      <c r="M119" s="241">
        <f>K119/H119*100</f>
        <v>220.84810515064603</v>
      </c>
      <c r="N119" s="242"/>
      <c r="O119" s="252" t="e">
        <f>J119+#REF!+#REF!</f>
        <v>#REF!</v>
      </c>
      <c r="P119" s="249">
        <f t="shared" si="38"/>
        <v>269.08823643185946</v>
      </c>
      <c r="Q119" s="241">
        <f>K119*100/I119</f>
        <v>85.83909540008142</v>
      </c>
      <c r="R119" s="243">
        <f t="shared" si="36"/>
        <v>65.07892947802385</v>
      </c>
    </row>
    <row r="120" spans="1:18" ht="12.75">
      <c r="A120" s="198"/>
      <c r="B120" s="199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200"/>
      <c r="N120" s="102"/>
      <c r="O120" s="102"/>
      <c r="P120" s="111"/>
      <c r="Q120" s="101"/>
      <c r="R120" s="77"/>
    </row>
    <row r="121" spans="1:18" ht="12.75">
      <c r="A121" s="203" t="s">
        <v>223</v>
      </c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O121" s="203"/>
      <c r="P121" s="203"/>
      <c r="Q121" s="101"/>
      <c r="R121" s="77"/>
    </row>
    <row r="122" spans="1:18" ht="12.75">
      <c r="A122" s="99" t="s">
        <v>178</v>
      </c>
      <c r="B122" s="99"/>
      <c r="C122" s="100" t="s">
        <v>179</v>
      </c>
      <c r="D122" s="241">
        <f aca="true" t="shared" si="60" ref="D122:K122">D123+D124+D125+D126+D128+D130+D127+D129</f>
        <v>2606.3</v>
      </c>
      <c r="E122" s="241">
        <f t="shared" si="60"/>
        <v>1246.4</v>
      </c>
      <c r="F122" s="241">
        <f t="shared" si="60"/>
        <v>521.2</v>
      </c>
      <c r="G122" s="241">
        <f t="shared" si="60"/>
        <v>725.1999999999999</v>
      </c>
      <c r="H122" s="241">
        <f t="shared" si="60"/>
        <v>766.3</v>
      </c>
      <c r="I122" s="241">
        <f t="shared" si="60"/>
        <v>2012.6999999999996</v>
      </c>
      <c r="J122" s="241">
        <f t="shared" si="60"/>
        <v>593.5999999999999</v>
      </c>
      <c r="K122" s="241">
        <f t="shared" si="60"/>
        <v>1795.5</v>
      </c>
      <c r="L122" s="241" t="e">
        <f>K122/#REF!*100</f>
        <v>#REF!</v>
      </c>
      <c r="M122" s="241">
        <f aca="true" t="shared" si="61" ref="M122:M128">K122/H122*100</f>
        <v>234.3077123841838</v>
      </c>
      <c r="N122" s="242"/>
      <c r="O122" s="242"/>
      <c r="P122" s="241">
        <f t="shared" si="38"/>
        <v>302.47641509433964</v>
      </c>
      <c r="Q122" s="241">
        <f aca="true" t="shared" si="62" ref="Q122:Q128">K122*100/I122</f>
        <v>89.20852586078404</v>
      </c>
      <c r="R122" s="243">
        <f t="shared" si="36"/>
        <v>68.89076468556958</v>
      </c>
    </row>
    <row r="123" spans="1:18" ht="12.75">
      <c r="A123" s="74" t="s">
        <v>180</v>
      </c>
      <c r="B123" s="74"/>
      <c r="C123" s="103" t="s">
        <v>181</v>
      </c>
      <c r="D123" s="244">
        <f>F123+G123+H123+J123</f>
        <v>1884.8</v>
      </c>
      <c r="E123" s="244">
        <f aca="true" t="shared" si="63" ref="E123:E133">F123+G123</f>
        <v>892.0999999999999</v>
      </c>
      <c r="F123" s="257">
        <v>387.2</v>
      </c>
      <c r="G123" s="257">
        <v>504.9</v>
      </c>
      <c r="H123" s="245">
        <v>559</v>
      </c>
      <c r="I123" s="245">
        <f>E123+H123</f>
        <v>1451.1</v>
      </c>
      <c r="J123" s="246">
        <v>433.7</v>
      </c>
      <c r="K123" s="246">
        <v>1125.4</v>
      </c>
      <c r="L123" s="247" t="e">
        <f>K123/#REF!*100</f>
        <v>#REF!</v>
      </c>
      <c r="M123" s="247">
        <f t="shared" si="61"/>
        <v>201.32379248658322</v>
      </c>
      <c r="N123" s="242"/>
      <c r="O123" s="242"/>
      <c r="P123" s="245">
        <f t="shared" si="38"/>
        <v>259.4881254323265</v>
      </c>
      <c r="Q123" s="247">
        <f t="shared" si="62"/>
        <v>77.55495830749088</v>
      </c>
      <c r="R123" s="246">
        <f t="shared" si="36"/>
        <v>59.70925297113753</v>
      </c>
    </row>
    <row r="124" spans="1:18" ht="12.75">
      <c r="A124" s="67" t="s">
        <v>184</v>
      </c>
      <c r="B124" s="67"/>
      <c r="C124" s="103" t="s">
        <v>185</v>
      </c>
      <c r="D124" s="244">
        <f aca="true" t="shared" si="64" ref="D124:D133">F124+G124+H124+J124</f>
        <v>166</v>
      </c>
      <c r="E124" s="244">
        <f t="shared" si="63"/>
        <v>74.8</v>
      </c>
      <c r="F124" s="257">
        <v>25.5</v>
      </c>
      <c r="G124" s="257">
        <v>49.3</v>
      </c>
      <c r="H124" s="245">
        <v>56.8</v>
      </c>
      <c r="I124" s="245">
        <f aca="true" t="shared" si="65" ref="I124:I130">E124+H124</f>
        <v>131.6</v>
      </c>
      <c r="J124" s="246">
        <v>34.4</v>
      </c>
      <c r="K124" s="246">
        <v>130.9</v>
      </c>
      <c r="L124" s="247" t="e">
        <f>K124/#REF!*100</f>
        <v>#REF!</v>
      </c>
      <c r="M124" s="247">
        <f t="shared" si="61"/>
        <v>230.45774647887325</v>
      </c>
      <c r="N124" s="242"/>
      <c r="O124" s="242"/>
      <c r="P124" s="245">
        <f t="shared" si="38"/>
        <v>380.5232558139535</v>
      </c>
      <c r="Q124" s="247">
        <f t="shared" si="62"/>
        <v>99.46808510638299</v>
      </c>
      <c r="R124" s="246">
        <f t="shared" si="36"/>
        <v>78.855421686747</v>
      </c>
    </row>
    <row r="125" spans="1:18" ht="12.75">
      <c r="A125" s="67" t="s">
        <v>186</v>
      </c>
      <c r="B125" s="67"/>
      <c r="C125" s="103" t="s">
        <v>187</v>
      </c>
      <c r="D125" s="244">
        <f t="shared" si="64"/>
        <v>40</v>
      </c>
      <c r="E125" s="244">
        <f t="shared" si="63"/>
        <v>19</v>
      </c>
      <c r="F125" s="257">
        <v>7</v>
      </c>
      <c r="G125" s="257">
        <v>12</v>
      </c>
      <c r="H125" s="245">
        <v>11.6</v>
      </c>
      <c r="I125" s="245">
        <f t="shared" si="65"/>
        <v>30.6</v>
      </c>
      <c r="J125" s="246">
        <v>9.4</v>
      </c>
      <c r="K125" s="246">
        <v>42.2</v>
      </c>
      <c r="L125" s="247" t="e">
        <f>K125/#REF!*100</f>
        <v>#REF!</v>
      </c>
      <c r="M125" s="247">
        <f t="shared" si="61"/>
        <v>363.7931034482759</v>
      </c>
      <c r="N125" s="242"/>
      <c r="O125" s="242"/>
      <c r="P125" s="245">
        <f t="shared" si="38"/>
        <v>448.93617021276594</v>
      </c>
      <c r="Q125" s="247">
        <f t="shared" si="62"/>
        <v>137.90849673202615</v>
      </c>
      <c r="R125" s="246">
        <f t="shared" si="36"/>
        <v>105.5</v>
      </c>
    </row>
    <row r="126" spans="1:18" ht="24">
      <c r="A126" s="68" t="s">
        <v>190</v>
      </c>
      <c r="B126" s="68"/>
      <c r="C126" s="103" t="s">
        <v>191</v>
      </c>
      <c r="D126" s="244">
        <f t="shared" si="64"/>
        <v>342.5</v>
      </c>
      <c r="E126" s="244">
        <f t="shared" si="63"/>
        <v>172.9</v>
      </c>
      <c r="F126" s="257">
        <v>65.5</v>
      </c>
      <c r="G126" s="257">
        <v>107.4</v>
      </c>
      <c r="H126" s="245">
        <v>93.3</v>
      </c>
      <c r="I126" s="245">
        <f t="shared" si="65"/>
        <v>266.2</v>
      </c>
      <c r="J126" s="246">
        <v>76.3</v>
      </c>
      <c r="K126" s="246">
        <v>403.4</v>
      </c>
      <c r="L126" s="247" t="e">
        <f>K126/#REF!*100</f>
        <v>#REF!</v>
      </c>
      <c r="M126" s="247">
        <f t="shared" si="61"/>
        <v>432.36870310825293</v>
      </c>
      <c r="N126" s="242"/>
      <c r="O126" s="242"/>
      <c r="P126" s="245">
        <f t="shared" si="38"/>
        <v>528.7024901703801</v>
      </c>
      <c r="Q126" s="247">
        <f t="shared" si="62"/>
        <v>151.54019534184823</v>
      </c>
      <c r="R126" s="246">
        <f t="shared" si="36"/>
        <v>117.78102189781022</v>
      </c>
    </row>
    <row r="127" spans="1:18" ht="24">
      <c r="A127" s="105" t="s">
        <v>194</v>
      </c>
      <c r="B127" s="105"/>
      <c r="C127" s="103" t="s">
        <v>195</v>
      </c>
      <c r="D127" s="244">
        <f t="shared" si="64"/>
        <v>80</v>
      </c>
      <c r="E127" s="244">
        <f t="shared" si="63"/>
        <v>39.7</v>
      </c>
      <c r="F127" s="257">
        <v>16</v>
      </c>
      <c r="G127" s="257">
        <v>23.7</v>
      </c>
      <c r="H127" s="245">
        <v>21.9</v>
      </c>
      <c r="I127" s="245">
        <f t="shared" si="65"/>
        <v>61.6</v>
      </c>
      <c r="J127" s="246">
        <v>18.4</v>
      </c>
      <c r="K127" s="246">
        <v>20</v>
      </c>
      <c r="L127" s="247" t="e">
        <f>K127/#REF!*100</f>
        <v>#REF!</v>
      </c>
      <c r="M127" s="247">
        <f t="shared" si="61"/>
        <v>91.32420091324201</v>
      </c>
      <c r="N127" s="242"/>
      <c r="O127" s="242"/>
      <c r="P127" s="245">
        <f t="shared" si="38"/>
        <v>108.69565217391305</v>
      </c>
      <c r="Q127" s="247">
        <f t="shared" si="62"/>
        <v>32.467532467532465</v>
      </c>
      <c r="R127" s="246">
        <f t="shared" si="36"/>
        <v>25</v>
      </c>
    </row>
    <row r="128" spans="1:18" ht="24">
      <c r="A128" s="105" t="s">
        <v>196</v>
      </c>
      <c r="B128" s="105"/>
      <c r="C128" s="103" t="s">
        <v>197</v>
      </c>
      <c r="D128" s="244">
        <f t="shared" si="64"/>
        <v>93</v>
      </c>
      <c r="E128" s="244">
        <f t="shared" si="63"/>
        <v>47.9</v>
      </c>
      <c r="F128" s="257">
        <v>20</v>
      </c>
      <c r="G128" s="257">
        <v>27.9</v>
      </c>
      <c r="H128" s="245">
        <v>23.7</v>
      </c>
      <c r="I128" s="245">
        <f t="shared" si="65"/>
        <v>71.6</v>
      </c>
      <c r="J128" s="246">
        <v>21.4</v>
      </c>
      <c r="K128" s="246">
        <v>30.8</v>
      </c>
      <c r="L128" s="247" t="e">
        <f>K128/#REF!*100</f>
        <v>#REF!</v>
      </c>
      <c r="M128" s="247">
        <f t="shared" si="61"/>
        <v>129.957805907173</v>
      </c>
      <c r="N128" s="242"/>
      <c r="O128" s="242"/>
      <c r="P128" s="245">
        <f t="shared" si="38"/>
        <v>143.92523364485982</v>
      </c>
      <c r="Q128" s="247">
        <f t="shared" si="62"/>
        <v>43.01675977653632</v>
      </c>
      <c r="R128" s="246">
        <f t="shared" si="36"/>
        <v>33.11827956989247</v>
      </c>
    </row>
    <row r="129" spans="1:18" ht="12.75">
      <c r="A129" s="74" t="s">
        <v>200</v>
      </c>
      <c r="B129" s="74"/>
      <c r="C129" s="103" t="s">
        <v>201</v>
      </c>
      <c r="D129" s="244">
        <f t="shared" si="64"/>
        <v>0</v>
      </c>
      <c r="E129" s="244">
        <f t="shared" si="63"/>
        <v>0</v>
      </c>
      <c r="F129" s="257"/>
      <c r="G129" s="257"/>
      <c r="H129" s="245"/>
      <c r="I129" s="245">
        <f t="shared" si="65"/>
        <v>0</v>
      </c>
      <c r="J129" s="246"/>
      <c r="K129" s="246"/>
      <c r="L129" s="247"/>
      <c r="M129" s="247"/>
      <c r="N129" s="242"/>
      <c r="O129" s="242"/>
      <c r="P129" s="245"/>
      <c r="Q129" s="247"/>
      <c r="R129" s="246"/>
    </row>
    <row r="130" spans="1:18" ht="12.75">
      <c r="A130" s="105" t="s">
        <v>202</v>
      </c>
      <c r="B130" s="120"/>
      <c r="C130" s="71" t="s">
        <v>203</v>
      </c>
      <c r="D130" s="244">
        <f t="shared" si="64"/>
        <v>0</v>
      </c>
      <c r="E130" s="244">
        <f t="shared" si="63"/>
        <v>0</v>
      </c>
      <c r="F130" s="257"/>
      <c r="G130" s="257"/>
      <c r="H130" s="245"/>
      <c r="I130" s="245">
        <f t="shared" si="65"/>
        <v>0</v>
      </c>
      <c r="J130" s="246"/>
      <c r="K130" s="245">
        <v>42.8</v>
      </c>
      <c r="L130" s="247"/>
      <c r="M130" s="247"/>
      <c r="N130" s="242"/>
      <c r="O130" s="242"/>
      <c r="P130" s="245"/>
      <c r="Q130" s="247"/>
      <c r="R130" s="246"/>
    </row>
    <row r="131" spans="1:18" ht="12.75">
      <c r="A131" s="116" t="s">
        <v>206</v>
      </c>
      <c r="B131" s="116"/>
      <c r="C131" s="108" t="s">
        <v>207</v>
      </c>
      <c r="D131" s="248">
        <f aca="true" t="shared" si="66" ref="D131:K131">D132+D133</f>
        <v>44006</v>
      </c>
      <c r="E131" s="248">
        <f t="shared" si="66"/>
        <v>22119.600000000002</v>
      </c>
      <c r="F131" s="248">
        <f t="shared" si="66"/>
        <v>8321.6</v>
      </c>
      <c r="G131" s="248">
        <f t="shared" si="66"/>
        <v>13798.000000000002</v>
      </c>
      <c r="H131" s="248">
        <f t="shared" si="66"/>
        <v>12650.3</v>
      </c>
      <c r="I131" s="248">
        <f t="shared" si="66"/>
        <v>34769.9</v>
      </c>
      <c r="J131" s="248">
        <f t="shared" si="66"/>
        <v>9236.1</v>
      </c>
      <c r="K131" s="248">
        <f t="shared" si="66"/>
        <v>28505</v>
      </c>
      <c r="L131" s="241" t="e">
        <f>K131/#REF!*100</f>
        <v>#REF!</v>
      </c>
      <c r="M131" s="241">
        <f>K131/H131*100</f>
        <v>225.3306245701683</v>
      </c>
      <c r="N131" s="242"/>
      <c r="O131" s="242"/>
      <c r="P131" s="249">
        <f t="shared" si="38"/>
        <v>308.62593518909495</v>
      </c>
      <c r="Q131" s="241">
        <f>K131*100/I131</f>
        <v>81.98182911081136</v>
      </c>
      <c r="R131" s="243">
        <f t="shared" si="36"/>
        <v>64.77525791937462</v>
      </c>
    </row>
    <row r="132" spans="1:18" ht="24">
      <c r="A132" s="69" t="s">
        <v>208</v>
      </c>
      <c r="B132" s="67"/>
      <c r="C132" s="109" t="s">
        <v>209</v>
      </c>
      <c r="D132" s="244">
        <f t="shared" si="64"/>
        <v>44006</v>
      </c>
      <c r="E132" s="244">
        <f t="shared" si="63"/>
        <v>22119.600000000002</v>
      </c>
      <c r="F132" s="257">
        <f>8031.4+290.2</f>
        <v>8321.6</v>
      </c>
      <c r="G132" s="257">
        <f>13441.6+44.2+148.2+143.2+20.8</f>
        <v>13798.000000000002</v>
      </c>
      <c r="H132" s="245">
        <f>12236.8+36.1+377.4</f>
        <v>12650.3</v>
      </c>
      <c r="I132" s="245">
        <f>E132+H132</f>
        <v>34769.9</v>
      </c>
      <c r="J132" s="246">
        <v>9236.1</v>
      </c>
      <c r="K132" s="246">
        <v>28505</v>
      </c>
      <c r="L132" s="247" t="e">
        <f>K132/#REF!*100</f>
        <v>#REF!</v>
      </c>
      <c r="M132" s="247">
        <f>K132/H132*100</f>
        <v>225.3306245701683</v>
      </c>
      <c r="N132" s="242"/>
      <c r="O132" s="242"/>
      <c r="P132" s="245">
        <f t="shared" si="38"/>
        <v>308.62593518909495</v>
      </c>
      <c r="Q132" s="247">
        <f>K132*100/I132</f>
        <v>81.98182911081136</v>
      </c>
      <c r="R132" s="246">
        <f t="shared" si="36"/>
        <v>64.77525791937462</v>
      </c>
    </row>
    <row r="133" spans="1:18" ht="12.75">
      <c r="A133" s="69" t="s">
        <v>210</v>
      </c>
      <c r="B133" s="69"/>
      <c r="C133" s="110" t="s">
        <v>211</v>
      </c>
      <c r="D133" s="244">
        <f t="shared" si="64"/>
        <v>0</v>
      </c>
      <c r="E133" s="244">
        <f t="shared" si="63"/>
        <v>0</v>
      </c>
      <c r="F133" s="264"/>
      <c r="G133" s="264"/>
      <c r="H133" s="245"/>
      <c r="I133" s="245"/>
      <c r="J133" s="246"/>
      <c r="K133" s="246"/>
      <c r="L133" s="247"/>
      <c r="M133" s="247"/>
      <c r="N133" s="242"/>
      <c r="O133" s="242"/>
      <c r="P133" s="245" t="e">
        <f t="shared" si="38"/>
        <v>#DIV/0!</v>
      </c>
      <c r="Q133" s="247"/>
      <c r="R133" s="246"/>
    </row>
    <row r="134" spans="1:18" ht="12.75">
      <c r="A134" s="74"/>
      <c r="B134" s="75"/>
      <c r="C134" s="76" t="s">
        <v>216</v>
      </c>
      <c r="D134" s="243">
        <f aca="true" t="shared" si="67" ref="D134:K134">D131+D122</f>
        <v>46612.3</v>
      </c>
      <c r="E134" s="243">
        <f t="shared" si="67"/>
        <v>23366.000000000004</v>
      </c>
      <c r="F134" s="249">
        <f t="shared" si="67"/>
        <v>8842.800000000001</v>
      </c>
      <c r="G134" s="249">
        <f t="shared" si="67"/>
        <v>14523.200000000003</v>
      </c>
      <c r="H134" s="249">
        <f t="shared" si="67"/>
        <v>13416.599999999999</v>
      </c>
      <c r="I134" s="249">
        <f t="shared" si="67"/>
        <v>36782.6</v>
      </c>
      <c r="J134" s="243">
        <f t="shared" si="67"/>
        <v>9829.7</v>
      </c>
      <c r="K134" s="243">
        <f t="shared" si="67"/>
        <v>30300.5</v>
      </c>
      <c r="L134" s="241" t="e">
        <f>K134/#REF!*100</f>
        <v>#REF!</v>
      </c>
      <c r="M134" s="241">
        <f>K134/H134*100</f>
        <v>225.843358227867</v>
      </c>
      <c r="N134" s="242"/>
      <c r="O134" s="252" t="e">
        <f>J134+#REF!+#REF!</f>
        <v>#REF!</v>
      </c>
      <c r="P134" s="249">
        <f t="shared" si="38"/>
        <v>308.2545754193922</v>
      </c>
      <c r="Q134" s="241">
        <f>K134*100/I134</f>
        <v>82.37726533741498</v>
      </c>
      <c r="R134" s="243">
        <f t="shared" si="36"/>
        <v>65.00537411799031</v>
      </c>
    </row>
    <row r="135" spans="1:18" ht="12.75">
      <c r="A135" s="204"/>
      <c r="B135" s="205"/>
      <c r="C135" s="205"/>
      <c r="D135" s="205"/>
      <c r="E135" s="205"/>
      <c r="F135" s="205"/>
      <c r="G135" s="205"/>
      <c r="H135" s="205"/>
      <c r="I135" s="205"/>
      <c r="J135" s="205"/>
      <c r="K135" s="205"/>
      <c r="L135" s="205"/>
      <c r="M135" s="206"/>
      <c r="N135" s="102"/>
      <c r="O135" s="102"/>
      <c r="P135" s="111"/>
      <c r="Q135" s="101"/>
      <c r="R135" s="77"/>
    </row>
    <row r="136" spans="1:18" ht="12.75">
      <c r="A136" s="203" t="s">
        <v>224</v>
      </c>
      <c r="B136" s="203"/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203"/>
      <c r="Q136" s="101"/>
      <c r="R136" s="77"/>
    </row>
    <row r="137" spans="1:18" ht="12.75">
      <c r="A137" s="99" t="s">
        <v>178</v>
      </c>
      <c r="B137" s="99"/>
      <c r="C137" s="100" t="s">
        <v>179</v>
      </c>
      <c r="D137" s="241">
        <f aca="true" t="shared" si="68" ref="D137:K137">D138+D140+D142+D144+D141+D145+D143+D146+D139</f>
        <v>14576.5</v>
      </c>
      <c r="E137" s="241">
        <f t="shared" si="68"/>
        <v>6943.1</v>
      </c>
      <c r="F137" s="241">
        <f t="shared" si="68"/>
        <v>3105.5</v>
      </c>
      <c r="G137" s="241">
        <f t="shared" si="68"/>
        <v>3837.6</v>
      </c>
      <c r="H137" s="241">
        <f t="shared" si="68"/>
        <v>4267.1</v>
      </c>
      <c r="I137" s="241">
        <f t="shared" si="68"/>
        <v>11210.2</v>
      </c>
      <c r="J137" s="241">
        <f t="shared" si="68"/>
        <v>3366.3</v>
      </c>
      <c r="K137" s="241">
        <f t="shared" si="68"/>
        <v>8829.1</v>
      </c>
      <c r="L137" s="241" t="e">
        <f>K137/#REF!*100</f>
        <v>#REF!</v>
      </c>
      <c r="M137" s="241">
        <f>K137/H137*100</f>
        <v>206.9110168498512</v>
      </c>
      <c r="N137" s="242"/>
      <c r="O137" s="242"/>
      <c r="P137" s="241">
        <f t="shared" si="38"/>
        <v>262.27906009565396</v>
      </c>
      <c r="Q137" s="241">
        <f>K137*100/I137</f>
        <v>78.75952257765249</v>
      </c>
      <c r="R137" s="243">
        <f t="shared" si="36"/>
        <v>60.57078173772854</v>
      </c>
    </row>
    <row r="138" spans="1:18" ht="12.75">
      <c r="A138" s="74" t="s">
        <v>180</v>
      </c>
      <c r="B138" s="74"/>
      <c r="C138" s="103" t="s">
        <v>181</v>
      </c>
      <c r="D138" s="257">
        <f>F138+G138+H138+J138</f>
        <v>13125</v>
      </c>
      <c r="E138" s="244">
        <f aca="true" t="shared" si="69" ref="E138:E148">F138+G138</f>
        <v>6225</v>
      </c>
      <c r="F138" s="257">
        <v>2750</v>
      </c>
      <c r="G138" s="257">
        <v>3475</v>
      </c>
      <c r="H138" s="245">
        <v>3900</v>
      </c>
      <c r="I138" s="245">
        <f>E138+H138</f>
        <v>10125</v>
      </c>
      <c r="J138" s="246">
        <v>3000</v>
      </c>
      <c r="K138" s="246">
        <v>7787.2</v>
      </c>
      <c r="L138" s="247" t="e">
        <f>K138/#REF!*100</f>
        <v>#REF!</v>
      </c>
      <c r="M138" s="247">
        <f>K138/H138*100</f>
        <v>199.67179487179487</v>
      </c>
      <c r="N138" s="242"/>
      <c r="O138" s="242"/>
      <c r="P138" s="245">
        <f t="shared" si="38"/>
        <v>259.5733333333333</v>
      </c>
      <c r="Q138" s="247">
        <f>K138*100/I138</f>
        <v>76.91061728395061</v>
      </c>
      <c r="R138" s="246">
        <f t="shared" si="36"/>
        <v>59.33104761904762</v>
      </c>
    </row>
    <row r="139" spans="1:18" ht="12.75">
      <c r="A139" s="67" t="s">
        <v>182</v>
      </c>
      <c r="B139" s="67"/>
      <c r="C139" s="103" t="s">
        <v>183</v>
      </c>
      <c r="D139" s="257">
        <f aca="true" t="shared" si="70" ref="D139:D148">F139+G139+H139+J139</f>
        <v>0</v>
      </c>
      <c r="E139" s="244">
        <f t="shared" si="69"/>
        <v>0</v>
      </c>
      <c r="F139" s="257"/>
      <c r="G139" s="257"/>
      <c r="H139" s="245"/>
      <c r="I139" s="245">
        <f aca="true" t="shared" si="71" ref="I139:I149">E139+H139</f>
        <v>0</v>
      </c>
      <c r="J139" s="246"/>
      <c r="K139" s="246">
        <v>9.5</v>
      </c>
      <c r="L139" s="247"/>
      <c r="M139" s="247"/>
      <c r="N139" s="242"/>
      <c r="O139" s="242"/>
      <c r="P139" s="245" t="e">
        <f t="shared" si="38"/>
        <v>#DIV/0!</v>
      </c>
      <c r="Q139" s="247"/>
      <c r="R139" s="246"/>
    </row>
    <row r="140" spans="1:18" ht="12.75">
      <c r="A140" s="67" t="s">
        <v>184</v>
      </c>
      <c r="B140" s="67"/>
      <c r="C140" s="103" t="s">
        <v>185</v>
      </c>
      <c r="D140" s="257">
        <f t="shared" si="70"/>
        <v>387</v>
      </c>
      <c r="E140" s="244">
        <f t="shared" si="69"/>
        <v>191</v>
      </c>
      <c r="F140" s="257">
        <v>95.5</v>
      </c>
      <c r="G140" s="257">
        <v>95.5</v>
      </c>
      <c r="H140" s="245">
        <v>98.5</v>
      </c>
      <c r="I140" s="245">
        <f t="shared" si="71"/>
        <v>289.5</v>
      </c>
      <c r="J140" s="246">
        <v>97.5</v>
      </c>
      <c r="K140" s="246">
        <v>165.6</v>
      </c>
      <c r="L140" s="247" t="e">
        <f>K140/#REF!*100</f>
        <v>#REF!</v>
      </c>
      <c r="M140" s="247">
        <f>K140/H140*100</f>
        <v>168.1218274111675</v>
      </c>
      <c r="N140" s="242"/>
      <c r="O140" s="242"/>
      <c r="P140" s="245">
        <f t="shared" si="38"/>
        <v>169.84615384615384</v>
      </c>
      <c r="Q140" s="247">
        <f aca="true" t="shared" si="72" ref="Q140:Q148">K140*100/I140</f>
        <v>57.2020725388601</v>
      </c>
      <c r="R140" s="246">
        <f aca="true" t="shared" si="73" ref="R140:R202">K140*100/D140</f>
        <v>42.7906976744186</v>
      </c>
    </row>
    <row r="141" spans="1:18" ht="12.75">
      <c r="A141" s="67" t="s">
        <v>186</v>
      </c>
      <c r="B141" s="67"/>
      <c r="C141" s="103" t="s">
        <v>187</v>
      </c>
      <c r="D141" s="257">
        <f t="shared" si="70"/>
        <v>123</v>
      </c>
      <c r="E141" s="244">
        <f t="shared" si="69"/>
        <v>61</v>
      </c>
      <c r="F141" s="257">
        <v>30</v>
      </c>
      <c r="G141" s="257">
        <v>31</v>
      </c>
      <c r="H141" s="245">
        <v>32</v>
      </c>
      <c r="I141" s="245">
        <f t="shared" si="71"/>
        <v>93</v>
      </c>
      <c r="J141" s="246">
        <v>30</v>
      </c>
      <c r="K141" s="246">
        <v>97.9</v>
      </c>
      <c r="L141" s="247" t="e">
        <f>K141/#REF!*100</f>
        <v>#REF!</v>
      </c>
      <c r="M141" s="247">
        <f>K141/H141*100</f>
        <v>305.9375</v>
      </c>
      <c r="N141" s="242"/>
      <c r="O141" s="242"/>
      <c r="P141" s="245">
        <f t="shared" si="38"/>
        <v>326.3333333333333</v>
      </c>
      <c r="Q141" s="247">
        <f t="shared" si="72"/>
        <v>105.26881720430107</v>
      </c>
      <c r="R141" s="246">
        <f t="shared" si="73"/>
        <v>79.59349593495935</v>
      </c>
    </row>
    <row r="142" spans="1:18" ht="24">
      <c r="A142" s="68" t="s">
        <v>190</v>
      </c>
      <c r="B142" s="68"/>
      <c r="C142" s="103" t="s">
        <v>191</v>
      </c>
      <c r="D142" s="257">
        <f t="shared" si="70"/>
        <v>870.5</v>
      </c>
      <c r="E142" s="244">
        <f t="shared" si="69"/>
        <v>431.1</v>
      </c>
      <c r="F142" s="257">
        <v>213</v>
      </c>
      <c r="G142" s="257">
        <v>218.1</v>
      </c>
      <c r="H142" s="245">
        <v>218.6</v>
      </c>
      <c r="I142" s="245">
        <f t="shared" si="71"/>
        <v>649.7</v>
      </c>
      <c r="J142" s="246">
        <v>220.8</v>
      </c>
      <c r="K142" s="246">
        <v>572.3</v>
      </c>
      <c r="L142" s="247" t="e">
        <f>K142/#REF!*100</f>
        <v>#REF!</v>
      </c>
      <c r="M142" s="247">
        <f>K142/H142*100</f>
        <v>261.80237877401646</v>
      </c>
      <c r="N142" s="242"/>
      <c r="O142" s="242"/>
      <c r="P142" s="245">
        <f t="shared" si="38"/>
        <v>259.1938405797101</v>
      </c>
      <c r="Q142" s="247">
        <f t="shared" si="72"/>
        <v>88.08680929659842</v>
      </c>
      <c r="R142" s="246">
        <f t="shared" si="73"/>
        <v>65.7438253877082</v>
      </c>
    </row>
    <row r="143" spans="1:18" ht="24">
      <c r="A143" s="105" t="s">
        <v>194</v>
      </c>
      <c r="B143" s="105"/>
      <c r="C143" s="103" t="s">
        <v>195</v>
      </c>
      <c r="D143" s="257">
        <f t="shared" si="70"/>
        <v>0</v>
      </c>
      <c r="E143" s="244">
        <f t="shared" si="69"/>
        <v>0</v>
      </c>
      <c r="F143" s="257"/>
      <c r="G143" s="257"/>
      <c r="H143" s="245"/>
      <c r="I143" s="245">
        <f t="shared" si="71"/>
        <v>0</v>
      </c>
      <c r="J143" s="246"/>
      <c r="K143" s="246"/>
      <c r="L143" s="247"/>
      <c r="M143" s="247"/>
      <c r="N143" s="242"/>
      <c r="O143" s="242"/>
      <c r="P143" s="245" t="e">
        <f aca="true" t="shared" si="74" ref="P143:P206">K143*100/J143</f>
        <v>#DIV/0!</v>
      </c>
      <c r="Q143" s="247" t="e">
        <f t="shared" si="72"/>
        <v>#DIV/0!</v>
      </c>
      <c r="R143" s="246" t="e">
        <f t="shared" si="73"/>
        <v>#DIV/0!</v>
      </c>
    </row>
    <row r="144" spans="1:18" ht="24">
      <c r="A144" s="104" t="s">
        <v>196</v>
      </c>
      <c r="B144" s="104"/>
      <c r="C144" s="103" t="s">
        <v>197</v>
      </c>
      <c r="D144" s="257">
        <f t="shared" si="70"/>
        <v>71</v>
      </c>
      <c r="E144" s="244">
        <f t="shared" si="69"/>
        <v>35</v>
      </c>
      <c r="F144" s="257">
        <v>17</v>
      </c>
      <c r="G144" s="257">
        <v>18</v>
      </c>
      <c r="H144" s="245">
        <v>18</v>
      </c>
      <c r="I144" s="245">
        <f t="shared" si="71"/>
        <v>53</v>
      </c>
      <c r="J144" s="246">
        <v>18</v>
      </c>
      <c r="K144" s="246">
        <v>196.4</v>
      </c>
      <c r="L144" s="247" t="e">
        <f>K144/#REF!*100</f>
        <v>#REF!</v>
      </c>
      <c r="M144" s="247">
        <f>K144/H144*100</f>
        <v>1091.111111111111</v>
      </c>
      <c r="N144" s="242"/>
      <c r="O144" s="242"/>
      <c r="P144" s="245">
        <f t="shared" si="74"/>
        <v>1091.111111111111</v>
      </c>
      <c r="Q144" s="247">
        <f t="shared" si="72"/>
        <v>370.5660377358491</v>
      </c>
      <c r="R144" s="246">
        <f t="shared" si="73"/>
        <v>276.61971830985914</v>
      </c>
    </row>
    <row r="145" spans="1:18" ht="12.75">
      <c r="A145" s="74" t="s">
        <v>200</v>
      </c>
      <c r="B145" s="74"/>
      <c r="C145" s="103" t="s">
        <v>201</v>
      </c>
      <c r="D145" s="257">
        <f t="shared" si="70"/>
        <v>0</v>
      </c>
      <c r="E145" s="244">
        <f t="shared" si="69"/>
        <v>0</v>
      </c>
      <c r="F145" s="257"/>
      <c r="G145" s="257"/>
      <c r="H145" s="245"/>
      <c r="I145" s="245">
        <f t="shared" si="71"/>
        <v>0</v>
      </c>
      <c r="J145" s="246"/>
      <c r="K145" s="246"/>
      <c r="L145" s="247" t="e">
        <f>K145/#REF!*100</f>
        <v>#REF!</v>
      </c>
      <c r="M145" s="247"/>
      <c r="N145" s="242"/>
      <c r="O145" s="242"/>
      <c r="P145" s="245" t="e">
        <f t="shared" si="74"/>
        <v>#DIV/0!</v>
      </c>
      <c r="Q145" s="247"/>
      <c r="R145" s="246"/>
    </row>
    <row r="146" spans="1:18" ht="12.75">
      <c r="A146" s="104" t="s">
        <v>202</v>
      </c>
      <c r="B146" s="121"/>
      <c r="C146" s="71" t="s">
        <v>203</v>
      </c>
      <c r="D146" s="257">
        <f t="shared" si="70"/>
        <v>0</v>
      </c>
      <c r="E146" s="244">
        <f t="shared" si="69"/>
        <v>0</v>
      </c>
      <c r="F146" s="265"/>
      <c r="G146" s="265"/>
      <c r="H146" s="245"/>
      <c r="I146" s="245">
        <f t="shared" si="71"/>
        <v>0</v>
      </c>
      <c r="J146" s="246"/>
      <c r="K146" s="246">
        <v>0.2</v>
      </c>
      <c r="L146" s="247"/>
      <c r="M146" s="247"/>
      <c r="N146" s="242"/>
      <c r="O146" s="242"/>
      <c r="P146" s="245" t="e">
        <f t="shared" si="74"/>
        <v>#DIV/0!</v>
      </c>
      <c r="Q146" s="247"/>
      <c r="R146" s="243"/>
    </row>
    <row r="147" spans="1:18" ht="12.75">
      <c r="A147" s="99" t="s">
        <v>206</v>
      </c>
      <c r="B147" s="99"/>
      <c r="C147" s="108" t="s">
        <v>207</v>
      </c>
      <c r="D147" s="248">
        <f>D148+D149</f>
        <v>32088.199999999997</v>
      </c>
      <c r="E147" s="248">
        <f aca="true" t="shared" si="75" ref="E147:K147">E148+E149</f>
        <v>16710.3</v>
      </c>
      <c r="F147" s="248">
        <f t="shared" si="75"/>
        <v>5966.9</v>
      </c>
      <c r="G147" s="248">
        <f t="shared" si="75"/>
        <v>10743.4</v>
      </c>
      <c r="H147" s="248">
        <f t="shared" si="75"/>
        <v>7897.8</v>
      </c>
      <c r="I147" s="248">
        <f t="shared" si="75"/>
        <v>24608.1</v>
      </c>
      <c r="J147" s="248">
        <f t="shared" si="75"/>
        <v>7480.1</v>
      </c>
      <c r="K147" s="248">
        <f t="shared" si="75"/>
        <v>21168.8</v>
      </c>
      <c r="L147" s="241" t="e">
        <f>K147/#REF!*100</f>
        <v>#REF!</v>
      </c>
      <c r="M147" s="241">
        <f>K147/H147*100</f>
        <v>268.03413608853094</v>
      </c>
      <c r="N147" s="242"/>
      <c r="O147" s="242"/>
      <c r="P147" s="249">
        <f t="shared" si="74"/>
        <v>283.0015641502119</v>
      </c>
      <c r="Q147" s="241">
        <f>K147*100/I147</f>
        <v>86.02370764098</v>
      </c>
      <c r="R147" s="243">
        <f t="shared" si="73"/>
        <v>65.97066834537307</v>
      </c>
    </row>
    <row r="148" spans="1:18" ht="24">
      <c r="A148" s="69" t="s">
        <v>208</v>
      </c>
      <c r="B148" s="67"/>
      <c r="C148" s="109" t="s">
        <v>209</v>
      </c>
      <c r="D148" s="257">
        <f t="shared" si="70"/>
        <v>31845.699999999997</v>
      </c>
      <c r="E148" s="244">
        <f t="shared" si="69"/>
        <v>16467.8</v>
      </c>
      <c r="F148" s="257">
        <v>5966.9</v>
      </c>
      <c r="G148" s="257">
        <v>10500.9</v>
      </c>
      <c r="H148" s="245">
        <f>7602.8+74.2+220.8</f>
        <v>7897.8</v>
      </c>
      <c r="I148" s="245">
        <f t="shared" si="71"/>
        <v>24365.6</v>
      </c>
      <c r="J148" s="246">
        <v>7480.1</v>
      </c>
      <c r="K148" s="246">
        <v>20926.3</v>
      </c>
      <c r="L148" s="247" t="e">
        <f>K148/#REF!*100</f>
        <v>#REF!</v>
      </c>
      <c r="M148" s="247">
        <f>K148/H148*100</f>
        <v>264.96366076628937</v>
      </c>
      <c r="N148" s="242"/>
      <c r="O148" s="242"/>
      <c r="P148" s="245">
        <f t="shared" si="74"/>
        <v>279.7596288819668</v>
      </c>
      <c r="Q148" s="247">
        <f t="shared" si="72"/>
        <v>85.88460780772894</v>
      </c>
      <c r="R148" s="246">
        <f t="shared" si="73"/>
        <v>65.71154033354583</v>
      </c>
    </row>
    <row r="149" spans="1:18" ht="12.75">
      <c r="A149" s="69" t="s">
        <v>210</v>
      </c>
      <c r="B149" s="69"/>
      <c r="C149" s="110" t="s">
        <v>211</v>
      </c>
      <c r="D149" s="257">
        <f>F149+G149+H149+J149</f>
        <v>242.5</v>
      </c>
      <c r="E149" s="244">
        <f>F149+G149</f>
        <v>242.5</v>
      </c>
      <c r="F149" s="257"/>
      <c r="G149" s="257">
        <v>242.5</v>
      </c>
      <c r="H149" s="245"/>
      <c r="I149" s="245">
        <f t="shared" si="71"/>
        <v>242.5</v>
      </c>
      <c r="J149" s="246"/>
      <c r="K149" s="246">
        <v>242.5</v>
      </c>
      <c r="L149" s="247"/>
      <c r="M149" s="247"/>
      <c r="N149" s="242"/>
      <c r="O149" s="242"/>
      <c r="P149" s="245"/>
      <c r="Q149" s="247">
        <f>K149*100/I149</f>
        <v>100</v>
      </c>
      <c r="R149" s="246">
        <f>K149*100/D149</f>
        <v>100</v>
      </c>
    </row>
    <row r="150" spans="1:18" ht="12.75">
      <c r="A150" s="74"/>
      <c r="B150" s="75"/>
      <c r="C150" s="76" t="s">
        <v>216</v>
      </c>
      <c r="D150" s="243">
        <f aca="true" t="shared" si="76" ref="D150:K150">D147+D137</f>
        <v>46664.7</v>
      </c>
      <c r="E150" s="243">
        <f t="shared" si="76"/>
        <v>23653.4</v>
      </c>
      <c r="F150" s="243">
        <f t="shared" si="76"/>
        <v>9072.4</v>
      </c>
      <c r="G150" s="243">
        <f t="shared" si="76"/>
        <v>14581</v>
      </c>
      <c r="H150" s="243">
        <f t="shared" si="76"/>
        <v>12164.900000000001</v>
      </c>
      <c r="I150" s="243">
        <f t="shared" si="76"/>
        <v>35818.3</v>
      </c>
      <c r="J150" s="243">
        <f t="shared" si="76"/>
        <v>10846.400000000001</v>
      </c>
      <c r="K150" s="243">
        <f t="shared" si="76"/>
        <v>29997.9</v>
      </c>
      <c r="L150" s="241" t="e">
        <f>K150/#REF!*100</f>
        <v>#REF!</v>
      </c>
      <c r="M150" s="241">
        <f>K150/H150*100</f>
        <v>246.59388897565947</v>
      </c>
      <c r="N150" s="242"/>
      <c r="O150" s="252" t="e">
        <f>J150+#REF!+#REF!</f>
        <v>#REF!</v>
      </c>
      <c r="P150" s="249">
        <f t="shared" si="74"/>
        <v>276.57010621035545</v>
      </c>
      <c r="Q150" s="241">
        <f>K150*100/I150</f>
        <v>83.75020590033586</v>
      </c>
      <c r="R150" s="243">
        <f t="shared" si="73"/>
        <v>64.28392339391446</v>
      </c>
    </row>
    <row r="151" spans="1:18" ht="12.75">
      <c r="A151" s="198"/>
      <c r="B151" s="199"/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200"/>
      <c r="N151" s="102"/>
      <c r="O151" s="102"/>
      <c r="P151" s="111"/>
      <c r="Q151" s="101"/>
      <c r="R151" s="77"/>
    </row>
    <row r="152" spans="1:18" ht="12.75">
      <c r="A152" s="203" t="s">
        <v>225</v>
      </c>
      <c r="B152" s="203"/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  <c r="O152" s="203"/>
      <c r="P152" s="203"/>
      <c r="Q152" s="101"/>
      <c r="R152" s="77"/>
    </row>
    <row r="153" spans="1:18" ht="12.75">
      <c r="A153" s="99" t="s">
        <v>178</v>
      </c>
      <c r="B153" s="99"/>
      <c r="C153" s="100" t="s">
        <v>179</v>
      </c>
      <c r="D153" s="241">
        <f aca="true" t="shared" si="77" ref="D153:K153">D154+D155+D156+D157+D159+D160+D161+D158</f>
        <v>3769.5</v>
      </c>
      <c r="E153" s="241">
        <f t="shared" si="77"/>
        <v>2003</v>
      </c>
      <c r="F153" s="241">
        <f t="shared" si="77"/>
        <v>736</v>
      </c>
      <c r="G153" s="241">
        <f t="shared" si="77"/>
        <v>1267</v>
      </c>
      <c r="H153" s="241">
        <f t="shared" si="77"/>
        <v>861</v>
      </c>
      <c r="I153" s="241">
        <f t="shared" si="77"/>
        <v>2864</v>
      </c>
      <c r="J153" s="241">
        <f t="shared" si="77"/>
        <v>905.5</v>
      </c>
      <c r="K153" s="241">
        <f t="shared" si="77"/>
        <v>3089.1000000000004</v>
      </c>
      <c r="L153" s="241" t="e">
        <f>K153/#REF!*100</f>
        <v>#REF!</v>
      </c>
      <c r="M153" s="241">
        <f aca="true" t="shared" si="78" ref="M153:M159">K153/H153*100</f>
        <v>358.7804878048781</v>
      </c>
      <c r="N153" s="242"/>
      <c r="O153" s="242"/>
      <c r="P153" s="241">
        <f t="shared" si="74"/>
        <v>341.14853672004426</v>
      </c>
      <c r="Q153" s="241">
        <f>K153*100/I153</f>
        <v>107.8596368715084</v>
      </c>
      <c r="R153" s="243">
        <f t="shared" si="73"/>
        <v>81.949860724234</v>
      </c>
    </row>
    <row r="154" spans="1:18" ht="12.75">
      <c r="A154" s="74" t="s">
        <v>180</v>
      </c>
      <c r="B154" s="74"/>
      <c r="C154" s="103" t="s">
        <v>181</v>
      </c>
      <c r="D154" s="257">
        <f>F154+G154+H154+J154</f>
        <v>2940</v>
      </c>
      <c r="E154" s="244">
        <f aca="true" t="shared" si="79" ref="E154:E159">F154+G154</f>
        <v>1420</v>
      </c>
      <c r="F154" s="244">
        <v>550</v>
      </c>
      <c r="G154" s="244">
        <v>870</v>
      </c>
      <c r="H154" s="245">
        <v>750</v>
      </c>
      <c r="I154" s="245">
        <f>E154+H154</f>
        <v>2170</v>
      </c>
      <c r="J154" s="246">
        <v>770</v>
      </c>
      <c r="K154" s="246">
        <v>2271.9</v>
      </c>
      <c r="L154" s="247" t="e">
        <f>K154/#REF!*100</f>
        <v>#REF!</v>
      </c>
      <c r="M154" s="247">
        <f t="shared" si="78"/>
        <v>302.92</v>
      </c>
      <c r="N154" s="242"/>
      <c r="O154" s="242"/>
      <c r="P154" s="245">
        <f t="shared" si="74"/>
        <v>295.05194805194805</v>
      </c>
      <c r="Q154" s="247">
        <f>K154*100/I154</f>
        <v>104.6958525345622</v>
      </c>
      <c r="R154" s="246">
        <f t="shared" si="73"/>
        <v>77.27551020408163</v>
      </c>
    </row>
    <row r="155" spans="1:18" ht="12.75">
      <c r="A155" s="67" t="s">
        <v>184</v>
      </c>
      <c r="B155" s="67"/>
      <c r="C155" s="103" t="s">
        <v>185</v>
      </c>
      <c r="D155" s="257">
        <f aca="true" t="shared" si="80" ref="D155:D163">F155+G155+H155+J155</f>
        <v>252</v>
      </c>
      <c r="E155" s="244">
        <f t="shared" si="79"/>
        <v>93</v>
      </c>
      <c r="F155" s="244">
        <v>46</v>
      </c>
      <c r="G155" s="244">
        <v>47</v>
      </c>
      <c r="H155" s="245">
        <v>66</v>
      </c>
      <c r="I155" s="245">
        <f aca="true" t="shared" si="81" ref="I155:I160">E155+H155</f>
        <v>159</v>
      </c>
      <c r="J155" s="246">
        <v>93</v>
      </c>
      <c r="K155" s="246">
        <v>125.8</v>
      </c>
      <c r="L155" s="247" t="e">
        <f>K155/#REF!*100</f>
        <v>#REF!</v>
      </c>
      <c r="M155" s="247">
        <f t="shared" si="78"/>
        <v>190.6060606060606</v>
      </c>
      <c r="N155" s="242"/>
      <c r="O155" s="242"/>
      <c r="P155" s="245">
        <f t="shared" si="74"/>
        <v>135.2688172043011</v>
      </c>
      <c r="Q155" s="247">
        <f aca="true" t="shared" si="82" ref="Q155:Q163">K155*100/I155</f>
        <v>79.11949685534591</v>
      </c>
      <c r="R155" s="246">
        <f t="shared" si="73"/>
        <v>49.92063492063492</v>
      </c>
    </row>
    <row r="156" spans="1:18" ht="12.75">
      <c r="A156" s="67" t="s">
        <v>186</v>
      </c>
      <c r="B156" s="67"/>
      <c r="C156" s="103" t="s">
        <v>187</v>
      </c>
      <c r="D156" s="257">
        <f t="shared" si="80"/>
        <v>67</v>
      </c>
      <c r="E156" s="244">
        <f t="shared" si="79"/>
        <v>42</v>
      </c>
      <c r="F156" s="244">
        <v>8</v>
      </c>
      <c r="G156" s="244">
        <v>34</v>
      </c>
      <c r="H156" s="245">
        <v>13</v>
      </c>
      <c r="I156" s="245">
        <f t="shared" si="81"/>
        <v>55</v>
      </c>
      <c r="J156" s="246">
        <v>12</v>
      </c>
      <c r="K156" s="246">
        <v>74.6</v>
      </c>
      <c r="L156" s="247" t="e">
        <f>K156/#REF!*100</f>
        <v>#REF!</v>
      </c>
      <c r="M156" s="247">
        <f t="shared" si="78"/>
        <v>573.8461538461538</v>
      </c>
      <c r="N156" s="242"/>
      <c r="O156" s="242"/>
      <c r="P156" s="245">
        <f t="shared" si="74"/>
        <v>621.6666666666666</v>
      </c>
      <c r="Q156" s="247">
        <f t="shared" si="82"/>
        <v>135.63636363636363</v>
      </c>
      <c r="R156" s="246">
        <f t="shared" si="73"/>
        <v>111.34328358208954</v>
      </c>
    </row>
    <row r="157" spans="1:18" ht="24">
      <c r="A157" s="68" t="s">
        <v>190</v>
      </c>
      <c r="B157" s="68"/>
      <c r="C157" s="103" t="s">
        <v>191</v>
      </c>
      <c r="D157" s="257">
        <f t="shared" si="80"/>
        <v>372</v>
      </c>
      <c r="E157" s="244">
        <f t="shared" si="79"/>
        <v>348</v>
      </c>
      <c r="F157" s="244">
        <v>112</v>
      </c>
      <c r="G157" s="244">
        <v>236</v>
      </c>
      <c r="H157" s="245">
        <v>12</v>
      </c>
      <c r="I157" s="245">
        <f t="shared" si="81"/>
        <v>360</v>
      </c>
      <c r="J157" s="246">
        <v>12</v>
      </c>
      <c r="K157" s="246">
        <v>473.4</v>
      </c>
      <c r="L157" s="247" t="e">
        <f>K157/#REF!*100</f>
        <v>#REF!</v>
      </c>
      <c r="M157" s="247">
        <f t="shared" si="78"/>
        <v>3944.9999999999995</v>
      </c>
      <c r="N157" s="242"/>
      <c r="O157" s="242"/>
      <c r="P157" s="245">
        <f t="shared" si="74"/>
        <v>3945</v>
      </c>
      <c r="Q157" s="247">
        <f t="shared" si="82"/>
        <v>131.5</v>
      </c>
      <c r="R157" s="246">
        <f t="shared" si="73"/>
        <v>127.25806451612904</v>
      </c>
    </row>
    <row r="158" spans="1:18" ht="24">
      <c r="A158" s="105" t="s">
        <v>194</v>
      </c>
      <c r="B158" s="105"/>
      <c r="C158" s="103" t="s">
        <v>195</v>
      </c>
      <c r="D158" s="257">
        <f t="shared" si="80"/>
        <v>60</v>
      </c>
      <c r="E158" s="244">
        <f t="shared" si="79"/>
        <v>30</v>
      </c>
      <c r="F158" s="244">
        <v>15</v>
      </c>
      <c r="G158" s="244">
        <v>15</v>
      </c>
      <c r="H158" s="245">
        <v>15</v>
      </c>
      <c r="I158" s="245">
        <f t="shared" si="81"/>
        <v>45</v>
      </c>
      <c r="J158" s="246">
        <v>15</v>
      </c>
      <c r="K158" s="246">
        <v>49.5</v>
      </c>
      <c r="L158" s="247" t="e">
        <f>K158/#REF!*100</f>
        <v>#REF!</v>
      </c>
      <c r="M158" s="247">
        <f t="shared" si="78"/>
        <v>330</v>
      </c>
      <c r="N158" s="242"/>
      <c r="O158" s="242"/>
      <c r="P158" s="245">
        <f t="shared" si="74"/>
        <v>330</v>
      </c>
      <c r="Q158" s="247">
        <f t="shared" si="82"/>
        <v>110</v>
      </c>
      <c r="R158" s="246">
        <f t="shared" si="73"/>
        <v>82.5</v>
      </c>
    </row>
    <row r="159" spans="1:18" ht="24">
      <c r="A159" s="104" t="s">
        <v>196</v>
      </c>
      <c r="B159" s="104"/>
      <c r="C159" s="103" t="s">
        <v>197</v>
      </c>
      <c r="D159" s="257">
        <f t="shared" si="80"/>
        <v>78.5</v>
      </c>
      <c r="E159" s="244">
        <f t="shared" si="79"/>
        <v>70</v>
      </c>
      <c r="F159" s="244">
        <v>5</v>
      </c>
      <c r="G159" s="244">
        <v>65</v>
      </c>
      <c r="H159" s="245">
        <v>5</v>
      </c>
      <c r="I159" s="245">
        <f t="shared" si="81"/>
        <v>75</v>
      </c>
      <c r="J159" s="246">
        <v>3.5</v>
      </c>
      <c r="K159" s="246">
        <v>93.9</v>
      </c>
      <c r="L159" s="247" t="e">
        <f>K159/#REF!*100</f>
        <v>#REF!</v>
      </c>
      <c r="M159" s="247">
        <f t="shared" si="78"/>
        <v>1878</v>
      </c>
      <c r="N159" s="242"/>
      <c r="O159" s="242"/>
      <c r="P159" s="245">
        <f t="shared" si="74"/>
        <v>2682.8571428571427</v>
      </c>
      <c r="Q159" s="247">
        <f t="shared" si="82"/>
        <v>125.2</v>
      </c>
      <c r="R159" s="246">
        <f t="shared" si="73"/>
        <v>119.61783439490446</v>
      </c>
    </row>
    <row r="160" spans="1:18" ht="12.75">
      <c r="A160" s="74" t="s">
        <v>200</v>
      </c>
      <c r="B160" s="74"/>
      <c r="C160" s="103" t="s">
        <v>201</v>
      </c>
      <c r="D160" s="257">
        <f t="shared" si="80"/>
        <v>0</v>
      </c>
      <c r="E160" s="244">
        <f>F160</f>
        <v>0</v>
      </c>
      <c r="F160" s="244"/>
      <c r="G160" s="244"/>
      <c r="H160" s="245"/>
      <c r="I160" s="245">
        <f t="shared" si="81"/>
        <v>0</v>
      </c>
      <c r="J160" s="246"/>
      <c r="K160" s="246"/>
      <c r="L160" s="247"/>
      <c r="M160" s="247"/>
      <c r="N160" s="242"/>
      <c r="O160" s="242"/>
      <c r="P160" s="245" t="e">
        <f t="shared" si="74"/>
        <v>#DIV/0!</v>
      </c>
      <c r="Q160" s="247" t="e">
        <f t="shared" si="82"/>
        <v>#DIV/0!</v>
      </c>
      <c r="R160" s="243" t="e">
        <f t="shared" si="73"/>
        <v>#DIV/0!</v>
      </c>
    </row>
    <row r="161" spans="1:18" ht="12.75">
      <c r="A161" s="115" t="s">
        <v>202</v>
      </c>
      <c r="B161" s="107"/>
      <c r="C161" s="71" t="s">
        <v>203</v>
      </c>
      <c r="D161" s="257">
        <f t="shared" si="80"/>
        <v>0</v>
      </c>
      <c r="E161" s="244">
        <f>F161</f>
        <v>0</v>
      </c>
      <c r="F161" s="256"/>
      <c r="G161" s="256"/>
      <c r="H161" s="245"/>
      <c r="I161" s="245"/>
      <c r="J161" s="246"/>
      <c r="K161" s="246"/>
      <c r="L161" s="247"/>
      <c r="M161" s="247"/>
      <c r="N161" s="242"/>
      <c r="O161" s="242"/>
      <c r="P161" s="245" t="e">
        <f t="shared" si="74"/>
        <v>#DIV/0!</v>
      </c>
      <c r="Q161" s="247"/>
      <c r="R161" s="243"/>
    </row>
    <row r="162" spans="1:18" ht="12.75">
      <c r="A162" s="99" t="s">
        <v>206</v>
      </c>
      <c r="B162" s="99"/>
      <c r="C162" s="108" t="s">
        <v>207</v>
      </c>
      <c r="D162" s="248">
        <f aca="true" t="shared" si="83" ref="D162:K162">D163+D164</f>
        <v>23827.2</v>
      </c>
      <c r="E162" s="266">
        <f t="shared" si="83"/>
        <v>12036.1</v>
      </c>
      <c r="F162" s="266">
        <f t="shared" si="83"/>
        <v>4920</v>
      </c>
      <c r="G162" s="266">
        <f t="shared" si="83"/>
        <v>7116.1</v>
      </c>
      <c r="H162" s="248">
        <f t="shared" si="83"/>
        <v>7070.1</v>
      </c>
      <c r="I162" s="248">
        <f t="shared" si="83"/>
        <v>19106.2</v>
      </c>
      <c r="J162" s="248">
        <f t="shared" si="83"/>
        <v>4721</v>
      </c>
      <c r="K162" s="248">
        <f t="shared" si="83"/>
        <v>15749.9</v>
      </c>
      <c r="L162" s="241" t="e">
        <f>K162/#REF!*100</f>
        <v>#REF!</v>
      </c>
      <c r="M162" s="241">
        <f>K162/H162*100</f>
        <v>222.76771191355144</v>
      </c>
      <c r="N162" s="242"/>
      <c r="O162" s="242"/>
      <c r="P162" s="249">
        <f t="shared" si="74"/>
        <v>333.6136411777166</v>
      </c>
      <c r="Q162" s="241">
        <f>K162*100/I162</f>
        <v>82.43345092169034</v>
      </c>
      <c r="R162" s="243">
        <f t="shared" si="73"/>
        <v>66.10050698361536</v>
      </c>
    </row>
    <row r="163" spans="1:18" ht="24">
      <c r="A163" s="69" t="s">
        <v>208</v>
      </c>
      <c r="B163" s="67"/>
      <c r="C163" s="109" t="s">
        <v>209</v>
      </c>
      <c r="D163" s="257">
        <f t="shared" si="80"/>
        <v>23809.2</v>
      </c>
      <c r="E163" s="244">
        <f>F163+G163</f>
        <v>12018.1</v>
      </c>
      <c r="F163" s="244">
        <v>4920</v>
      </c>
      <c r="G163" s="244">
        <v>7098.1</v>
      </c>
      <c r="H163" s="245">
        <f>6655.3+219.6+195.2</f>
        <v>7070.1</v>
      </c>
      <c r="I163" s="245">
        <f>E163+H163</f>
        <v>19088.2</v>
      </c>
      <c r="J163" s="246">
        <v>4721</v>
      </c>
      <c r="K163" s="246">
        <v>15731.9</v>
      </c>
      <c r="L163" s="247" t="e">
        <f>K163/#REF!*100</f>
        <v>#REF!</v>
      </c>
      <c r="M163" s="247">
        <f>K163/H163*100</f>
        <v>222.51311862632775</v>
      </c>
      <c r="N163" s="242"/>
      <c r="O163" s="242"/>
      <c r="P163" s="245">
        <f t="shared" si="74"/>
        <v>333.23236602414744</v>
      </c>
      <c r="Q163" s="247">
        <f t="shared" si="82"/>
        <v>82.41688582475037</v>
      </c>
      <c r="R163" s="246">
        <f t="shared" si="73"/>
        <v>66.0748786183492</v>
      </c>
    </row>
    <row r="164" spans="1:18" ht="12.75">
      <c r="A164" s="69" t="s">
        <v>210</v>
      </c>
      <c r="B164" s="69"/>
      <c r="C164" s="110" t="s">
        <v>211</v>
      </c>
      <c r="D164" s="257">
        <f>F164+G164+H164+J164</f>
        <v>18</v>
      </c>
      <c r="E164" s="244">
        <f>F164+G164</f>
        <v>18</v>
      </c>
      <c r="F164" s="250"/>
      <c r="G164" s="250">
        <v>18</v>
      </c>
      <c r="H164" s="245"/>
      <c r="I164" s="245">
        <f>E164+H164</f>
        <v>18</v>
      </c>
      <c r="J164" s="246"/>
      <c r="K164" s="246">
        <v>18</v>
      </c>
      <c r="L164" s="247" t="e">
        <f>K164/#REF!*100</f>
        <v>#REF!</v>
      </c>
      <c r="M164" s="247"/>
      <c r="N164" s="242"/>
      <c r="O164" s="242"/>
      <c r="P164" s="245" t="e">
        <f t="shared" si="74"/>
        <v>#DIV/0!</v>
      </c>
      <c r="Q164" s="247">
        <f>K164*100/I164</f>
        <v>100</v>
      </c>
      <c r="R164" s="246">
        <f>K164*100/D164</f>
        <v>100</v>
      </c>
    </row>
    <row r="165" spans="1:18" ht="12.75">
      <c r="A165" s="74"/>
      <c r="B165" s="75"/>
      <c r="C165" s="76" t="s">
        <v>216</v>
      </c>
      <c r="D165" s="243">
        <f aca="true" t="shared" si="84" ref="D165:K165">D162+D153</f>
        <v>27596.7</v>
      </c>
      <c r="E165" s="243">
        <f t="shared" si="84"/>
        <v>14039.1</v>
      </c>
      <c r="F165" s="243">
        <f t="shared" si="84"/>
        <v>5656</v>
      </c>
      <c r="G165" s="243">
        <f t="shared" si="84"/>
        <v>8383.1</v>
      </c>
      <c r="H165" s="243">
        <f t="shared" si="84"/>
        <v>7931.1</v>
      </c>
      <c r="I165" s="243">
        <f t="shared" si="84"/>
        <v>21970.2</v>
      </c>
      <c r="J165" s="243">
        <f t="shared" si="84"/>
        <v>5626.5</v>
      </c>
      <c r="K165" s="243">
        <f t="shared" si="84"/>
        <v>18839</v>
      </c>
      <c r="L165" s="241" t="e">
        <f>K165/#REF!*100</f>
        <v>#REF!</v>
      </c>
      <c r="M165" s="241">
        <f>K165/H165*100</f>
        <v>237.53325516006606</v>
      </c>
      <c r="N165" s="242"/>
      <c r="O165" s="252" t="e">
        <f>J165+#REF!+#REF!</f>
        <v>#REF!</v>
      </c>
      <c r="P165" s="249">
        <f t="shared" si="74"/>
        <v>334.82626855060875</v>
      </c>
      <c r="Q165" s="241">
        <f>K165*100/I165</f>
        <v>85.74796770170504</v>
      </c>
      <c r="R165" s="243">
        <f t="shared" si="73"/>
        <v>68.2654085452246</v>
      </c>
    </row>
    <row r="166" spans="1:18" ht="12.75">
      <c r="A166" s="198"/>
      <c r="B166" s="199"/>
      <c r="C166" s="199"/>
      <c r="D166" s="199"/>
      <c r="E166" s="199"/>
      <c r="F166" s="199"/>
      <c r="G166" s="199"/>
      <c r="H166" s="199"/>
      <c r="I166" s="199"/>
      <c r="J166" s="199"/>
      <c r="K166" s="199"/>
      <c r="L166" s="199"/>
      <c r="M166" s="200"/>
      <c r="N166" s="102"/>
      <c r="O166" s="102"/>
      <c r="P166" s="111"/>
      <c r="Q166" s="101"/>
      <c r="R166" s="77"/>
    </row>
    <row r="167" spans="1:18" ht="12.75">
      <c r="A167" s="203" t="s">
        <v>226</v>
      </c>
      <c r="B167" s="203"/>
      <c r="C167" s="203"/>
      <c r="D167" s="203"/>
      <c r="E167" s="203"/>
      <c r="F167" s="203"/>
      <c r="G167" s="203"/>
      <c r="H167" s="203"/>
      <c r="I167" s="203"/>
      <c r="J167" s="203"/>
      <c r="K167" s="203"/>
      <c r="L167" s="203"/>
      <c r="M167" s="203"/>
      <c r="N167" s="203"/>
      <c r="O167" s="203"/>
      <c r="P167" s="203"/>
      <c r="Q167" s="101"/>
      <c r="R167" s="77"/>
    </row>
    <row r="168" spans="1:18" ht="12.75">
      <c r="A168" s="99" t="s">
        <v>178</v>
      </c>
      <c r="B168" s="99"/>
      <c r="C168" s="100" t="s">
        <v>179</v>
      </c>
      <c r="D168" s="241">
        <f aca="true" t="shared" si="85" ref="D168:K168">D169+D170+D171+D172+D173+D175+D177+D176+D174</f>
        <v>16610.5</v>
      </c>
      <c r="E168" s="241">
        <f t="shared" si="85"/>
        <v>7191</v>
      </c>
      <c r="F168" s="241">
        <f t="shared" si="85"/>
        <v>3017</v>
      </c>
      <c r="G168" s="241">
        <f t="shared" si="85"/>
        <v>4174</v>
      </c>
      <c r="H168" s="241">
        <f t="shared" si="85"/>
        <v>3030</v>
      </c>
      <c r="I168" s="241">
        <f t="shared" si="85"/>
        <v>10221</v>
      </c>
      <c r="J168" s="241">
        <f t="shared" si="85"/>
        <v>6389.5</v>
      </c>
      <c r="K168" s="241">
        <f t="shared" si="85"/>
        <v>10528.5</v>
      </c>
      <c r="L168" s="241" t="e">
        <f>K168/#REF!*100</f>
        <v>#REF!</v>
      </c>
      <c r="M168" s="241">
        <f>K168/H168*100</f>
        <v>347.4752475247525</v>
      </c>
      <c r="N168" s="242"/>
      <c r="O168" s="242"/>
      <c r="P168" s="241">
        <f t="shared" si="74"/>
        <v>164.77815165505908</v>
      </c>
      <c r="Q168" s="241">
        <f>K168*100/I168</f>
        <v>103.00851188729087</v>
      </c>
      <c r="R168" s="243">
        <f t="shared" si="73"/>
        <v>63.38460612263327</v>
      </c>
    </row>
    <row r="169" spans="1:18" ht="12.75">
      <c r="A169" s="74" t="s">
        <v>180</v>
      </c>
      <c r="B169" s="74"/>
      <c r="C169" s="103" t="s">
        <v>181</v>
      </c>
      <c r="D169" s="257">
        <f>F169+G169+H169+J169</f>
        <v>13512.7</v>
      </c>
      <c r="E169" s="244">
        <f aca="true" t="shared" si="86" ref="E169:E179">F169+G169</f>
        <v>5839.7</v>
      </c>
      <c r="F169" s="257">
        <v>2600</v>
      </c>
      <c r="G169" s="257">
        <v>3239.7</v>
      </c>
      <c r="H169" s="245">
        <v>2473</v>
      </c>
      <c r="I169" s="245">
        <f>E169+H169</f>
        <v>8312.7</v>
      </c>
      <c r="J169" s="246">
        <v>5200</v>
      </c>
      <c r="K169" s="246">
        <v>8557.5</v>
      </c>
      <c r="L169" s="247" t="e">
        <f>K169/#REF!*100</f>
        <v>#REF!</v>
      </c>
      <c r="M169" s="247">
        <f>K169/H169*100</f>
        <v>346.03720177921554</v>
      </c>
      <c r="N169" s="242"/>
      <c r="O169" s="242"/>
      <c r="P169" s="245">
        <f t="shared" si="74"/>
        <v>164.56730769230768</v>
      </c>
      <c r="Q169" s="247">
        <f aca="true" t="shared" si="87" ref="Q169:Q180">K169*100/I169</f>
        <v>102.94489155148146</v>
      </c>
      <c r="R169" s="246">
        <f t="shared" si="73"/>
        <v>63.329312424607956</v>
      </c>
    </row>
    <row r="170" spans="1:18" ht="12.75">
      <c r="A170" s="67" t="s">
        <v>182</v>
      </c>
      <c r="B170" s="67"/>
      <c r="C170" s="103" t="s">
        <v>183</v>
      </c>
      <c r="D170" s="257">
        <f aca="true" t="shared" si="88" ref="D170:D179">F170+G170+H170+J170</f>
        <v>0.3</v>
      </c>
      <c r="E170" s="244">
        <f t="shared" si="86"/>
        <v>0.3</v>
      </c>
      <c r="F170" s="257"/>
      <c r="G170" s="257">
        <v>0.3</v>
      </c>
      <c r="H170" s="245"/>
      <c r="I170" s="245">
        <f aca="true" t="shared" si="89" ref="I170:I179">E170+H170</f>
        <v>0.3</v>
      </c>
      <c r="J170" s="246"/>
      <c r="K170" s="246">
        <v>0.3</v>
      </c>
      <c r="L170" s="247"/>
      <c r="M170" s="247"/>
      <c r="N170" s="242"/>
      <c r="O170" s="242"/>
      <c r="P170" s="245" t="e">
        <f t="shared" si="74"/>
        <v>#DIV/0!</v>
      </c>
      <c r="Q170" s="247">
        <f t="shared" si="87"/>
        <v>100</v>
      </c>
      <c r="R170" s="246">
        <f t="shared" si="73"/>
        <v>100</v>
      </c>
    </row>
    <row r="171" spans="1:18" ht="12.75">
      <c r="A171" s="67" t="s">
        <v>184</v>
      </c>
      <c r="B171" s="67"/>
      <c r="C171" s="103" t="s">
        <v>185</v>
      </c>
      <c r="D171" s="257">
        <f t="shared" si="88"/>
        <v>1789</v>
      </c>
      <c r="E171" s="244">
        <f t="shared" si="86"/>
        <v>523</v>
      </c>
      <c r="F171" s="257">
        <v>154</v>
      </c>
      <c r="G171" s="257">
        <v>369</v>
      </c>
      <c r="H171" s="245">
        <v>404</v>
      </c>
      <c r="I171" s="245">
        <f t="shared" si="89"/>
        <v>927</v>
      </c>
      <c r="J171" s="246">
        <v>862</v>
      </c>
      <c r="K171" s="246">
        <v>578.9</v>
      </c>
      <c r="L171" s="247" t="e">
        <f>K171/#REF!*100</f>
        <v>#REF!</v>
      </c>
      <c r="M171" s="247">
        <f>K171/H171*100</f>
        <v>143.2920792079208</v>
      </c>
      <c r="N171" s="242"/>
      <c r="O171" s="242"/>
      <c r="P171" s="245">
        <f t="shared" si="74"/>
        <v>67.15777262180974</v>
      </c>
      <c r="Q171" s="247">
        <f t="shared" si="87"/>
        <v>62.448759439050704</v>
      </c>
      <c r="R171" s="246">
        <f t="shared" si="73"/>
        <v>32.35885969815539</v>
      </c>
    </row>
    <row r="172" spans="1:18" ht="12.75">
      <c r="A172" s="67" t="s">
        <v>186</v>
      </c>
      <c r="B172" s="67"/>
      <c r="C172" s="103" t="s">
        <v>187</v>
      </c>
      <c r="D172" s="257">
        <f t="shared" si="88"/>
        <v>189</v>
      </c>
      <c r="E172" s="244">
        <f t="shared" si="86"/>
        <v>100</v>
      </c>
      <c r="F172" s="257">
        <v>50</v>
      </c>
      <c r="G172" s="257">
        <v>50</v>
      </c>
      <c r="H172" s="245">
        <v>40</v>
      </c>
      <c r="I172" s="245">
        <f t="shared" si="89"/>
        <v>140</v>
      </c>
      <c r="J172" s="246">
        <v>49</v>
      </c>
      <c r="K172" s="246">
        <v>130.7</v>
      </c>
      <c r="L172" s="247" t="e">
        <f>K172/#REF!*100</f>
        <v>#REF!</v>
      </c>
      <c r="M172" s="247">
        <f>K172/H172*100</f>
        <v>326.74999999999994</v>
      </c>
      <c r="N172" s="242"/>
      <c r="O172" s="242"/>
      <c r="P172" s="245">
        <f t="shared" si="74"/>
        <v>266.73469387755097</v>
      </c>
      <c r="Q172" s="247">
        <f t="shared" si="87"/>
        <v>93.35714285714285</v>
      </c>
      <c r="R172" s="246">
        <f t="shared" si="73"/>
        <v>69.15343915343914</v>
      </c>
    </row>
    <row r="173" spans="1:18" ht="24">
      <c r="A173" s="68" t="s">
        <v>190</v>
      </c>
      <c r="B173" s="68"/>
      <c r="C173" s="103" t="s">
        <v>191</v>
      </c>
      <c r="D173" s="257">
        <f t="shared" si="88"/>
        <v>917.5</v>
      </c>
      <c r="E173" s="244">
        <f t="shared" si="86"/>
        <v>540</v>
      </c>
      <c r="F173" s="257">
        <v>130</v>
      </c>
      <c r="G173" s="257">
        <v>410</v>
      </c>
      <c r="H173" s="245">
        <v>110</v>
      </c>
      <c r="I173" s="245">
        <f t="shared" si="89"/>
        <v>650</v>
      </c>
      <c r="J173" s="246">
        <v>267.5</v>
      </c>
      <c r="K173" s="246">
        <v>1015.1</v>
      </c>
      <c r="L173" s="247" t="e">
        <f>K173/#REF!*100</f>
        <v>#REF!</v>
      </c>
      <c r="M173" s="247">
        <f>K173/H173*100</f>
        <v>922.8181818181819</v>
      </c>
      <c r="N173" s="242"/>
      <c r="O173" s="242"/>
      <c r="P173" s="245">
        <f t="shared" si="74"/>
        <v>379.4766355140187</v>
      </c>
      <c r="Q173" s="247">
        <f t="shared" si="87"/>
        <v>156.16923076923078</v>
      </c>
      <c r="R173" s="246">
        <f t="shared" si="73"/>
        <v>110.6376021798365</v>
      </c>
    </row>
    <row r="174" spans="1:18" ht="24">
      <c r="A174" s="105" t="s">
        <v>194</v>
      </c>
      <c r="B174" s="105"/>
      <c r="C174" s="103" t="s">
        <v>195</v>
      </c>
      <c r="D174" s="257">
        <f t="shared" si="88"/>
        <v>80</v>
      </c>
      <c r="E174" s="244">
        <f t="shared" si="86"/>
        <v>80</v>
      </c>
      <c r="F174" s="257">
        <v>80</v>
      </c>
      <c r="G174" s="257"/>
      <c r="H174" s="245"/>
      <c r="I174" s="245">
        <f t="shared" si="89"/>
        <v>80</v>
      </c>
      <c r="J174" s="246"/>
      <c r="K174" s="246">
        <v>80.7</v>
      </c>
      <c r="L174" s="247" t="e">
        <f>K174/#REF!*100</f>
        <v>#REF!</v>
      </c>
      <c r="M174" s="247" t="e">
        <f>K174/H174*100</f>
        <v>#DIV/0!</v>
      </c>
      <c r="N174" s="242"/>
      <c r="O174" s="242"/>
      <c r="P174" s="245" t="e">
        <f t="shared" si="74"/>
        <v>#DIV/0!</v>
      </c>
      <c r="Q174" s="247">
        <f t="shared" si="87"/>
        <v>100.875</v>
      </c>
      <c r="R174" s="246">
        <f t="shared" si="73"/>
        <v>100.875</v>
      </c>
    </row>
    <row r="175" spans="1:18" ht="24">
      <c r="A175" s="105" t="s">
        <v>196</v>
      </c>
      <c r="B175" s="105"/>
      <c r="C175" s="103" t="s">
        <v>197</v>
      </c>
      <c r="D175" s="257">
        <f t="shared" si="88"/>
        <v>122</v>
      </c>
      <c r="E175" s="244">
        <f t="shared" si="86"/>
        <v>108</v>
      </c>
      <c r="F175" s="257">
        <v>3</v>
      </c>
      <c r="G175" s="257">
        <v>105</v>
      </c>
      <c r="H175" s="245">
        <v>3</v>
      </c>
      <c r="I175" s="245">
        <f t="shared" si="89"/>
        <v>111</v>
      </c>
      <c r="J175" s="246">
        <v>11</v>
      </c>
      <c r="K175" s="246">
        <v>165.3</v>
      </c>
      <c r="L175" s="247" t="e">
        <f>K175/#REF!*100</f>
        <v>#REF!</v>
      </c>
      <c r="M175" s="247">
        <f>K175/H175*100</f>
        <v>5510</v>
      </c>
      <c r="N175" s="242"/>
      <c r="O175" s="242"/>
      <c r="P175" s="245">
        <f t="shared" si="74"/>
        <v>1502.7272727272727</v>
      </c>
      <c r="Q175" s="247">
        <f t="shared" si="87"/>
        <v>148.9189189189189</v>
      </c>
      <c r="R175" s="246">
        <f t="shared" si="73"/>
        <v>135.49180327868854</v>
      </c>
    </row>
    <row r="176" spans="1:18" ht="12.75">
      <c r="A176" s="74" t="s">
        <v>200</v>
      </c>
      <c r="B176" s="74"/>
      <c r="C176" s="103" t="s">
        <v>201</v>
      </c>
      <c r="D176" s="257">
        <f t="shared" si="88"/>
        <v>0</v>
      </c>
      <c r="E176" s="244">
        <f t="shared" si="86"/>
        <v>0</v>
      </c>
      <c r="F176" s="257"/>
      <c r="G176" s="257"/>
      <c r="H176" s="245"/>
      <c r="I176" s="245">
        <f t="shared" si="89"/>
        <v>0</v>
      </c>
      <c r="J176" s="246"/>
      <c r="K176" s="246"/>
      <c r="L176" s="247" t="e">
        <f>K176/#REF!*100</f>
        <v>#REF!</v>
      </c>
      <c r="M176" s="247"/>
      <c r="N176" s="242"/>
      <c r="O176" s="242"/>
      <c r="P176" s="245" t="e">
        <f t="shared" si="74"/>
        <v>#DIV/0!</v>
      </c>
      <c r="Q176" s="241" t="e">
        <f t="shared" si="87"/>
        <v>#DIV/0!</v>
      </c>
      <c r="R176" s="246"/>
    </row>
    <row r="177" spans="1:18" ht="12.75">
      <c r="A177" s="115" t="s">
        <v>202</v>
      </c>
      <c r="B177" s="107"/>
      <c r="C177" s="71" t="s">
        <v>203</v>
      </c>
      <c r="D177" s="257">
        <f t="shared" si="88"/>
        <v>0</v>
      </c>
      <c r="E177" s="244">
        <f t="shared" si="86"/>
        <v>0</v>
      </c>
      <c r="F177" s="265"/>
      <c r="G177" s="265"/>
      <c r="H177" s="245"/>
      <c r="I177" s="245">
        <f t="shared" si="89"/>
        <v>0</v>
      </c>
      <c r="J177" s="246"/>
      <c r="K177" s="246">
        <v>0</v>
      </c>
      <c r="L177" s="247" t="e">
        <f>K177/#REF!*100</f>
        <v>#REF!</v>
      </c>
      <c r="M177" s="247"/>
      <c r="N177" s="242"/>
      <c r="O177" s="242"/>
      <c r="P177" s="245" t="e">
        <f t="shared" si="74"/>
        <v>#DIV/0!</v>
      </c>
      <c r="Q177" s="241" t="e">
        <f t="shared" si="87"/>
        <v>#DIV/0!</v>
      </c>
      <c r="R177" s="243"/>
    </row>
    <row r="178" spans="1:18" ht="12.75">
      <c r="A178" s="99" t="s">
        <v>206</v>
      </c>
      <c r="B178" s="99"/>
      <c r="C178" s="108" t="s">
        <v>207</v>
      </c>
      <c r="D178" s="249">
        <f aca="true" t="shared" si="90" ref="D178:K178">D179</f>
        <v>34962.1</v>
      </c>
      <c r="E178" s="249">
        <f t="shared" si="90"/>
        <v>19685</v>
      </c>
      <c r="F178" s="249">
        <f t="shared" si="90"/>
        <v>8757.1</v>
      </c>
      <c r="G178" s="249">
        <f t="shared" si="90"/>
        <v>10927.9</v>
      </c>
      <c r="H178" s="249">
        <f t="shared" si="90"/>
        <v>7724.4</v>
      </c>
      <c r="I178" s="249">
        <f t="shared" si="90"/>
        <v>27409.4</v>
      </c>
      <c r="J178" s="249">
        <f t="shared" si="90"/>
        <v>7552.7</v>
      </c>
      <c r="K178" s="249">
        <f t="shared" si="90"/>
        <v>24507.3</v>
      </c>
      <c r="L178" s="241" t="e">
        <f>K178/#REF!*100</f>
        <v>#REF!</v>
      </c>
      <c r="M178" s="241">
        <f>K178/H178*100</f>
        <v>317.27124436849465</v>
      </c>
      <c r="N178" s="242"/>
      <c r="O178" s="242"/>
      <c r="P178" s="249">
        <f t="shared" si="74"/>
        <v>324.48395937876523</v>
      </c>
      <c r="Q178" s="241">
        <f t="shared" si="87"/>
        <v>89.41202653104409</v>
      </c>
      <c r="R178" s="243">
        <f t="shared" si="73"/>
        <v>70.09676192219575</v>
      </c>
    </row>
    <row r="179" spans="1:18" ht="24">
      <c r="A179" s="69" t="s">
        <v>208</v>
      </c>
      <c r="B179" s="67"/>
      <c r="C179" s="109" t="s">
        <v>209</v>
      </c>
      <c r="D179" s="257">
        <f t="shared" si="88"/>
        <v>34962.1</v>
      </c>
      <c r="E179" s="244">
        <f t="shared" si="86"/>
        <v>19685</v>
      </c>
      <c r="F179" s="257">
        <v>8757.1</v>
      </c>
      <c r="G179" s="257">
        <v>10927.9</v>
      </c>
      <c r="H179" s="245">
        <f>7552.7+65.7+106</f>
        <v>7724.4</v>
      </c>
      <c r="I179" s="245">
        <f t="shared" si="89"/>
        <v>27409.4</v>
      </c>
      <c r="J179" s="246">
        <v>7552.7</v>
      </c>
      <c r="K179" s="246">
        <v>24507.3</v>
      </c>
      <c r="L179" s="247" t="e">
        <f>K179/#REF!*100</f>
        <v>#REF!</v>
      </c>
      <c r="M179" s="247">
        <f>K179/H179*100</f>
        <v>317.27124436849465</v>
      </c>
      <c r="N179" s="242"/>
      <c r="O179" s="242"/>
      <c r="P179" s="245">
        <f t="shared" si="74"/>
        <v>324.48395937876523</v>
      </c>
      <c r="Q179" s="247">
        <f t="shared" si="87"/>
        <v>89.41202653104409</v>
      </c>
      <c r="R179" s="246">
        <f t="shared" si="73"/>
        <v>70.09676192219575</v>
      </c>
    </row>
    <row r="180" spans="1:18" ht="12.75">
      <c r="A180" s="74"/>
      <c r="B180" s="75"/>
      <c r="C180" s="76" t="s">
        <v>216</v>
      </c>
      <c r="D180" s="243">
        <f aca="true" t="shared" si="91" ref="D180:K180">D178+D168</f>
        <v>51572.6</v>
      </c>
      <c r="E180" s="243">
        <f t="shared" si="91"/>
        <v>26876</v>
      </c>
      <c r="F180" s="243">
        <f t="shared" si="91"/>
        <v>11774.1</v>
      </c>
      <c r="G180" s="243">
        <f t="shared" si="91"/>
        <v>15101.9</v>
      </c>
      <c r="H180" s="243">
        <f t="shared" si="91"/>
        <v>10754.4</v>
      </c>
      <c r="I180" s="243">
        <f t="shared" si="91"/>
        <v>37630.4</v>
      </c>
      <c r="J180" s="243">
        <f t="shared" si="91"/>
        <v>13942.2</v>
      </c>
      <c r="K180" s="243">
        <f t="shared" si="91"/>
        <v>35035.8</v>
      </c>
      <c r="L180" s="241" t="e">
        <f>K180/#REF!*100</f>
        <v>#REF!</v>
      </c>
      <c r="M180" s="241">
        <f>K180/H180*100</f>
        <v>325.7810756527561</v>
      </c>
      <c r="N180" s="242"/>
      <c r="O180" s="252" t="e">
        <f>J180+#REF!+#REF!</f>
        <v>#REF!</v>
      </c>
      <c r="P180" s="249">
        <f t="shared" si="74"/>
        <v>251.29319619572237</v>
      </c>
      <c r="Q180" s="241">
        <f t="shared" si="87"/>
        <v>93.10504273140866</v>
      </c>
      <c r="R180" s="243">
        <f t="shared" si="73"/>
        <v>67.93491117376283</v>
      </c>
    </row>
    <row r="181" spans="1:18" ht="12.75">
      <c r="A181" s="198"/>
      <c r="B181" s="199"/>
      <c r="C181" s="199"/>
      <c r="D181" s="199"/>
      <c r="E181" s="199"/>
      <c r="F181" s="199"/>
      <c r="G181" s="199"/>
      <c r="H181" s="199"/>
      <c r="I181" s="199"/>
      <c r="J181" s="199"/>
      <c r="K181" s="199"/>
      <c r="L181" s="199"/>
      <c r="M181" s="200"/>
      <c r="N181" s="102"/>
      <c r="O181" s="102"/>
      <c r="P181" s="111"/>
      <c r="Q181" s="101"/>
      <c r="R181" s="77"/>
    </row>
    <row r="182" spans="1:18" ht="12.75">
      <c r="A182" s="203" t="s">
        <v>227</v>
      </c>
      <c r="B182" s="203"/>
      <c r="C182" s="203"/>
      <c r="D182" s="203"/>
      <c r="E182" s="203"/>
      <c r="F182" s="203"/>
      <c r="G182" s="203"/>
      <c r="H182" s="203"/>
      <c r="I182" s="203"/>
      <c r="J182" s="203"/>
      <c r="K182" s="203"/>
      <c r="L182" s="203"/>
      <c r="M182" s="203"/>
      <c r="N182" s="203"/>
      <c r="O182" s="203"/>
      <c r="P182" s="203"/>
      <c r="Q182" s="101"/>
      <c r="R182" s="77"/>
    </row>
    <row r="183" spans="1:18" ht="12.75">
      <c r="A183" s="99" t="s">
        <v>178</v>
      </c>
      <c r="B183" s="99"/>
      <c r="C183" s="100" t="s">
        <v>179</v>
      </c>
      <c r="D183" s="241">
        <f aca="true" t="shared" si="92" ref="D183:K183">D184+D186+D188+D189+D187+D190+D191+D185</f>
        <v>1693.5</v>
      </c>
      <c r="E183" s="241">
        <f t="shared" si="92"/>
        <v>588</v>
      </c>
      <c r="F183" s="241">
        <f t="shared" si="92"/>
        <v>169</v>
      </c>
      <c r="G183" s="241">
        <f t="shared" si="92"/>
        <v>419</v>
      </c>
      <c r="H183" s="241">
        <f t="shared" si="92"/>
        <v>443</v>
      </c>
      <c r="I183" s="241">
        <f t="shared" si="92"/>
        <v>1031</v>
      </c>
      <c r="J183" s="241">
        <f t="shared" si="92"/>
        <v>662.5</v>
      </c>
      <c r="K183" s="241">
        <f t="shared" si="92"/>
        <v>857.9</v>
      </c>
      <c r="L183" s="241" t="e">
        <f>K183/#REF!*100</f>
        <v>#REF!</v>
      </c>
      <c r="M183" s="241">
        <f aca="true" t="shared" si="93" ref="M183:M189">K183/H183*100</f>
        <v>193.6568848758465</v>
      </c>
      <c r="N183" s="242"/>
      <c r="O183" s="242"/>
      <c r="P183" s="241">
        <f t="shared" si="74"/>
        <v>129.49433962264152</v>
      </c>
      <c r="Q183" s="241">
        <f>K183*100/I183</f>
        <v>83.21047526673132</v>
      </c>
      <c r="R183" s="243">
        <f t="shared" si="73"/>
        <v>50.65839976380278</v>
      </c>
    </row>
    <row r="184" spans="1:18" ht="12.75">
      <c r="A184" s="74" t="s">
        <v>180</v>
      </c>
      <c r="B184" s="74"/>
      <c r="C184" s="103" t="s">
        <v>181</v>
      </c>
      <c r="D184" s="257">
        <f>F184+G184+H184+J184</f>
        <v>1155</v>
      </c>
      <c r="E184" s="244">
        <f aca="true" t="shared" si="94" ref="E184:E193">F184+G184</f>
        <v>420</v>
      </c>
      <c r="F184" s="257">
        <v>120</v>
      </c>
      <c r="G184" s="257">
        <v>300</v>
      </c>
      <c r="H184" s="245">
        <v>270</v>
      </c>
      <c r="I184" s="245">
        <f>E184+H184</f>
        <v>690</v>
      </c>
      <c r="J184" s="245">
        <v>465</v>
      </c>
      <c r="K184" s="246">
        <v>659.8</v>
      </c>
      <c r="L184" s="247" t="e">
        <f>K184/#REF!*100</f>
        <v>#REF!</v>
      </c>
      <c r="M184" s="247">
        <f t="shared" si="93"/>
        <v>244.37037037037035</v>
      </c>
      <c r="N184" s="242"/>
      <c r="O184" s="242"/>
      <c r="P184" s="245">
        <f t="shared" si="74"/>
        <v>141.89247311827958</v>
      </c>
      <c r="Q184" s="247">
        <f aca="true" t="shared" si="95" ref="Q184:Q194">K184*100/I184</f>
        <v>95.6231884057971</v>
      </c>
      <c r="R184" s="246">
        <f t="shared" si="73"/>
        <v>57.125541125541126</v>
      </c>
    </row>
    <row r="185" spans="1:18" ht="36">
      <c r="A185" s="67" t="s">
        <v>182</v>
      </c>
      <c r="B185" s="122" t="s">
        <v>228</v>
      </c>
      <c r="C185" s="103" t="s">
        <v>183</v>
      </c>
      <c r="D185" s="257">
        <f aca="true" t="shared" si="96" ref="D185:D193">F185+G185+H185+J185</f>
        <v>7.1</v>
      </c>
      <c r="E185" s="244">
        <f t="shared" si="94"/>
        <v>7.1</v>
      </c>
      <c r="F185" s="257">
        <v>16</v>
      </c>
      <c r="G185" s="257">
        <v>-8.9</v>
      </c>
      <c r="H185" s="245"/>
      <c r="I185" s="245">
        <f aca="true" t="shared" si="97" ref="I185:I190">E185+H185</f>
        <v>7.1</v>
      </c>
      <c r="J185" s="245"/>
      <c r="K185" s="246">
        <v>7.1</v>
      </c>
      <c r="L185" s="247" t="e">
        <f>K185/#REF!*100</f>
        <v>#REF!</v>
      </c>
      <c r="M185" s="247"/>
      <c r="N185" s="242"/>
      <c r="O185" s="242"/>
      <c r="P185" s="245" t="e">
        <f t="shared" si="74"/>
        <v>#DIV/0!</v>
      </c>
      <c r="Q185" s="247">
        <f t="shared" si="95"/>
        <v>100</v>
      </c>
      <c r="R185" s="246">
        <f t="shared" si="73"/>
        <v>100</v>
      </c>
    </row>
    <row r="186" spans="1:18" ht="12.75">
      <c r="A186" s="67" t="s">
        <v>184</v>
      </c>
      <c r="B186" s="67"/>
      <c r="C186" s="103" t="s">
        <v>185</v>
      </c>
      <c r="D186" s="257">
        <f t="shared" si="96"/>
        <v>106</v>
      </c>
      <c r="E186" s="244">
        <f t="shared" si="94"/>
        <v>14</v>
      </c>
      <c r="F186" s="257">
        <v>6.5</v>
      </c>
      <c r="G186" s="257">
        <v>7.5</v>
      </c>
      <c r="H186" s="245">
        <v>46</v>
      </c>
      <c r="I186" s="245">
        <f t="shared" si="97"/>
        <v>60</v>
      </c>
      <c r="J186" s="245">
        <v>46</v>
      </c>
      <c r="K186" s="246">
        <v>6.5</v>
      </c>
      <c r="L186" s="247" t="e">
        <f>K186/#REF!*100</f>
        <v>#REF!</v>
      </c>
      <c r="M186" s="247">
        <f t="shared" si="93"/>
        <v>14.130434782608695</v>
      </c>
      <c r="N186" s="242"/>
      <c r="O186" s="242"/>
      <c r="P186" s="245">
        <f t="shared" si="74"/>
        <v>14.130434782608695</v>
      </c>
      <c r="Q186" s="247">
        <f t="shared" si="95"/>
        <v>10.833333333333334</v>
      </c>
      <c r="R186" s="246">
        <f t="shared" si="73"/>
        <v>6.132075471698113</v>
      </c>
    </row>
    <row r="187" spans="1:18" ht="12.75">
      <c r="A187" s="67" t="s">
        <v>186</v>
      </c>
      <c r="B187" s="67"/>
      <c r="C187" s="103" t="s">
        <v>187</v>
      </c>
      <c r="D187" s="257">
        <f t="shared" si="96"/>
        <v>28</v>
      </c>
      <c r="E187" s="244">
        <f t="shared" si="94"/>
        <v>9</v>
      </c>
      <c r="F187" s="257">
        <v>3</v>
      </c>
      <c r="G187" s="257">
        <v>6</v>
      </c>
      <c r="H187" s="245">
        <v>7</v>
      </c>
      <c r="I187" s="245">
        <f t="shared" si="97"/>
        <v>16</v>
      </c>
      <c r="J187" s="245">
        <v>12</v>
      </c>
      <c r="K187" s="246">
        <v>14.4</v>
      </c>
      <c r="L187" s="247" t="e">
        <f>K187/#REF!*100</f>
        <v>#REF!</v>
      </c>
      <c r="M187" s="247">
        <f t="shared" si="93"/>
        <v>205.71428571428575</v>
      </c>
      <c r="N187" s="242"/>
      <c r="O187" s="242"/>
      <c r="P187" s="245">
        <f t="shared" si="74"/>
        <v>120</v>
      </c>
      <c r="Q187" s="247">
        <f t="shared" si="95"/>
        <v>90</v>
      </c>
      <c r="R187" s="246">
        <f t="shared" si="73"/>
        <v>51.42857142857143</v>
      </c>
    </row>
    <row r="188" spans="1:18" ht="24">
      <c r="A188" s="68" t="s">
        <v>190</v>
      </c>
      <c r="B188" s="68"/>
      <c r="C188" s="103" t="s">
        <v>191</v>
      </c>
      <c r="D188" s="257">
        <f t="shared" si="96"/>
        <v>386.4</v>
      </c>
      <c r="E188" s="244">
        <f t="shared" si="94"/>
        <v>127.9</v>
      </c>
      <c r="F188" s="257">
        <v>23.5</v>
      </c>
      <c r="G188" s="257">
        <v>104.4</v>
      </c>
      <c r="H188" s="245">
        <v>119</v>
      </c>
      <c r="I188" s="245">
        <f t="shared" si="97"/>
        <v>246.9</v>
      </c>
      <c r="J188" s="245">
        <v>139.5</v>
      </c>
      <c r="K188" s="246">
        <v>158.7</v>
      </c>
      <c r="L188" s="247" t="e">
        <f>K188/#REF!*100</f>
        <v>#REF!</v>
      </c>
      <c r="M188" s="247">
        <f t="shared" si="93"/>
        <v>133.3613445378151</v>
      </c>
      <c r="N188" s="242"/>
      <c r="O188" s="242"/>
      <c r="P188" s="245">
        <f t="shared" si="74"/>
        <v>113.76344086021504</v>
      </c>
      <c r="Q188" s="247">
        <f t="shared" si="95"/>
        <v>64.27703523693802</v>
      </c>
      <c r="R188" s="246">
        <f t="shared" si="73"/>
        <v>41.07142857142857</v>
      </c>
    </row>
    <row r="189" spans="1:18" ht="24">
      <c r="A189" s="104" t="s">
        <v>196</v>
      </c>
      <c r="B189" s="104"/>
      <c r="C189" s="103" t="s">
        <v>197</v>
      </c>
      <c r="D189" s="257">
        <f t="shared" si="96"/>
        <v>1</v>
      </c>
      <c r="E189" s="244">
        <f t="shared" si="94"/>
        <v>0</v>
      </c>
      <c r="F189" s="257"/>
      <c r="G189" s="257"/>
      <c r="H189" s="245">
        <v>1</v>
      </c>
      <c r="I189" s="245">
        <f t="shared" si="97"/>
        <v>1</v>
      </c>
      <c r="J189" s="245"/>
      <c r="K189" s="246">
        <v>0.6</v>
      </c>
      <c r="L189" s="247" t="e">
        <f>K189/#REF!*100</f>
        <v>#REF!</v>
      </c>
      <c r="M189" s="247">
        <f t="shared" si="93"/>
        <v>60</v>
      </c>
      <c r="N189" s="242"/>
      <c r="O189" s="242"/>
      <c r="P189" s="245" t="e">
        <f t="shared" si="74"/>
        <v>#DIV/0!</v>
      </c>
      <c r="Q189" s="247">
        <f t="shared" si="95"/>
        <v>60</v>
      </c>
      <c r="R189" s="246">
        <f t="shared" si="73"/>
        <v>60</v>
      </c>
    </row>
    <row r="190" spans="1:18" ht="12.75">
      <c r="A190" s="104" t="s">
        <v>200</v>
      </c>
      <c r="B190" s="121"/>
      <c r="C190" s="103" t="s">
        <v>201</v>
      </c>
      <c r="D190" s="257">
        <f t="shared" si="96"/>
        <v>10</v>
      </c>
      <c r="E190" s="244">
        <f t="shared" si="94"/>
        <v>10</v>
      </c>
      <c r="F190" s="257"/>
      <c r="G190" s="257">
        <v>10</v>
      </c>
      <c r="H190" s="245"/>
      <c r="I190" s="245">
        <f t="shared" si="97"/>
        <v>10</v>
      </c>
      <c r="J190" s="245"/>
      <c r="K190" s="246">
        <v>10</v>
      </c>
      <c r="L190" s="247" t="e">
        <f>K190/#REF!*100</f>
        <v>#REF!</v>
      </c>
      <c r="M190" s="247"/>
      <c r="N190" s="242"/>
      <c r="O190" s="242"/>
      <c r="P190" s="245" t="e">
        <f t="shared" si="74"/>
        <v>#DIV/0!</v>
      </c>
      <c r="Q190" s="247">
        <f t="shared" si="95"/>
        <v>100</v>
      </c>
      <c r="R190" s="246">
        <f>K190*100/D190</f>
        <v>100</v>
      </c>
    </row>
    <row r="191" spans="1:18" ht="12.75">
      <c r="A191" s="115" t="s">
        <v>202</v>
      </c>
      <c r="B191" s="107"/>
      <c r="C191" s="71" t="s">
        <v>203</v>
      </c>
      <c r="D191" s="257">
        <f t="shared" si="96"/>
        <v>0</v>
      </c>
      <c r="E191" s="244">
        <f t="shared" si="94"/>
        <v>0</v>
      </c>
      <c r="F191" s="257"/>
      <c r="G191" s="257"/>
      <c r="H191" s="245"/>
      <c r="I191" s="245"/>
      <c r="J191" s="245"/>
      <c r="K191" s="246">
        <v>0.8</v>
      </c>
      <c r="L191" s="247" t="e">
        <f>K191/#REF!*100</f>
        <v>#REF!</v>
      </c>
      <c r="M191" s="247"/>
      <c r="N191" s="242"/>
      <c r="O191" s="242"/>
      <c r="P191" s="245" t="e">
        <f t="shared" si="74"/>
        <v>#DIV/0!</v>
      </c>
      <c r="Q191" s="247"/>
      <c r="R191" s="246"/>
    </row>
    <row r="192" spans="1:18" ht="12.75">
      <c r="A192" s="99" t="s">
        <v>206</v>
      </c>
      <c r="B192" s="99"/>
      <c r="C192" s="108" t="s">
        <v>207</v>
      </c>
      <c r="D192" s="248">
        <f aca="true" t="shared" si="98" ref="D192:K192">D193</f>
        <v>24773.8</v>
      </c>
      <c r="E192" s="248">
        <f t="shared" si="98"/>
        <v>11263.5</v>
      </c>
      <c r="F192" s="248">
        <f t="shared" si="98"/>
        <v>5288.7</v>
      </c>
      <c r="G192" s="248">
        <f t="shared" si="98"/>
        <v>5974.799999999999</v>
      </c>
      <c r="H192" s="248">
        <f t="shared" si="98"/>
        <v>8709.1</v>
      </c>
      <c r="I192" s="248">
        <f t="shared" si="98"/>
        <v>19972.6</v>
      </c>
      <c r="J192" s="248">
        <f t="shared" si="98"/>
        <v>4801.2</v>
      </c>
      <c r="K192" s="248">
        <f t="shared" si="98"/>
        <v>15582.1</v>
      </c>
      <c r="L192" s="241" t="e">
        <f>K192/#REF!*100</f>
        <v>#REF!</v>
      </c>
      <c r="M192" s="241">
        <f>K192/H192*100</f>
        <v>178.91745415714598</v>
      </c>
      <c r="N192" s="242"/>
      <c r="O192" s="242"/>
      <c r="P192" s="249">
        <f t="shared" si="74"/>
        <v>324.5459468466217</v>
      </c>
      <c r="Q192" s="241">
        <f t="shared" si="95"/>
        <v>78.01738381582769</v>
      </c>
      <c r="R192" s="243">
        <f t="shared" si="73"/>
        <v>62.897496548773304</v>
      </c>
    </row>
    <row r="193" spans="1:18" ht="24">
      <c r="A193" s="69" t="s">
        <v>208</v>
      </c>
      <c r="B193" s="67"/>
      <c r="C193" s="109" t="s">
        <v>209</v>
      </c>
      <c r="D193" s="257">
        <f t="shared" si="96"/>
        <v>24773.8</v>
      </c>
      <c r="E193" s="244">
        <f t="shared" si="94"/>
        <v>11263.5</v>
      </c>
      <c r="F193" s="257">
        <f>4207+1081.7</f>
        <v>5288.7</v>
      </c>
      <c r="G193" s="257">
        <f>5569+3.5+197.9+204.4</f>
        <v>5974.799999999999</v>
      </c>
      <c r="H193" s="245">
        <f>6714.1+1942.4+52.6</f>
        <v>8709.1</v>
      </c>
      <c r="I193" s="245">
        <f>E193+H193</f>
        <v>19972.6</v>
      </c>
      <c r="J193" s="245">
        <v>4801.2</v>
      </c>
      <c r="K193" s="246">
        <v>15582.1</v>
      </c>
      <c r="L193" s="247" t="e">
        <f>K193/#REF!*100</f>
        <v>#REF!</v>
      </c>
      <c r="M193" s="247">
        <f>K193/H193*100</f>
        <v>178.91745415714598</v>
      </c>
      <c r="N193" s="242"/>
      <c r="O193" s="242"/>
      <c r="P193" s="245">
        <f t="shared" si="74"/>
        <v>324.5459468466217</v>
      </c>
      <c r="Q193" s="247">
        <f t="shared" si="95"/>
        <v>78.01738381582769</v>
      </c>
      <c r="R193" s="246">
        <f t="shared" si="73"/>
        <v>62.897496548773304</v>
      </c>
    </row>
    <row r="194" spans="1:18" ht="12.75">
      <c r="A194" s="74"/>
      <c r="B194" s="75"/>
      <c r="C194" s="76" t="s">
        <v>216</v>
      </c>
      <c r="D194" s="243">
        <f aca="true" t="shared" si="99" ref="D194:K194">D192+D183</f>
        <v>26467.3</v>
      </c>
      <c r="E194" s="243">
        <f t="shared" si="99"/>
        <v>11851.5</v>
      </c>
      <c r="F194" s="249">
        <f t="shared" si="99"/>
        <v>5457.7</v>
      </c>
      <c r="G194" s="249">
        <f t="shared" si="99"/>
        <v>6393.799999999999</v>
      </c>
      <c r="H194" s="249">
        <f t="shared" si="99"/>
        <v>9152.1</v>
      </c>
      <c r="I194" s="249">
        <f t="shared" si="99"/>
        <v>21003.6</v>
      </c>
      <c r="J194" s="249">
        <f t="shared" si="99"/>
        <v>5463.7</v>
      </c>
      <c r="K194" s="243">
        <f t="shared" si="99"/>
        <v>16440</v>
      </c>
      <c r="L194" s="241" t="e">
        <f>K194/#REF!*100</f>
        <v>#REF!</v>
      </c>
      <c r="M194" s="241">
        <f>K194/H194*100</f>
        <v>179.6309043826007</v>
      </c>
      <c r="N194" s="242"/>
      <c r="O194" s="252" t="e">
        <f>J194+#REF!+#REF!</f>
        <v>#REF!</v>
      </c>
      <c r="P194" s="249">
        <f t="shared" si="74"/>
        <v>300.89499789519925</v>
      </c>
      <c r="Q194" s="241">
        <f t="shared" si="95"/>
        <v>78.2722961777981</v>
      </c>
      <c r="R194" s="243">
        <f t="shared" si="73"/>
        <v>62.11438265331182</v>
      </c>
    </row>
    <row r="195" spans="1:18" ht="12.75">
      <c r="A195" s="198"/>
      <c r="B195" s="199"/>
      <c r="C195" s="199"/>
      <c r="D195" s="199"/>
      <c r="E195" s="199"/>
      <c r="F195" s="199"/>
      <c r="G195" s="199"/>
      <c r="H195" s="199"/>
      <c r="I195" s="199"/>
      <c r="J195" s="199"/>
      <c r="K195" s="199"/>
      <c r="L195" s="199"/>
      <c r="M195" s="200"/>
      <c r="N195" s="102"/>
      <c r="O195" s="102"/>
      <c r="P195" s="111"/>
      <c r="Q195" s="101"/>
      <c r="R195" s="77"/>
    </row>
    <row r="196" spans="1:18" ht="12.75">
      <c r="A196" s="207" t="s">
        <v>229</v>
      </c>
      <c r="B196" s="208"/>
      <c r="C196" s="208"/>
      <c r="D196" s="208"/>
      <c r="E196" s="208"/>
      <c r="F196" s="208"/>
      <c r="G196" s="208"/>
      <c r="H196" s="208"/>
      <c r="I196" s="208"/>
      <c r="J196" s="208"/>
      <c r="K196" s="208"/>
      <c r="L196" s="208"/>
      <c r="M196" s="208"/>
      <c r="N196" s="208"/>
      <c r="O196" s="208"/>
      <c r="P196" s="208"/>
      <c r="Q196" s="208"/>
      <c r="R196" s="209"/>
    </row>
    <row r="197" spans="1:18" ht="12.75">
      <c r="A197" s="99" t="s">
        <v>178</v>
      </c>
      <c r="B197" s="123"/>
      <c r="C197" s="100" t="s">
        <v>179</v>
      </c>
      <c r="D197" s="241">
        <f aca="true" t="shared" si="100" ref="D197:K197">D198+D200+D201+D202+D204+D205+D207+D209+D206+D203+D210+D208+D199</f>
        <v>1010952.8999999999</v>
      </c>
      <c r="E197" s="241">
        <f t="shared" si="100"/>
        <v>502084.9</v>
      </c>
      <c r="F197" s="241">
        <f t="shared" si="100"/>
        <v>239675.40000000002</v>
      </c>
      <c r="G197" s="241">
        <f t="shared" si="100"/>
        <v>262409.5</v>
      </c>
      <c r="H197" s="241">
        <f t="shared" si="100"/>
        <v>239897.60000000003</v>
      </c>
      <c r="I197" s="241">
        <f t="shared" si="100"/>
        <v>741982.5</v>
      </c>
      <c r="J197" s="241">
        <f t="shared" si="100"/>
        <v>268970.5</v>
      </c>
      <c r="K197" s="241">
        <f t="shared" si="100"/>
        <v>672385.3000000002</v>
      </c>
      <c r="L197" s="241" t="e">
        <f>K197/#REF!*100</f>
        <v>#REF!</v>
      </c>
      <c r="M197" s="241">
        <f aca="true" t="shared" si="101" ref="M197:M208">K197/H197*100</f>
        <v>280.2801278545513</v>
      </c>
      <c r="N197" s="242"/>
      <c r="O197" s="242"/>
      <c r="P197" s="241">
        <f t="shared" si="74"/>
        <v>249.9847752820477</v>
      </c>
      <c r="Q197" s="241">
        <f>K197*100/I197</f>
        <v>90.62010222613068</v>
      </c>
      <c r="R197" s="243">
        <f t="shared" si="73"/>
        <v>66.51005205089182</v>
      </c>
    </row>
    <row r="198" spans="1:18" ht="36">
      <c r="A198" s="74" t="s">
        <v>180</v>
      </c>
      <c r="B198" s="124" t="s">
        <v>230</v>
      </c>
      <c r="C198" s="103" t="s">
        <v>181</v>
      </c>
      <c r="D198" s="257">
        <f>F198+G198+H198+J198</f>
        <v>782699.8</v>
      </c>
      <c r="E198" s="244">
        <f aca="true" t="shared" si="102" ref="E198:E214">F198+G198</f>
        <v>382277.80000000005</v>
      </c>
      <c r="F198" s="246">
        <f>F9+F31+F45+F61+F77+F94+F108+F123+F138+F154+F169+F184</f>
        <v>180524.7</v>
      </c>
      <c r="G198" s="246">
        <f>G9+G31+G45+G61+G77+G94+G108+G123+G138+G154+G169+G184</f>
        <v>201753.1</v>
      </c>
      <c r="H198" s="246">
        <f>H9+H31+H45+H61+H77+H94+H108+H123+H138+H154+H169+H184</f>
        <v>184993.90000000002</v>
      </c>
      <c r="I198" s="246">
        <f>H198+E198</f>
        <v>567271.7000000001</v>
      </c>
      <c r="J198" s="246">
        <f>J9+J31+J45+J61+J77+J94+J108+J123+J138+J154+J169+J184</f>
        <v>215428.1</v>
      </c>
      <c r="K198" s="246">
        <f>K9+K31+K45+K61+K77+K94+K108+K123+K138+K154+K169+K184+0.1</f>
        <v>508227.2</v>
      </c>
      <c r="L198" s="247" t="e">
        <f>K198/#REF!*100</f>
        <v>#REF!</v>
      </c>
      <c r="M198" s="247">
        <f t="shared" si="101"/>
        <v>274.72646395367633</v>
      </c>
      <c r="N198" s="242"/>
      <c r="O198" s="242"/>
      <c r="P198" s="245">
        <f t="shared" si="74"/>
        <v>235.9149990182339</v>
      </c>
      <c r="Q198" s="247">
        <f aca="true" t="shared" si="103" ref="Q198:Q215">K198*100/I198</f>
        <v>89.59149557434294</v>
      </c>
      <c r="R198" s="246">
        <f t="shared" si="73"/>
        <v>64.93258334804736</v>
      </c>
    </row>
    <row r="199" spans="1:18" ht="12.75">
      <c r="A199" s="67" t="s">
        <v>280</v>
      </c>
      <c r="B199" s="67"/>
      <c r="C199" s="103" t="s">
        <v>281</v>
      </c>
      <c r="D199" s="257">
        <f aca="true" t="shared" si="104" ref="D199:D214">F199+G199+H199+J199</f>
        <v>40154.200000000004</v>
      </c>
      <c r="E199" s="244">
        <f t="shared" si="102"/>
        <v>18807.4</v>
      </c>
      <c r="F199" s="246">
        <f aca="true" t="shared" si="105" ref="F199:P199">F10</f>
        <v>8828.2</v>
      </c>
      <c r="G199" s="246">
        <f t="shared" si="105"/>
        <v>9979.2</v>
      </c>
      <c r="H199" s="246">
        <f t="shared" si="105"/>
        <v>9979.2</v>
      </c>
      <c r="I199" s="246">
        <f aca="true" t="shared" si="106" ref="I199:I210">H199+E199</f>
        <v>28786.600000000002</v>
      </c>
      <c r="J199" s="246">
        <f t="shared" si="105"/>
        <v>11367.6</v>
      </c>
      <c r="K199" s="246">
        <f>K10</f>
        <v>22123.8</v>
      </c>
      <c r="L199" s="246">
        <f t="shared" si="105"/>
        <v>0</v>
      </c>
      <c r="M199" s="246">
        <f t="shared" si="105"/>
        <v>0</v>
      </c>
      <c r="N199" s="246">
        <f t="shared" si="105"/>
        <v>0</v>
      </c>
      <c r="O199" s="246">
        <f t="shared" si="105"/>
        <v>0</v>
      </c>
      <c r="P199" s="246">
        <f t="shared" si="105"/>
        <v>0</v>
      </c>
      <c r="Q199" s="247">
        <f t="shared" si="103"/>
        <v>76.85450869501781</v>
      </c>
      <c r="R199" s="246">
        <f t="shared" si="73"/>
        <v>55.097100676890584</v>
      </c>
    </row>
    <row r="200" spans="1:18" ht="36">
      <c r="A200" s="67" t="s">
        <v>182</v>
      </c>
      <c r="B200" s="122" t="s">
        <v>228</v>
      </c>
      <c r="C200" s="103" t="s">
        <v>183</v>
      </c>
      <c r="D200" s="257">
        <f>F200+G200+H200+J200-0.1</f>
        <v>34234.6</v>
      </c>
      <c r="E200" s="244">
        <f t="shared" si="102"/>
        <v>17059.299999999996</v>
      </c>
      <c r="F200" s="246">
        <f>F11+F46+F62+F185+F139+F109+F170</f>
        <v>8556</v>
      </c>
      <c r="G200" s="246">
        <f>G11+G46+G62+G185+G139+G109+G170</f>
        <v>8503.299999999997</v>
      </c>
      <c r="H200" s="246">
        <f>H11+H46+H62+H185+H139+H109+H170</f>
        <v>8540.3</v>
      </c>
      <c r="I200" s="246">
        <f t="shared" si="106"/>
        <v>25599.599999999995</v>
      </c>
      <c r="J200" s="246">
        <f>J11+J46+J62+J185+J139+J109+J170</f>
        <v>8635.099999999999</v>
      </c>
      <c r="K200" s="246">
        <f>K11+K46+K62+K185+K139+K109+K170-0.1</f>
        <v>24684.3</v>
      </c>
      <c r="L200" s="247" t="e">
        <f>K200/#REF!*100</f>
        <v>#REF!</v>
      </c>
      <c r="M200" s="247">
        <f t="shared" si="101"/>
        <v>289.0331721368102</v>
      </c>
      <c r="N200" s="242"/>
      <c r="O200" s="242"/>
      <c r="P200" s="245">
        <f t="shared" si="74"/>
        <v>285.8600363632153</v>
      </c>
      <c r="Q200" s="247">
        <f t="shared" si="103"/>
        <v>96.42455350864859</v>
      </c>
      <c r="R200" s="246">
        <f t="shared" si="73"/>
        <v>72.10336910610903</v>
      </c>
    </row>
    <row r="201" spans="1:18" ht="36">
      <c r="A201" s="67" t="s">
        <v>184</v>
      </c>
      <c r="B201" s="122" t="s">
        <v>231</v>
      </c>
      <c r="C201" s="103" t="s">
        <v>185</v>
      </c>
      <c r="D201" s="257">
        <f t="shared" si="104"/>
        <v>17932</v>
      </c>
      <c r="E201" s="244">
        <f t="shared" si="102"/>
        <v>7934.400000000001</v>
      </c>
      <c r="F201" s="246">
        <f>F12+F32+F47+F63+F79+F95+F110+F124+F140+F155+F171+F186</f>
        <v>3849.9000000000005</v>
      </c>
      <c r="G201" s="246">
        <f>G12+G32+G47+G63+G79+G95+G110+G124+G140+G155+G171+G186+0.1</f>
        <v>4084.5</v>
      </c>
      <c r="H201" s="246">
        <f>H12+H32+H47+H63+H79+H95+H110+H124+H140+H155+H171+H186</f>
        <v>4375.200000000001</v>
      </c>
      <c r="I201" s="246">
        <f t="shared" si="106"/>
        <v>12309.600000000002</v>
      </c>
      <c r="J201" s="246">
        <f>J12+J32+J47+J63+J79+J95+J110+J124+J140+J155+J171+J186-0.1</f>
        <v>5622.399999999999</v>
      </c>
      <c r="K201" s="246">
        <f>K12+K32+K47+K63+K79+K95+K110+K124+K140+K155+K171+K186+0.1</f>
        <v>9685.299999999997</v>
      </c>
      <c r="L201" s="247" t="e">
        <f>K201/#REF!*100</f>
        <v>#REF!</v>
      </c>
      <c r="M201" s="247">
        <f t="shared" si="101"/>
        <v>221.36816602669583</v>
      </c>
      <c r="N201" s="242"/>
      <c r="O201" s="242"/>
      <c r="P201" s="245">
        <f t="shared" si="74"/>
        <v>172.26273477518498</v>
      </c>
      <c r="Q201" s="247">
        <f t="shared" si="103"/>
        <v>78.6808669656203</v>
      </c>
      <c r="R201" s="246">
        <f t="shared" si="73"/>
        <v>54.011264778050396</v>
      </c>
    </row>
    <row r="202" spans="1:18" ht="36">
      <c r="A202" s="67" t="s">
        <v>186</v>
      </c>
      <c r="B202" s="122" t="s">
        <v>232</v>
      </c>
      <c r="C202" s="103" t="s">
        <v>187</v>
      </c>
      <c r="D202" s="257">
        <f t="shared" si="104"/>
        <v>3741.0000000000005</v>
      </c>
      <c r="E202" s="244">
        <f t="shared" si="102"/>
        <v>1931.2000000000003</v>
      </c>
      <c r="F202" s="246">
        <f>F13+F33+F64+F80+F96+F111+F125+F141+F156+F172+F187</f>
        <v>849.8000000000001</v>
      </c>
      <c r="G202" s="246">
        <f>G13+G33+G64+G80+G96+G111+G125+G141+G156+G172+G187</f>
        <v>1081.4</v>
      </c>
      <c r="H202" s="246">
        <f>H13+H33+H64+H80+H96+H111+H125+H141+H156+H172+H187</f>
        <v>1062.2</v>
      </c>
      <c r="I202" s="246">
        <f t="shared" si="106"/>
        <v>2993.4000000000005</v>
      </c>
      <c r="J202" s="246">
        <f>J13+J33+J64+J80+J96+J111+J125+J141+J156+J172+J187</f>
        <v>747.5999999999999</v>
      </c>
      <c r="K202" s="246">
        <f>K13+K33+K48+K64+K80+K96+K111+K125+K141+K156+K172+K187-0.1</f>
        <v>3087.2</v>
      </c>
      <c r="L202" s="247" t="e">
        <f>K202/#REF!*100</f>
        <v>#REF!</v>
      </c>
      <c r="M202" s="247">
        <f t="shared" si="101"/>
        <v>290.64206364149874</v>
      </c>
      <c r="N202" s="242"/>
      <c r="O202" s="242"/>
      <c r="P202" s="245">
        <f t="shared" si="74"/>
        <v>412.94810058855006</v>
      </c>
      <c r="Q202" s="247">
        <f t="shared" si="103"/>
        <v>103.13356049976613</v>
      </c>
      <c r="R202" s="246">
        <f t="shared" si="73"/>
        <v>82.52338946805666</v>
      </c>
    </row>
    <row r="203" spans="1:18" ht="24">
      <c r="A203" s="67" t="s">
        <v>188</v>
      </c>
      <c r="B203" s="122" t="s">
        <v>233</v>
      </c>
      <c r="C203" s="103" t="s">
        <v>189</v>
      </c>
      <c r="D203" s="257">
        <f t="shared" si="104"/>
        <v>0</v>
      </c>
      <c r="E203" s="244">
        <f t="shared" si="102"/>
        <v>0</v>
      </c>
      <c r="F203" s="267">
        <f>F14</f>
        <v>0</v>
      </c>
      <c r="G203" s="267">
        <f>G14</f>
        <v>0</v>
      </c>
      <c r="H203" s="267">
        <f>H14</f>
        <v>0</v>
      </c>
      <c r="I203" s="246">
        <f t="shared" si="106"/>
        <v>0</v>
      </c>
      <c r="J203" s="267">
        <f>J14</f>
        <v>0</v>
      </c>
      <c r="K203" s="267">
        <f>K14</f>
        <v>0</v>
      </c>
      <c r="L203" s="247" t="e">
        <f>K203/#REF!*100</f>
        <v>#REF!</v>
      </c>
      <c r="M203" s="247"/>
      <c r="N203" s="242"/>
      <c r="O203" s="242"/>
      <c r="P203" s="245" t="e">
        <f t="shared" si="74"/>
        <v>#DIV/0!</v>
      </c>
      <c r="Q203" s="247" t="e">
        <f t="shared" si="103"/>
        <v>#DIV/0!</v>
      </c>
      <c r="R203" s="246"/>
    </row>
    <row r="204" spans="1:18" ht="36">
      <c r="A204" s="68" t="s">
        <v>190</v>
      </c>
      <c r="B204" s="125" t="s">
        <v>234</v>
      </c>
      <c r="C204" s="103" t="s">
        <v>191</v>
      </c>
      <c r="D204" s="257">
        <f t="shared" si="104"/>
        <v>83485.9</v>
      </c>
      <c r="E204" s="244">
        <f t="shared" si="102"/>
        <v>42191.600000000006</v>
      </c>
      <c r="F204" s="246">
        <f>F15+F34+F49+F65+F81+F97+F112+F126+F142+F157+F173+F188</f>
        <v>19825.5</v>
      </c>
      <c r="G204" s="246">
        <f>G15+G34+G49+G65+G81+G97+G112+G126+G142+G157+G173+G188</f>
        <v>22366.100000000002</v>
      </c>
      <c r="H204" s="246">
        <f>H15+H34+H49+H65+H81+H97+H112+H126+H142+H157+H173+H188</f>
        <v>20816.5</v>
      </c>
      <c r="I204" s="246">
        <f t="shared" si="106"/>
        <v>63008.100000000006</v>
      </c>
      <c r="J204" s="246">
        <f>J15+J34+J49+J65+J81+J97+J112+J126+J142+J157+J173+J188</f>
        <v>20477.799999999996</v>
      </c>
      <c r="K204" s="246">
        <f>K15+K34+K49+K65+K81+K97+K112+K126+K142+K157+K173+K188-0.1</f>
        <v>55856.7</v>
      </c>
      <c r="L204" s="247" t="e">
        <f>K204/#REF!*100</f>
        <v>#REF!</v>
      </c>
      <c r="M204" s="247">
        <f t="shared" si="101"/>
        <v>268.3289698076045</v>
      </c>
      <c r="N204" s="242"/>
      <c r="O204" s="242"/>
      <c r="P204" s="245">
        <f t="shared" si="74"/>
        <v>272.7670941214389</v>
      </c>
      <c r="Q204" s="247">
        <f t="shared" si="103"/>
        <v>88.65003071033723</v>
      </c>
      <c r="R204" s="246">
        <f aca="true" t="shared" si="107" ref="R204:R215">K204*100/D204</f>
        <v>66.90554932030439</v>
      </c>
    </row>
    <row r="205" spans="1:18" ht="12.75">
      <c r="A205" s="104" t="s">
        <v>192</v>
      </c>
      <c r="B205" s="126" t="s">
        <v>235</v>
      </c>
      <c r="C205" s="103" t="s">
        <v>193</v>
      </c>
      <c r="D205" s="257">
        <f t="shared" si="104"/>
        <v>16480.7</v>
      </c>
      <c r="E205" s="244">
        <f t="shared" si="102"/>
        <v>12316.6</v>
      </c>
      <c r="F205" s="246">
        <f>F16</f>
        <v>10236.2</v>
      </c>
      <c r="G205" s="246">
        <f>G16</f>
        <v>2080.4</v>
      </c>
      <c r="H205" s="246">
        <f>H16</f>
        <v>2080.4</v>
      </c>
      <c r="I205" s="246">
        <f t="shared" si="106"/>
        <v>14397</v>
      </c>
      <c r="J205" s="246">
        <f>J16</f>
        <v>2083.7</v>
      </c>
      <c r="K205" s="246">
        <f>K16</f>
        <v>13742.3</v>
      </c>
      <c r="L205" s="247" t="e">
        <f>K205/#REF!*100</f>
        <v>#REF!</v>
      </c>
      <c r="M205" s="247">
        <f t="shared" si="101"/>
        <v>660.5604691405499</v>
      </c>
      <c r="N205" s="242"/>
      <c r="O205" s="242"/>
      <c r="P205" s="245">
        <f t="shared" si="74"/>
        <v>659.5143254787158</v>
      </c>
      <c r="Q205" s="247">
        <f t="shared" si="103"/>
        <v>95.45252483156213</v>
      </c>
      <c r="R205" s="246">
        <f t="shared" si="107"/>
        <v>83.38420091379614</v>
      </c>
    </row>
    <row r="206" spans="1:18" ht="24">
      <c r="A206" s="105" t="s">
        <v>194</v>
      </c>
      <c r="B206" s="127" t="s">
        <v>236</v>
      </c>
      <c r="C206" s="103" t="s">
        <v>195</v>
      </c>
      <c r="D206" s="257">
        <f t="shared" si="104"/>
        <v>7774.5</v>
      </c>
      <c r="E206" s="244">
        <f t="shared" si="102"/>
        <v>5379.599999999999</v>
      </c>
      <c r="F206" s="268">
        <f>F17+F82+F98+F127+F143+F158+F174+F113+F66+F35</f>
        <v>2787.6</v>
      </c>
      <c r="G206" s="268">
        <f>G17+G82+G98+G127+G143+G158+G174+G113+G66+G35</f>
        <v>2591.9999999999995</v>
      </c>
      <c r="H206" s="268">
        <f>H17+H82+H98+H127+H143+H158+H174+H113+H66+H35</f>
        <v>1026.4</v>
      </c>
      <c r="I206" s="246">
        <f t="shared" si="106"/>
        <v>6406</v>
      </c>
      <c r="J206" s="268">
        <f>J17+J82+J98+J127+J143+J158+J174+J113+J66+J35</f>
        <v>1368.5000000000002</v>
      </c>
      <c r="K206" s="268">
        <f>K17+K82+K98+K127+K143+K158+K174+K113+K66+K35</f>
        <v>7836.1</v>
      </c>
      <c r="L206" s="247" t="e">
        <f>K206/#REF!*100</f>
        <v>#REF!</v>
      </c>
      <c r="M206" s="247">
        <f t="shared" si="101"/>
        <v>763.4547934528449</v>
      </c>
      <c r="N206" s="242"/>
      <c r="O206" s="242"/>
      <c r="P206" s="245">
        <f t="shared" si="74"/>
        <v>572.6050420168066</v>
      </c>
      <c r="Q206" s="247">
        <f t="shared" si="103"/>
        <v>122.32438339057134</v>
      </c>
      <c r="R206" s="246">
        <f t="shared" si="107"/>
        <v>100.79233391214869</v>
      </c>
    </row>
    <row r="207" spans="1:18" ht="24">
      <c r="A207" s="105" t="s">
        <v>196</v>
      </c>
      <c r="B207" s="127" t="s">
        <v>237</v>
      </c>
      <c r="C207" s="103" t="s">
        <v>197</v>
      </c>
      <c r="D207" s="257">
        <f t="shared" si="104"/>
        <v>13003</v>
      </c>
      <c r="E207" s="244">
        <f t="shared" si="102"/>
        <v>8169.4</v>
      </c>
      <c r="F207" s="246">
        <f>F18+F36+F50+F67+F83+F99+F114+F144+F159+F175+F189+F128</f>
        <v>2792.2</v>
      </c>
      <c r="G207" s="246">
        <f>G18+G36+G50+G67+G83+G99+G114+G144+G159+G175+G189+G128</f>
        <v>5377.2</v>
      </c>
      <c r="H207" s="246">
        <f>H18+H36+H50+H67+H83+H99+H114+H144+H159+H175+H189+H128</f>
        <v>2764.4999999999995</v>
      </c>
      <c r="I207" s="246">
        <f t="shared" si="106"/>
        <v>10933.9</v>
      </c>
      <c r="J207" s="246">
        <f>J18+J36+J50+J67+J83+J99+J114+J144+J159+J175+J189+J128</f>
        <v>2069.1</v>
      </c>
      <c r="K207" s="246">
        <f>K18+K36+K50+K67+K83+K99+K114+K144+K159+K175+K189+K128+0.2</f>
        <v>16110.899999999996</v>
      </c>
      <c r="L207" s="247" t="e">
        <f>K207/#REF!*100</f>
        <v>#REF!</v>
      </c>
      <c r="M207" s="247">
        <f t="shared" si="101"/>
        <v>582.7780792186652</v>
      </c>
      <c r="N207" s="242"/>
      <c r="O207" s="242"/>
      <c r="P207" s="245">
        <f aca="true" t="shared" si="108" ref="P207:P215">K207*100/J207</f>
        <v>778.642888212266</v>
      </c>
      <c r="Q207" s="247">
        <f t="shared" si="103"/>
        <v>147.34815573583072</v>
      </c>
      <c r="R207" s="246">
        <f t="shared" si="107"/>
        <v>123.90140736753054</v>
      </c>
    </row>
    <row r="208" spans="1:18" ht="12.75">
      <c r="A208" s="105" t="s">
        <v>198</v>
      </c>
      <c r="B208" s="105"/>
      <c r="C208" s="103" t="s">
        <v>199</v>
      </c>
      <c r="D208" s="257">
        <f t="shared" si="104"/>
        <v>20</v>
      </c>
      <c r="E208" s="244">
        <f t="shared" si="102"/>
        <v>8</v>
      </c>
      <c r="F208" s="246">
        <f>F19</f>
        <v>2</v>
      </c>
      <c r="G208" s="246">
        <f>G19</f>
        <v>6</v>
      </c>
      <c r="H208" s="246">
        <f>H19</f>
        <v>6</v>
      </c>
      <c r="I208" s="246">
        <f t="shared" si="106"/>
        <v>14</v>
      </c>
      <c r="J208" s="246">
        <f>J19</f>
        <v>6</v>
      </c>
      <c r="K208" s="246">
        <f>K19</f>
        <v>5.3</v>
      </c>
      <c r="L208" s="247" t="e">
        <f>K208/#REF!*100</f>
        <v>#REF!</v>
      </c>
      <c r="M208" s="247">
        <f t="shared" si="101"/>
        <v>88.33333333333333</v>
      </c>
      <c r="N208" s="242"/>
      <c r="O208" s="242"/>
      <c r="P208" s="245">
        <f t="shared" si="108"/>
        <v>88.33333333333333</v>
      </c>
      <c r="Q208" s="247">
        <f t="shared" si="103"/>
        <v>37.857142857142854</v>
      </c>
      <c r="R208" s="246">
        <f t="shared" si="107"/>
        <v>26.5</v>
      </c>
    </row>
    <row r="209" spans="1:18" ht="36">
      <c r="A209" s="74" t="s">
        <v>200</v>
      </c>
      <c r="B209" s="124" t="s">
        <v>238</v>
      </c>
      <c r="C209" s="103" t="s">
        <v>201</v>
      </c>
      <c r="D209" s="257">
        <f t="shared" si="104"/>
        <v>11427.2</v>
      </c>
      <c r="E209" s="244">
        <f t="shared" si="102"/>
        <v>6009.6</v>
      </c>
      <c r="F209" s="246">
        <f aca="true" t="shared" si="109" ref="F209:P209">F20+F176+F190+F68+F129+F51+F145+F84</f>
        <v>1423.3</v>
      </c>
      <c r="G209" s="246">
        <f t="shared" si="109"/>
        <v>4586.3</v>
      </c>
      <c r="H209" s="246">
        <f t="shared" si="109"/>
        <v>4253</v>
      </c>
      <c r="I209" s="246">
        <f t="shared" si="106"/>
        <v>10262.6</v>
      </c>
      <c r="J209" s="246">
        <f t="shared" si="109"/>
        <v>1164.6</v>
      </c>
      <c r="K209" s="246">
        <f>K20+K176+K190+K68+K129+K51+K145+K84</f>
        <v>11011.8</v>
      </c>
      <c r="L209" s="246" t="e">
        <f t="shared" si="109"/>
        <v>#REF!</v>
      </c>
      <c r="M209" s="246">
        <f t="shared" si="109"/>
        <v>1397.1022817840076</v>
      </c>
      <c r="N209" s="246">
        <f t="shared" si="109"/>
        <v>0</v>
      </c>
      <c r="O209" s="246">
        <f t="shared" si="109"/>
        <v>0</v>
      </c>
      <c r="P209" s="246" t="e">
        <f t="shared" si="109"/>
        <v>#DIV/0!</v>
      </c>
      <c r="Q209" s="247">
        <f t="shared" si="103"/>
        <v>107.3002942724066</v>
      </c>
      <c r="R209" s="246">
        <f t="shared" si="107"/>
        <v>96.36481377765331</v>
      </c>
    </row>
    <row r="210" spans="1:18" ht="24">
      <c r="A210" s="106" t="s">
        <v>202</v>
      </c>
      <c r="B210" s="128" t="s">
        <v>233</v>
      </c>
      <c r="C210" s="71" t="s">
        <v>203</v>
      </c>
      <c r="D210" s="257">
        <f t="shared" si="104"/>
        <v>0</v>
      </c>
      <c r="E210" s="244">
        <f t="shared" si="102"/>
        <v>0</v>
      </c>
      <c r="F210" s="246">
        <f>F21+F37+F52+F69+F85+F100+F116+F130+F146+F161+F177+F191</f>
        <v>0</v>
      </c>
      <c r="G210" s="246">
        <f>G21+G37+G52+G69+G85+G100+G116+G130+G146+G161+G177+G191</f>
        <v>0</v>
      </c>
      <c r="H210" s="246">
        <f>H21+H37+H52+H69+H85+H100+H116+H130+H146+H161+H177+H191</f>
        <v>0</v>
      </c>
      <c r="I210" s="246">
        <f t="shared" si="106"/>
        <v>0</v>
      </c>
      <c r="J210" s="246">
        <f>J21+J37+J52+J69+J85+J100+J116+J130+J146+J161+J177+J191</f>
        <v>0</v>
      </c>
      <c r="K210" s="246">
        <f>K21+K37+K52+K69+K85+K100+K116+K130+K146+K161+K177+K191</f>
        <v>14.400000000000002</v>
      </c>
      <c r="L210" s="247"/>
      <c r="M210" s="247"/>
      <c r="N210" s="242"/>
      <c r="O210" s="242"/>
      <c r="P210" s="245" t="e">
        <f t="shared" si="108"/>
        <v>#DIV/0!</v>
      </c>
      <c r="Q210" s="247"/>
      <c r="R210" s="246"/>
    </row>
    <row r="211" spans="1:18" ht="12.75">
      <c r="A211" s="99" t="s">
        <v>206</v>
      </c>
      <c r="B211" s="123"/>
      <c r="C211" s="108" t="s">
        <v>207</v>
      </c>
      <c r="D211" s="248">
        <f aca="true" t="shared" si="110" ref="D211:K211">D212+D213+D214</f>
        <v>3025843.1999999997</v>
      </c>
      <c r="E211" s="248">
        <f t="shared" si="110"/>
        <v>983351.8999999999</v>
      </c>
      <c r="F211" s="248">
        <f t="shared" si="110"/>
        <v>239375.40000000002</v>
      </c>
      <c r="G211" s="248">
        <f t="shared" si="110"/>
        <v>743976.5</v>
      </c>
      <c r="H211" s="248">
        <f t="shared" si="110"/>
        <v>851361.7</v>
      </c>
      <c r="I211" s="248">
        <f t="shared" si="110"/>
        <v>1834713.5999999996</v>
      </c>
      <c r="J211" s="248">
        <f t="shared" si="110"/>
        <v>1191129.6</v>
      </c>
      <c r="K211" s="248">
        <f t="shared" si="110"/>
        <v>1836123.2</v>
      </c>
      <c r="L211" s="241" t="e">
        <f>K211/#REF!*100</f>
        <v>#REF!</v>
      </c>
      <c r="M211" s="241">
        <f>K211/H211*100</f>
        <v>215.66899239183533</v>
      </c>
      <c r="N211" s="242"/>
      <c r="O211" s="242"/>
      <c r="P211" s="249">
        <f t="shared" si="108"/>
        <v>154.14974155625046</v>
      </c>
      <c r="Q211" s="241">
        <f t="shared" si="103"/>
        <v>100.07682942994484</v>
      </c>
      <c r="R211" s="243">
        <f t="shared" si="107"/>
        <v>60.68137304669324</v>
      </c>
    </row>
    <row r="212" spans="1:18" ht="36">
      <c r="A212" s="69" t="s">
        <v>208</v>
      </c>
      <c r="B212" s="122" t="s">
        <v>239</v>
      </c>
      <c r="C212" s="109" t="s">
        <v>209</v>
      </c>
      <c r="D212" s="257">
        <f t="shared" si="104"/>
        <v>3112231.3</v>
      </c>
      <c r="E212" s="244">
        <f t="shared" si="102"/>
        <v>1061423.2</v>
      </c>
      <c r="F212" s="245">
        <f>F23-6274.7-64-111.5</f>
        <v>324432.2</v>
      </c>
      <c r="G212" s="245">
        <f>G23-9412.1-96-50.6-49.8</f>
        <v>736991</v>
      </c>
      <c r="H212" s="245">
        <f>H23-8470.9-86.4-41.5</f>
        <v>865678.4999999999</v>
      </c>
      <c r="I212" s="245">
        <f>E212+H212</f>
        <v>1927101.6999999997</v>
      </c>
      <c r="J212" s="245">
        <f>J23-7215.9-73.6</f>
        <v>1185129.6</v>
      </c>
      <c r="K212" s="245">
        <f>K23-15939.6</f>
        <v>1979960.4</v>
      </c>
      <c r="L212" s="247" t="e">
        <f>K212/#REF!*100</f>
        <v>#REF!</v>
      </c>
      <c r="M212" s="247">
        <f>K212/H212*100</f>
        <v>228.71775145160706</v>
      </c>
      <c r="N212" s="242"/>
      <c r="O212" s="242"/>
      <c r="P212" s="245">
        <f t="shared" si="108"/>
        <v>167.06699419202758</v>
      </c>
      <c r="Q212" s="247">
        <f t="shared" si="103"/>
        <v>102.74291180377249</v>
      </c>
      <c r="R212" s="246">
        <f t="shared" si="107"/>
        <v>63.61867769918001</v>
      </c>
    </row>
    <row r="213" spans="1:18" ht="36">
      <c r="A213" s="69" t="s">
        <v>210</v>
      </c>
      <c r="B213" s="69" t="s">
        <v>240</v>
      </c>
      <c r="C213" s="110" t="s">
        <v>211</v>
      </c>
      <c r="D213" s="257">
        <f t="shared" si="104"/>
        <v>27097</v>
      </c>
      <c r="E213" s="244">
        <f t="shared" si="102"/>
        <v>14360.7</v>
      </c>
      <c r="F213" s="246">
        <f>F24+F89+F103+F164+F133+F55+F40+F149</f>
        <v>7375.2</v>
      </c>
      <c r="G213" s="246">
        <f>G24+G89+G103+G164+G133+G55+G40+G149</f>
        <v>6985.5</v>
      </c>
      <c r="H213" s="246">
        <f>H24+H89+H103+H164+H133+H55+H40+H149+H72</f>
        <v>6736.3</v>
      </c>
      <c r="I213" s="246">
        <f>I24+I89+I103+I164+I133+I55+I40+I149+I72</f>
        <v>21097</v>
      </c>
      <c r="J213" s="246">
        <f>J24+J89+J103+J164+J133+J55+J40+J149+J72</f>
        <v>6000</v>
      </c>
      <c r="K213" s="246">
        <f>K24+K89+K103+K164+K133+K55+K40+K149+K72</f>
        <v>19610.3</v>
      </c>
      <c r="L213" s="247" t="e">
        <f>K213/#REF!*100</f>
        <v>#REF!</v>
      </c>
      <c r="M213" s="247">
        <f>K213/H213*100</f>
        <v>291.1138161898965</v>
      </c>
      <c r="N213" s="242"/>
      <c r="O213" s="242"/>
      <c r="P213" s="245">
        <f t="shared" si="108"/>
        <v>326.8383333333333</v>
      </c>
      <c r="Q213" s="247">
        <f t="shared" si="103"/>
        <v>92.9530264966583</v>
      </c>
      <c r="R213" s="246">
        <f t="shared" si="107"/>
        <v>72.37074214857734</v>
      </c>
    </row>
    <row r="214" spans="1:18" ht="36">
      <c r="A214" s="69" t="s">
        <v>214</v>
      </c>
      <c r="B214" s="70"/>
      <c r="C214" s="73" t="s">
        <v>215</v>
      </c>
      <c r="D214" s="257">
        <f t="shared" si="104"/>
        <v>-113485.1</v>
      </c>
      <c r="E214" s="244">
        <f t="shared" si="102"/>
        <v>-92432</v>
      </c>
      <c r="F214" s="246">
        <f>F26</f>
        <v>-92432</v>
      </c>
      <c r="G214" s="246">
        <f>G26</f>
        <v>0</v>
      </c>
      <c r="H214" s="246">
        <f>H26</f>
        <v>-21053.1</v>
      </c>
      <c r="I214" s="245">
        <f>E214+H214</f>
        <v>-113485.1</v>
      </c>
      <c r="J214" s="246">
        <f>J26</f>
        <v>0</v>
      </c>
      <c r="K214" s="246">
        <f>K26</f>
        <v>-163447.5</v>
      </c>
      <c r="L214" s="247" t="e">
        <f>K214/#REF!*100</f>
        <v>#REF!</v>
      </c>
      <c r="M214" s="247"/>
      <c r="N214" s="242"/>
      <c r="O214" s="242"/>
      <c r="P214" s="245" t="e">
        <f t="shared" si="108"/>
        <v>#DIV/0!</v>
      </c>
      <c r="Q214" s="247">
        <f t="shared" si="103"/>
        <v>144.0255152438514</v>
      </c>
      <c r="R214" s="246">
        <f t="shared" si="107"/>
        <v>144.0255152438514</v>
      </c>
    </row>
    <row r="215" spans="1:18" ht="12.75">
      <c r="A215" s="74"/>
      <c r="B215" s="75"/>
      <c r="C215" s="76" t="s">
        <v>216</v>
      </c>
      <c r="D215" s="243">
        <f aca="true" t="shared" si="111" ref="D215:K215">D211+D197</f>
        <v>4036796.0999999996</v>
      </c>
      <c r="E215" s="243">
        <f t="shared" si="111"/>
        <v>1485436.7999999998</v>
      </c>
      <c r="F215" s="243">
        <f t="shared" si="111"/>
        <v>479050.80000000005</v>
      </c>
      <c r="G215" s="243">
        <f t="shared" si="111"/>
        <v>1006386</v>
      </c>
      <c r="H215" s="243">
        <f t="shared" si="111"/>
        <v>1091259.3</v>
      </c>
      <c r="I215" s="243">
        <f t="shared" si="111"/>
        <v>2576696.0999999996</v>
      </c>
      <c r="J215" s="243">
        <f t="shared" si="111"/>
        <v>1460100.1</v>
      </c>
      <c r="K215" s="243">
        <f t="shared" si="111"/>
        <v>2508508.5</v>
      </c>
      <c r="L215" s="241" t="e">
        <f>K215/#REF!*100</f>
        <v>#REF!</v>
      </c>
      <c r="M215" s="241">
        <f>K215/H215*100</f>
        <v>229.8728175787368</v>
      </c>
      <c r="N215" s="242"/>
      <c r="O215" s="252" t="e">
        <f>J215+#REF!+#REF!</f>
        <v>#REF!</v>
      </c>
      <c r="P215" s="249">
        <f t="shared" si="108"/>
        <v>171.80387152908213</v>
      </c>
      <c r="Q215" s="241">
        <f t="shared" si="103"/>
        <v>97.3536809404881</v>
      </c>
      <c r="R215" s="243">
        <f t="shared" si="107"/>
        <v>62.14107519574745</v>
      </c>
    </row>
  </sheetData>
  <sheetProtection/>
  <mergeCells count="42">
    <mergeCell ref="A195:M195"/>
    <mergeCell ref="A196:R196"/>
    <mergeCell ref="A151:M151"/>
    <mergeCell ref="A152:P152"/>
    <mergeCell ref="A166:M166"/>
    <mergeCell ref="A167:P167"/>
    <mergeCell ref="A181:M181"/>
    <mergeCell ref="A182:P182"/>
    <mergeCell ref="A92:P92"/>
    <mergeCell ref="A105:M105"/>
    <mergeCell ref="A106:P106"/>
    <mergeCell ref="A120:M120"/>
    <mergeCell ref="A121:P121"/>
    <mergeCell ref="A135:M135"/>
    <mergeCell ref="C42:M42"/>
    <mergeCell ref="A43:P43"/>
    <mergeCell ref="A58:M58"/>
    <mergeCell ref="A59:P59"/>
    <mergeCell ref="A74:M74"/>
    <mergeCell ref="A75:P75"/>
    <mergeCell ref="A136:P136"/>
    <mergeCell ref="A91:M91"/>
    <mergeCell ref="L4:L6"/>
    <mergeCell ref="G4:G6"/>
    <mergeCell ref="A7:P7"/>
    <mergeCell ref="A28:M28"/>
    <mergeCell ref="A29:P29"/>
    <mergeCell ref="Q4:Q6"/>
    <mergeCell ref="H4:H6"/>
    <mergeCell ref="I4:I6"/>
    <mergeCell ref="J4:J6"/>
    <mergeCell ref="K4:K6"/>
    <mergeCell ref="O4:O6"/>
    <mergeCell ref="M4:M6"/>
    <mergeCell ref="N4:N6"/>
    <mergeCell ref="D4:D6"/>
    <mergeCell ref="E4:E6"/>
    <mergeCell ref="F4:F6"/>
    <mergeCell ref="P4:P6"/>
    <mergeCell ref="A1:R1"/>
    <mergeCell ref="A2:M2"/>
    <mergeCell ref="R4:R6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1"/>
  <sheetViews>
    <sheetView zoomScalePageLayoutView="0" workbookViewId="0" topLeftCell="A1">
      <selection activeCell="B6" sqref="B6:K8"/>
    </sheetView>
  </sheetViews>
  <sheetFormatPr defaultColWidth="9.00390625" defaultRowHeight="12.75"/>
  <cols>
    <col min="2" max="2" width="49.875" style="0" customWidth="1"/>
    <col min="3" max="3" width="14.375" style="0" customWidth="1"/>
    <col min="4" max="4" width="14.25390625" style="0" customWidth="1"/>
    <col min="5" max="5" width="8.375" style="0" customWidth="1"/>
    <col min="6" max="6" width="12.625" style="0" customWidth="1"/>
    <col min="7" max="7" width="12.375" style="0" customWidth="1"/>
    <col min="8" max="8" width="8.875" style="0" customWidth="1"/>
    <col min="9" max="9" width="14.75390625" style="0" customWidth="1"/>
    <col min="10" max="10" width="14.00390625" style="0" customWidth="1"/>
  </cols>
  <sheetData>
    <row r="1" spans="1:11" ht="24" customHeight="1">
      <c r="A1" s="221" t="s">
        <v>311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7.25" customHeight="1">
      <c r="A3" s="222" t="s">
        <v>98</v>
      </c>
      <c r="B3" s="224" t="s">
        <v>97</v>
      </c>
      <c r="C3" s="226" t="s">
        <v>113</v>
      </c>
      <c r="D3" s="226"/>
      <c r="E3" s="226"/>
      <c r="F3" s="227" t="s">
        <v>112</v>
      </c>
      <c r="G3" s="227"/>
      <c r="H3" s="227"/>
      <c r="I3" s="232" t="s">
        <v>111</v>
      </c>
      <c r="J3" s="232"/>
      <c r="K3" s="233"/>
    </row>
    <row r="4" spans="1:11" ht="16.5" customHeight="1">
      <c r="A4" s="223"/>
      <c r="B4" s="225"/>
      <c r="C4" s="215" t="s">
        <v>78</v>
      </c>
      <c r="D4" s="215" t="s">
        <v>312</v>
      </c>
      <c r="E4" s="215" t="s">
        <v>77</v>
      </c>
      <c r="F4" s="215" t="s">
        <v>78</v>
      </c>
      <c r="G4" s="218" t="s">
        <v>312</v>
      </c>
      <c r="H4" s="218" t="s">
        <v>77</v>
      </c>
      <c r="I4" s="219" t="s">
        <v>78</v>
      </c>
      <c r="J4" s="234" t="s">
        <v>313</v>
      </c>
      <c r="K4" s="228" t="s">
        <v>77</v>
      </c>
    </row>
    <row r="5" spans="1:11" ht="31.5" customHeight="1">
      <c r="A5" s="223"/>
      <c r="B5" s="225"/>
      <c r="C5" s="217"/>
      <c r="D5" s="215"/>
      <c r="E5" s="216"/>
      <c r="F5" s="217"/>
      <c r="G5" s="218"/>
      <c r="H5" s="217"/>
      <c r="I5" s="220"/>
      <c r="J5" s="234"/>
      <c r="K5" s="229"/>
    </row>
    <row r="6" spans="1:11" ht="12.75" customHeight="1">
      <c r="A6" s="223"/>
      <c r="B6" s="230" t="s">
        <v>0</v>
      </c>
      <c r="C6" s="230"/>
      <c r="D6" s="230"/>
      <c r="E6" s="230"/>
      <c r="F6" s="230"/>
      <c r="G6" s="230"/>
      <c r="H6" s="230"/>
      <c r="I6" s="230"/>
      <c r="J6" s="230"/>
      <c r="K6" s="231"/>
    </row>
    <row r="7" spans="1:11" ht="12.75" customHeight="1">
      <c r="A7" s="223"/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1" ht="12.75" customHeight="1">
      <c r="A8" s="223"/>
      <c r="B8" s="230"/>
      <c r="C8" s="230"/>
      <c r="D8" s="230"/>
      <c r="E8" s="230"/>
      <c r="F8" s="230"/>
      <c r="G8" s="230"/>
      <c r="H8" s="230"/>
      <c r="I8" s="230"/>
      <c r="J8" s="230"/>
      <c r="K8" s="231"/>
    </row>
    <row r="9" spans="1:11" ht="15">
      <c r="A9" s="132" t="s">
        <v>1</v>
      </c>
      <c r="B9" s="133" t="s">
        <v>2</v>
      </c>
      <c r="C9" s="134">
        <f>SUM(C10:C17)</f>
        <v>248463.30000000002</v>
      </c>
      <c r="D9" s="134">
        <f>SUM(D10:D17)</f>
        <v>173191.59999999998</v>
      </c>
      <c r="E9" s="134">
        <f>D9/C9*100</f>
        <v>69.70510332914357</v>
      </c>
      <c r="F9" s="134">
        <f>F10+F11+F12+F13+F14+F16+F17+F15</f>
        <v>182968.59999999998</v>
      </c>
      <c r="G9" s="134">
        <f>SUM(G10:G17)</f>
        <v>122614.90000000001</v>
      </c>
      <c r="H9" s="135">
        <f>G9/F9*100</f>
        <v>67.01417620291133</v>
      </c>
      <c r="I9" s="134">
        <f>SUM(I10:I17)</f>
        <v>431128.9</v>
      </c>
      <c r="J9" s="134">
        <f>SUM(J10:J17)</f>
        <v>295573.5</v>
      </c>
      <c r="K9" s="136">
        <f>J9/I9*100</f>
        <v>68.55803449965892</v>
      </c>
    </row>
    <row r="10" spans="1:11" ht="30">
      <c r="A10" s="137" t="s">
        <v>3</v>
      </c>
      <c r="B10" s="138" t="s">
        <v>4</v>
      </c>
      <c r="C10" s="129">
        <v>13561.1</v>
      </c>
      <c r="D10" s="129">
        <v>10216.2</v>
      </c>
      <c r="E10" s="129">
        <f>D10/C10*100</f>
        <v>75.33459675100103</v>
      </c>
      <c r="F10" s="139">
        <v>37311.9</v>
      </c>
      <c r="G10" s="139">
        <v>25832.6</v>
      </c>
      <c r="H10" s="139">
        <f>G10/F10*100</f>
        <v>69.23421214143475</v>
      </c>
      <c r="I10" s="140">
        <f aca="true" t="shared" si="0" ref="I10:J83">C10+F10</f>
        <v>50873</v>
      </c>
      <c r="J10" s="131">
        <f t="shared" si="0"/>
        <v>36048.8</v>
      </c>
      <c r="K10" s="141">
        <f aca="true" t="shared" si="1" ref="K10:K85">J10/I10*100</f>
        <v>70.86037780355002</v>
      </c>
    </row>
    <row r="11" spans="1:11" ht="30">
      <c r="A11" s="137" t="s">
        <v>5</v>
      </c>
      <c r="B11" s="138" t="s">
        <v>89</v>
      </c>
      <c r="C11" s="129">
        <v>24430.9</v>
      </c>
      <c r="D11" s="129">
        <v>16731.5</v>
      </c>
      <c r="E11" s="129">
        <f aca="true" t="shared" si="2" ref="E11:E19">D11/C11*100</f>
        <v>68.48499236622474</v>
      </c>
      <c r="F11" s="139">
        <v>0</v>
      </c>
      <c r="G11" s="139">
        <v>0</v>
      </c>
      <c r="H11" s="139">
        <v>0</v>
      </c>
      <c r="I11" s="140">
        <f t="shared" si="0"/>
        <v>24430.9</v>
      </c>
      <c r="J11" s="131">
        <f t="shared" si="0"/>
        <v>16731.5</v>
      </c>
      <c r="K11" s="141">
        <f t="shared" si="1"/>
        <v>68.48499236622474</v>
      </c>
    </row>
    <row r="12" spans="1:11" ht="30">
      <c r="A12" s="137" t="s">
        <v>6</v>
      </c>
      <c r="B12" s="138" t="s">
        <v>7</v>
      </c>
      <c r="C12" s="129">
        <v>116645.1</v>
      </c>
      <c r="D12" s="129">
        <v>85925.1</v>
      </c>
      <c r="E12" s="129">
        <f t="shared" si="2"/>
        <v>73.66370297595013</v>
      </c>
      <c r="F12" s="139">
        <v>111664.6</v>
      </c>
      <c r="G12" s="139">
        <v>79694.5</v>
      </c>
      <c r="H12" s="139">
        <f aca="true" t="shared" si="3" ref="H12:H19">G12/F12*100</f>
        <v>71.36952982413406</v>
      </c>
      <c r="I12" s="140">
        <f t="shared" si="0"/>
        <v>228309.7</v>
      </c>
      <c r="J12" s="131">
        <f t="shared" si="0"/>
        <v>165619.6</v>
      </c>
      <c r="K12" s="141">
        <f t="shared" si="1"/>
        <v>72.54163971132195</v>
      </c>
    </row>
    <row r="13" spans="1:11" ht="15">
      <c r="A13" s="137" t="s">
        <v>8</v>
      </c>
      <c r="B13" s="138" t="s">
        <v>9</v>
      </c>
      <c r="C13" s="129">
        <v>6.4</v>
      </c>
      <c r="D13" s="129">
        <v>0</v>
      </c>
      <c r="E13" s="129"/>
      <c r="F13" s="139">
        <v>0</v>
      </c>
      <c r="G13" s="139">
        <v>0</v>
      </c>
      <c r="H13" s="139">
        <v>0</v>
      </c>
      <c r="I13" s="140">
        <f t="shared" si="0"/>
        <v>6.4</v>
      </c>
      <c r="J13" s="131">
        <f t="shared" si="0"/>
        <v>0</v>
      </c>
      <c r="K13" s="141"/>
    </row>
    <row r="14" spans="1:11" ht="30">
      <c r="A14" s="137" t="s">
        <v>10</v>
      </c>
      <c r="B14" s="138" t="s">
        <v>11</v>
      </c>
      <c r="C14" s="129">
        <v>28221.2</v>
      </c>
      <c r="D14" s="129">
        <v>22461</v>
      </c>
      <c r="E14" s="129">
        <f t="shared" si="2"/>
        <v>79.589103227361</v>
      </c>
      <c r="F14" s="139">
        <v>267.8</v>
      </c>
      <c r="G14" s="139">
        <v>267.8</v>
      </c>
      <c r="H14" s="139">
        <f t="shared" si="3"/>
        <v>100</v>
      </c>
      <c r="I14" s="140">
        <f>C14+F14</f>
        <v>28489</v>
      </c>
      <c r="J14" s="131">
        <f>D14+G14</f>
        <v>22728.8</v>
      </c>
      <c r="K14" s="141">
        <f t="shared" si="1"/>
        <v>79.78096809294816</v>
      </c>
    </row>
    <row r="15" spans="1:11" ht="30">
      <c r="A15" s="142" t="s">
        <v>12</v>
      </c>
      <c r="B15" s="138" t="s">
        <v>169</v>
      </c>
      <c r="C15" s="129"/>
      <c r="D15" s="129"/>
      <c r="E15" s="129"/>
      <c r="F15" s="139">
        <v>170</v>
      </c>
      <c r="G15" s="139">
        <v>170</v>
      </c>
      <c r="H15" s="139">
        <f t="shared" si="3"/>
        <v>100</v>
      </c>
      <c r="I15" s="140">
        <f>C15+F15</f>
        <v>170</v>
      </c>
      <c r="J15" s="131">
        <f t="shared" si="0"/>
        <v>170</v>
      </c>
      <c r="K15" s="141">
        <f t="shared" si="1"/>
        <v>100</v>
      </c>
    </row>
    <row r="16" spans="1:11" ht="15">
      <c r="A16" s="142" t="s">
        <v>13</v>
      </c>
      <c r="B16" s="138" t="s">
        <v>14</v>
      </c>
      <c r="C16" s="129">
        <v>4036</v>
      </c>
      <c r="D16" s="129">
        <v>0</v>
      </c>
      <c r="E16" s="129">
        <f t="shared" si="2"/>
        <v>0</v>
      </c>
      <c r="F16" s="139">
        <v>996</v>
      </c>
      <c r="G16" s="139">
        <v>0</v>
      </c>
      <c r="H16" s="139">
        <f t="shared" si="3"/>
        <v>0</v>
      </c>
      <c r="I16" s="140">
        <f t="shared" si="0"/>
        <v>5032</v>
      </c>
      <c r="J16" s="131">
        <f t="shared" si="0"/>
        <v>0</v>
      </c>
      <c r="K16" s="141">
        <f t="shared" si="1"/>
        <v>0</v>
      </c>
    </row>
    <row r="17" spans="1:11" ht="15">
      <c r="A17" s="137" t="s">
        <v>80</v>
      </c>
      <c r="B17" s="138" t="s">
        <v>15</v>
      </c>
      <c r="C17" s="129">
        <v>61562.6</v>
      </c>
      <c r="D17" s="129">
        <v>37857.8</v>
      </c>
      <c r="E17" s="129">
        <f t="shared" si="2"/>
        <v>61.494803663263085</v>
      </c>
      <c r="F17" s="139">
        <v>32558.3</v>
      </c>
      <c r="G17" s="139">
        <v>16650</v>
      </c>
      <c r="H17" s="139">
        <f t="shared" si="3"/>
        <v>51.13903367190547</v>
      </c>
      <c r="I17" s="140">
        <f>C17+F17-303</f>
        <v>93817.9</v>
      </c>
      <c r="J17" s="131">
        <f>D17+G17-233</f>
        <v>54274.8</v>
      </c>
      <c r="K17" s="141">
        <f t="shared" si="1"/>
        <v>57.851220289518324</v>
      </c>
    </row>
    <row r="18" spans="1:11" ht="15">
      <c r="A18" s="132" t="s">
        <v>16</v>
      </c>
      <c r="B18" s="133" t="s">
        <v>17</v>
      </c>
      <c r="C18" s="134">
        <f aca="true" t="shared" si="4" ref="C18:J18">C19</f>
        <v>4782</v>
      </c>
      <c r="D18" s="134">
        <f t="shared" si="4"/>
        <v>4782</v>
      </c>
      <c r="E18" s="134">
        <f t="shared" si="4"/>
        <v>100</v>
      </c>
      <c r="F18" s="134">
        <f t="shared" si="4"/>
        <v>4782</v>
      </c>
      <c r="G18" s="134">
        <f t="shared" si="4"/>
        <v>2315.2</v>
      </c>
      <c r="H18" s="143">
        <f t="shared" si="4"/>
        <v>48.414889167712246</v>
      </c>
      <c r="I18" s="134">
        <f t="shared" si="4"/>
        <v>4782</v>
      </c>
      <c r="J18" s="134">
        <f t="shared" si="4"/>
        <v>2315.2</v>
      </c>
      <c r="K18" s="144">
        <f t="shared" si="1"/>
        <v>48.414889167712246</v>
      </c>
    </row>
    <row r="19" spans="1:11" ht="15">
      <c r="A19" s="137" t="s">
        <v>18</v>
      </c>
      <c r="B19" s="138" t="s">
        <v>19</v>
      </c>
      <c r="C19" s="129">
        <v>4782</v>
      </c>
      <c r="D19" s="129">
        <v>4782</v>
      </c>
      <c r="E19" s="129">
        <f t="shared" si="2"/>
        <v>100</v>
      </c>
      <c r="F19" s="139">
        <v>4782</v>
      </c>
      <c r="G19" s="130">
        <v>2315.2</v>
      </c>
      <c r="H19" s="139">
        <f t="shared" si="3"/>
        <v>48.414889167712246</v>
      </c>
      <c r="I19" s="140">
        <f>C19+F19-4782</f>
        <v>4782</v>
      </c>
      <c r="J19" s="131">
        <f>D19+G19-4782</f>
        <v>2315.2</v>
      </c>
      <c r="K19" s="141">
        <f t="shared" si="1"/>
        <v>48.414889167712246</v>
      </c>
    </row>
    <row r="20" spans="1:11" ht="12.75" customHeight="1">
      <c r="A20" s="235" t="s">
        <v>20</v>
      </c>
      <c r="B20" s="236" t="s">
        <v>293</v>
      </c>
      <c r="C20" s="237">
        <f>C23+C24+C22</f>
        <v>46652.5</v>
      </c>
      <c r="D20" s="237">
        <f>D23+D24+D22</f>
        <v>18669</v>
      </c>
      <c r="E20" s="237">
        <f>D20/C20*100</f>
        <v>40.01714806280478</v>
      </c>
      <c r="F20" s="237">
        <f>F23+F24+F22</f>
        <v>8518.8</v>
      </c>
      <c r="G20" s="237">
        <f>G23+G24+G22</f>
        <v>4216.8</v>
      </c>
      <c r="H20" s="237">
        <f>G20/F20*100</f>
        <v>49.49992956754473</v>
      </c>
      <c r="I20" s="237">
        <f>I23+I24+I22</f>
        <v>53548.3</v>
      </c>
      <c r="J20" s="237">
        <f>SUM(J22:J24)</f>
        <v>22124.800000000003</v>
      </c>
      <c r="K20" s="237">
        <f>J20/I20*100</f>
        <v>41.31746479346683</v>
      </c>
    </row>
    <row r="21" spans="1:11" ht="12.75" customHeight="1">
      <c r="A21" s="235"/>
      <c r="B21" s="236"/>
      <c r="C21" s="237"/>
      <c r="D21" s="237"/>
      <c r="E21" s="237"/>
      <c r="F21" s="237"/>
      <c r="G21" s="237"/>
      <c r="H21" s="237"/>
      <c r="I21" s="237"/>
      <c r="J21" s="237"/>
      <c r="K21" s="237"/>
    </row>
    <row r="22" spans="1:11" ht="15">
      <c r="A22" s="142" t="s">
        <v>116</v>
      </c>
      <c r="B22" s="138" t="s">
        <v>241</v>
      </c>
      <c r="C22" s="129">
        <v>5428.2</v>
      </c>
      <c r="D22" s="129">
        <v>3081.3</v>
      </c>
      <c r="E22" s="129">
        <f aca="true" t="shared" si="5" ref="E22:E102">D22/C22*100</f>
        <v>56.76467337238864</v>
      </c>
      <c r="F22" s="139">
        <v>761</v>
      </c>
      <c r="G22" s="139">
        <v>310.9</v>
      </c>
      <c r="H22" s="139">
        <f>G22/F22*100</f>
        <v>40.85413929040735</v>
      </c>
      <c r="I22" s="140">
        <f>C22+F22-761</f>
        <v>5428.2</v>
      </c>
      <c r="J22" s="131">
        <f>D22+G22-761</f>
        <v>2631.2000000000003</v>
      </c>
      <c r="K22" s="141">
        <f>J22/I22*100</f>
        <v>48.47279024354299</v>
      </c>
    </row>
    <row r="23" spans="1:11" ht="30">
      <c r="A23" s="137" t="s">
        <v>21</v>
      </c>
      <c r="B23" s="138" t="s">
        <v>117</v>
      </c>
      <c r="C23" s="129">
        <v>10595.5</v>
      </c>
      <c r="D23" s="129">
        <v>9055.6</v>
      </c>
      <c r="E23" s="129">
        <f t="shared" si="5"/>
        <v>85.4664716153084</v>
      </c>
      <c r="F23" s="139">
        <v>7658.4</v>
      </c>
      <c r="G23" s="139">
        <v>3905.9</v>
      </c>
      <c r="H23" s="139">
        <f>G23/F23*100</f>
        <v>51.00151467669487</v>
      </c>
      <c r="I23" s="140">
        <f>C23+F23-762.6</f>
        <v>17491.300000000003</v>
      </c>
      <c r="J23" s="131">
        <f>D23+G23</f>
        <v>12961.5</v>
      </c>
      <c r="K23" s="141">
        <f>J23/I23*100</f>
        <v>74.1025538410524</v>
      </c>
    </row>
    <row r="24" spans="1:11" ht="30">
      <c r="A24" s="142" t="s">
        <v>107</v>
      </c>
      <c r="B24" s="138" t="s">
        <v>108</v>
      </c>
      <c r="C24" s="129">
        <v>30628.8</v>
      </c>
      <c r="D24" s="129">
        <v>6532.1</v>
      </c>
      <c r="E24" s="129">
        <f t="shared" si="5"/>
        <v>21.326659875672572</v>
      </c>
      <c r="F24" s="139">
        <v>99.4</v>
      </c>
      <c r="G24" s="139">
        <v>0</v>
      </c>
      <c r="H24" s="139">
        <v>0</v>
      </c>
      <c r="I24" s="140">
        <f>C24+F24-99.4</f>
        <v>30628.8</v>
      </c>
      <c r="J24" s="131">
        <f>D24+G24</f>
        <v>6532.1</v>
      </c>
      <c r="K24" s="141">
        <f>J24/I24*100</f>
        <v>21.326659875672572</v>
      </c>
    </row>
    <row r="25" spans="1:11" ht="15">
      <c r="A25" s="132" t="s">
        <v>22</v>
      </c>
      <c r="B25" s="133" t="s">
        <v>23</v>
      </c>
      <c r="C25" s="134">
        <f>SUM(C26:C47)</f>
        <v>196451.19999999995</v>
      </c>
      <c r="D25" s="134">
        <f>SUM(D26:D47)</f>
        <v>106839.9</v>
      </c>
      <c r="E25" s="134">
        <f>D25/C25*100</f>
        <v>54.38495667117331</v>
      </c>
      <c r="F25" s="134">
        <f>SUM(F26:F46)</f>
        <v>78122.3</v>
      </c>
      <c r="G25" s="134">
        <f>SUM(G26:G46)</f>
        <v>36001.00000000001</v>
      </c>
      <c r="H25" s="135">
        <f>G25/F25*100</f>
        <v>46.0828726240779</v>
      </c>
      <c r="I25" s="134">
        <f>SUM(I26:I47)</f>
        <v>249800.5</v>
      </c>
      <c r="J25" s="134">
        <f>SUM(J26:J47)</f>
        <v>129884.8</v>
      </c>
      <c r="K25" s="136">
        <f t="shared" si="1"/>
        <v>51.99541233904657</v>
      </c>
    </row>
    <row r="26" spans="1:11" ht="45">
      <c r="A26" s="142" t="s">
        <v>24</v>
      </c>
      <c r="B26" s="145" t="s">
        <v>242</v>
      </c>
      <c r="C26" s="129">
        <v>12878.2</v>
      </c>
      <c r="D26" s="129">
        <v>8613</v>
      </c>
      <c r="E26" s="129">
        <f t="shared" si="5"/>
        <v>66.88046466121041</v>
      </c>
      <c r="F26" s="129">
        <v>10013.6</v>
      </c>
      <c r="G26" s="139">
        <v>8826.7</v>
      </c>
      <c r="H26" s="139">
        <f>G26/F26*100</f>
        <v>88.147119916913</v>
      </c>
      <c r="I26" s="140">
        <f>C26+F26-8019</f>
        <v>14872.800000000003</v>
      </c>
      <c r="J26" s="140">
        <f>D26+G26-7468.3</f>
        <v>9971.400000000001</v>
      </c>
      <c r="K26" s="141">
        <f t="shared" si="1"/>
        <v>67.04453767952234</v>
      </c>
    </row>
    <row r="27" spans="1:11" ht="15">
      <c r="A27" s="137" t="s">
        <v>25</v>
      </c>
      <c r="B27" s="138" t="s">
        <v>26</v>
      </c>
      <c r="C27" s="129">
        <v>41040.5</v>
      </c>
      <c r="D27" s="129">
        <v>25829.6</v>
      </c>
      <c r="E27" s="129">
        <f t="shared" si="5"/>
        <v>62.93685505780875</v>
      </c>
      <c r="F27" s="139">
        <v>0</v>
      </c>
      <c r="G27" s="139">
        <v>0</v>
      </c>
      <c r="H27" s="139">
        <v>0</v>
      </c>
      <c r="I27" s="140">
        <f t="shared" si="0"/>
        <v>41040.5</v>
      </c>
      <c r="J27" s="131">
        <f t="shared" si="0"/>
        <v>25829.6</v>
      </c>
      <c r="K27" s="141">
        <f t="shared" si="1"/>
        <v>62.93685505780875</v>
      </c>
    </row>
    <row r="28" spans="1:11" ht="15">
      <c r="A28" s="137" t="s">
        <v>27</v>
      </c>
      <c r="B28" s="138" t="s">
        <v>243</v>
      </c>
      <c r="C28" s="129">
        <v>9650</v>
      </c>
      <c r="D28" s="129">
        <v>7817</v>
      </c>
      <c r="E28" s="129">
        <f t="shared" si="5"/>
        <v>81.00518134715026</v>
      </c>
      <c r="F28" s="139">
        <v>0</v>
      </c>
      <c r="G28" s="139">
        <v>0</v>
      </c>
      <c r="H28" s="139">
        <v>0</v>
      </c>
      <c r="I28" s="140">
        <f t="shared" si="0"/>
        <v>9650</v>
      </c>
      <c r="J28" s="131">
        <f t="shared" si="0"/>
        <v>7817</v>
      </c>
      <c r="K28" s="141">
        <f t="shared" si="1"/>
        <v>81.00518134715026</v>
      </c>
    </row>
    <row r="29" spans="1:11" ht="15">
      <c r="A29" s="137" t="s">
        <v>27</v>
      </c>
      <c r="B29" s="138" t="s">
        <v>244</v>
      </c>
      <c r="C29" s="129">
        <v>14896</v>
      </c>
      <c r="D29" s="129">
        <v>14488</v>
      </c>
      <c r="E29" s="129">
        <f t="shared" si="5"/>
        <v>97.2610096670247</v>
      </c>
      <c r="F29" s="139">
        <v>12392</v>
      </c>
      <c r="G29" s="139">
        <v>5636.7</v>
      </c>
      <c r="H29" s="139">
        <f>G29/F29*100</f>
        <v>45.48660426081343</v>
      </c>
      <c r="I29" s="140">
        <f t="shared" si="0"/>
        <v>27288</v>
      </c>
      <c r="J29" s="131">
        <f t="shared" si="0"/>
        <v>20124.7</v>
      </c>
      <c r="K29" s="141">
        <f t="shared" si="1"/>
        <v>73.74926707710348</v>
      </c>
    </row>
    <row r="30" spans="1:11" ht="15">
      <c r="A30" s="137" t="s">
        <v>27</v>
      </c>
      <c r="B30" s="138" t="s">
        <v>245</v>
      </c>
      <c r="C30" s="129">
        <v>10831</v>
      </c>
      <c r="D30" s="129">
        <v>6642.3</v>
      </c>
      <c r="E30" s="129">
        <f t="shared" si="5"/>
        <v>61.32674729941834</v>
      </c>
      <c r="F30" s="139">
        <v>0</v>
      </c>
      <c r="G30" s="139">
        <v>0</v>
      </c>
      <c r="H30" s="139">
        <v>0</v>
      </c>
      <c r="I30" s="140">
        <f t="shared" si="0"/>
        <v>10831</v>
      </c>
      <c r="J30" s="131">
        <f t="shared" si="0"/>
        <v>6642.3</v>
      </c>
      <c r="K30" s="141">
        <f t="shared" si="1"/>
        <v>61.32674729941834</v>
      </c>
    </row>
    <row r="31" spans="1:11" ht="60">
      <c r="A31" s="137" t="s">
        <v>74</v>
      </c>
      <c r="B31" s="148" t="s">
        <v>246</v>
      </c>
      <c r="C31" s="129">
        <v>1963</v>
      </c>
      <c r="D31" s="129">
        <v>780.1</v>
      </c>
      <c r="E31" s="129">
        <f t="shared" si="5"/>
        <v>39.74019358125319</v>
      </c>
      <c r="F31" s="139">
        <v>0</v>
      </c>
      <c r="G31" s="139">
        <v>0</v>
      </c>
      <c r="H31" s="139">
        <v>0</v>
      </c>
      <c r="I31" s="140">
        <f t="shared" si="0"/>
        <v>1963</v>
      </c>
      <c r="J31" s="131">
        <f t="shared" si="0"/>
        <v>780.1</v>
      </c>
      <c r="K31" s="141">
        <f t="shared" si="1"/>
        <v>39.74019358125319</v>
      </c>
    </row>
    <row r="32" spans="1:11" ht="60">
      <c r="A32" s="142" t="s">
        <v>74</v>
      </c>
      <c r="B32" s="148" t="s">
        <v>294</v>
      </c>
      <c r="C32" s="129">
        <v>62164.1</v>
      </c>
      <c r="D32" s="129">
        <v>16315.4</v>
      </c>
      <c r="E32" s="129">
        <f t="shared" si="5"/>
        <v>26.245694862468856</v>
      </c>
      <c r="F32" s="139">
        <v>14254</v>
      </c>
      <c r="G32" s="139">
        <v>2098.2</v>
      </c>
      <c r="H32" s="139">
        <f aca="true" t="shared" si="6" ref="H32:H37">G32/F32*100</f>
        <v>14.720078574435243</v>
      </c>
      <c r="I32" s="140">
        <f>C32+F32-14254</f>
        <v>62164.100000000006</v>
      </c>
      <c r="J32" s="131">
        <f>D32+G32-2987.8</f>
        <v>15425.8</v>
      </c>
      <c r="K32" s="141">
        <f>J32/I32*100</f>
        <v>24.814643821755638</v>
      </c>
    </row>
    <row r="33" spans="1:11" ht="60">
      <c r="A33" s="142" t="s">
        <v>74</v>
      </c>
      <c r="B33" s="148" t="s">
        <v>295</v>
      </c>
      <c r="C33" s="129">
        <v>3343.9</v>
      </c>
      <c r="D33" s="129">
        <v>701.5</v>
      </c>
      <c r="E33" s="129">
        <f t="shared" si="5"/>
        <v>20.978498160830167</v>
      </c>
      <c r="F33" s="139">
        <v>3202.5</v>
      </c>
      <c r="G33" s="139">
        <v>330.4</v>
      </c>
      <c r="H33" s="139">
        <f t="shared" si="6"/>
        <v>10.316939890710382</v>
      </c>
      <c r="I33" s="140">
        <f>C33+F33</f>
        <v>6546.4</v>
      </c>
      <c r="J33" s="131">
        <f>D33+G33</f>
        <v>1031.9</v>
      </c>
      <c r="K33" s="141">
        <f>J33/I33*100</f>
        <v>15.762862031039962</v>
      </c>
    </row>
    <row r="34" spans="1:11" ht="105">
      <c r="A34" s="142" t="s">
        <v>74</v>
      </c>
      <c r="B34" s="138" t="s">
        <v>296</v>
      </c>
      <c r="C34" s="146">
        <v>2500</v>
      </c>
      <c r="D34" s="129">
        <v>2500</v>
      </c>
      <c r="E34" s="129">
        <f t="shared" si="5"/>
        <v>100</v>
      </c>
      <c r="F34" s="139">
        <v>2500</v>
      </c>
      <c r="G34" s="139">
        <v>2500</v>
      </c>
      <c r="H34" s="139">
        <f t="shared" si="6"/>
        <v>100</v>
      </c>
      <c r="I34" s="140">
        <f>C34+F34-2500</f>
        <v>2500</v>
      </c>
      <c r="J34" s="131">
        <f>D34+G34-2500</f>
        <v>2500</v>
      </c>
      <c r="K34" s="141">
        <f>J34/I34*100</f>
        <v>100</v>
      </c>
    </row>
    <row r="35" spans="1:11" ht="30">
      <c r="A35" s="142" t="s">
        <v>74</v>
      </c>
      <c r="B35" s="138" t="s">
        <v>247</v>
      </c>
      <c r="C35" s="129"/>
      <c r="D35" s="129"/>
      <c r="E35" s="129"/>
      <c r="F35" s="139">
        <v>32090</v>
      </c>
      <c r="G35" s="139">
        <v>14198.8</v>
      </c>
      <c r="H35" s="139">
        <f t="shared" si="6"/>
        <v>44.246805858522904</v>
      </c>
      <c r="I35" s="140">
        <f>C35+F35</f>
        <v>32090</v>
      </c>
      <c r="J35" s="131">
        <f>D35+G35</f>
        <v>14198.8</v>
      </c>
      <c r="K35" s="141">
        <f>J35/I35*100</f>
        <v>44.246805858522904</v>
      </c>
    </row>
    <row r="36" spans="1:11" ht="15">
      <c r="A36" s="137" t="s">
        <v>67</v>
      </c>
      <c r="B36" s="138" t="s">
        <v>68</v>
      </c>
      <c r="C36" s="129">
        <v>5469.3</v>
      </c>
      <c r="D36" s="129">
        <v>3739.6</v>
      </c>
      <c r="E36" s="129">
        <f t="shared" si="5"/>
        <v>68.37438063371913</v>
      </c>
      <c r="F36" s="139">
        <v>3170.2</v>
      </c>
      <c r="G36" s="139">
        <v>2306.9</v>
      </c>
      <c r="H36" s="139">
        <f t="shared" si="6"/>
        <v>72.7682796038105</v>
      </c>
      <c r="I36" s="140">
        <f t="shared" si="0"/>
        <v>8639.5</v>
      </c>
      <c r="J36" s="131">
        <f t="shared" si="0"/>
        <v>6046.5</v>
      </c>
      <c r="K36" s="141">
        <f t="shared" si="1"/>
        <v>69.98668904450489</v>
      </c>
    </row>
    <row r="37" spans="1:11" ht="30">
      <c r="A37" s="137" t="s">
        <v>28</v>
      </c>
      <c r="B37" s="138" t="s">
        <v>297</v>
      </c>
      <c r="C37" s="146">
        <v>0</v>
      </c>
      <c r="D37" s="129">
        <v>0</v>
      </c>
      <c r="E37" s="146">
        <v>0</v>
      </c>
      <c r="F37" s="139">
        <v>500</v>
      </c>
      <c r="G37" s="139">
        <v>103.3</v>
      </c>
      <c r="H37" s="139">
        <f t="shared" si="6"/>
        <v>20.66</v>
      </c>
      <c r="I37" s="140">
        <f t="shared" si="0"/>
        <v>500</v>
      </c>
      <c r="J37" s="131">
        <f t="shared" si="0"/>
        <v>103.3</v>
      </c>
      <c r="K37" s="141">
        <f t="shared" si="1"/>
        <v>20.66</v>
      </c>
    </row>
    <row r="38" spans="1:11" ht="60">
      <c r="A38" s="137" t="s">
        <v>28</v>
      </c>
      <c r="B38" s="148" t="s">
        <v>298</v>
      </c>
      <c r="C38" s="146">
        <v>3532</v>
      </c>
      <c r="D38" s="146">
        <v>3253.9</v>
      </c>
      <c r="E38" s="146">
        <f t="shared" si="5"/>
        <v>92.12627406568517</v>
      </c>
      <c r="F38" s="139">
        <v>0</v>
      </c>
      <c r="G38" s="139">
        <v>0</v>
      </c>
      <c r="H38" s="139">
        <v>0</v>
      </c>
      <c r="I38" s="140">
        <f t="shared" si="0"/>
        <v>3532</v>
      </c>
      <c r="J38" s="131">
        <f t="shared" si="0"/>
        <v>3253.9</v>
      </c>
      <c r="K38" s="141">
        <f t="shared" si="1"/>
        <v>92.12627406568517</v>
      </c>
    </row>
    <row r="39" spans="1:11" ht="60">
      <c r="A39" s="137" t="s">
        <v>28</v>
      </c>
      <c r="B39" s="148" t="s">
        <v>248</v>
      </c>
      <c r="C39" s="146">
        <v>4500</v>
      </c>
      <c r="D39" s="147">
        <v>3521.4</v>
      </c>
      <c r="E39" s="146">
        <f t="shared" si="5"/>
        <v>78.25333333333333</v>
      </c>
      <c r="F39" s="139">
        <v>0</v>
      </c>
      <c r="G39" s="139">
        <v>0</v>
      </c>
      <c r="H39" s="139">
        <v>0</v>
      </c>
      <c r="I39" s="140">
        <f t="shared" si="0"/>
        <v>4500</v>
      </c>
      <c r="J39" s="131">
        <f t="shared" si="0"/>
        <v>3521.4</v>
      </c>
      <c r="K39" s="141">
        <f t="shared" si="1"/>
        <v>78.25333333333333</v>
      </c>
    </row>
    <row r="40" spans="1:11" ht="75">
      <c r="A40" s="142" t="s">
        <v>28</v>
      </c>
      <c r="B40" s="148" t="s">
        <v>282</v>
      </c>
      <c r="C40" s="146">
        <v>13799.8</v>
      </c>
      <c r="D40" s="147">
        <v>7719.8</v>
      </c>
      <c r="E40" s="146">
        <f t="shared" si="5"/>
        <v>55.94139045493414</v>
      </c>
      <c r="F40" s="139"/>
      <c r="G40" s="139"/>
      <c r="H40" s="139"/>
      <c r="I40" s="140">
        <f t="shared" si="0"/>
        <v>13799.8</v>
      </c>
      <c r="J40" s="131">
        <f t="shared" si="0"/>
        <v>7719.8</v>
      </c>
      <c r="K40" s="141">
        <f t="shared" si="1"/>
        <v>55.94139045493414</v>
      </c>
    </row>
    <row r="41" spans="1:11" ht="45">
      <c r="A41" s="142" t="s">
        <v>28</v>
      </c>
      <c r="B41" s="148" t="s">
        <v>249</v>
      </c>
      <c r="C41" s="146">
        <v>1416.8</v>
      </c>
      <c r="D41" s="147">
        <v>626.3</v>
      </c>
      <c r="E41" s="146">
        <f t="shared" si="5"/>
        <v>44.20525127046866</v>
      </c>
      <c r="F41" s="139">
        <v>0</v>
      </c>
      <c r="G41" s="139">
        <v>0</v>
      </c>
      <c r="H41" s="139">
        <v>0</v>
      </c>
      <c r="I41" s="140">
        <f t="shared" si="0"/>
        <v>1416.8</v>
      </c>
      <c r="J41" s="131">
        <f t="shared" si="0"/>
        <v>626.3</v>
      </c>
      <c r="K41" s="141">
        <f t="shared" si="1"/>
        <v>44.20525127046866</v>
      </c>
    </row>
    <row r="42" spans="1:11" ht="90">
      <c r="A42" s="142" t="s">
        <v>28</v>
      </c>
      <c r="B42" s="148" t="s">
        <v>304</v>
      </c>
      <c r="C42" s="146">
        <v>1000</v>
      </c>
      <c r="D42" s="147">
        <v>703</v>
      </c>
      <c r="E42" s="146">
        <f t="shared" si="5"/>
        <v>70.3</v>
      </c>
      <c r="F42" s="139">
        <v>0</v>
      </c>
      <c r="G42" s="139">
        <v>0</v>
      </c>
      <c r="H42" s="139"/>
      <c r="I42" s="140">
        <f t="shared" si="0"/>
        <v>1000</v>
      </c>
      <c r="J42" s="131">
        <f t="shared" si="0"/>
        <v>703</v>
      </c>
      <c r="K42" s="141">
        <f t="shared" si="1"/>
        <v>70.3</v>
      </c>
    </row>
    <row r="43" spans="1:11" ht="105">
      <c r="A43" s="142" t="s">
        <v>28</v>
      </c>
      <c r="B43" s="148" t="s">
        <v>305</v>
      </c>
      <c r="C43" s="146">
        <v>61</v>
      </c>
      <c r="D43" s="147">
        <v>61</v>
      </c>
      <c r="E43" s="146">
        <f t="shared" si="5"/>
        <v>100</v>
      </c>
      <c r="F43" s="139"/>
      <c r="G43" s="139"/>
      <c r="H43" s="139"/>
      <c r="I43" s="140">
        <f t="shared" si="0"/>
        <v>61</v>
      </c>
      <c r="J43" s="131">
        <f t="shared" si="0"/>
        <v>61</v>
      </c>
      <c r="K43" s="141">
        <f t="shared" si="1"/>
        <v>100</v>
      </c>
    </row>
    <row r="44" spans="1:11" ht="75">
      <c r="A44" s="142" t="s">
        <v>28</v>
      </c>
      <c r="B44" s="148" t="s">
        <v>250</v>
      </c>
      <c r="C44" s="146">
        <v>5547.5</v>
      </c>
      <c r="D44" s="147">
        <v>2814.9</v>
      </c>
      <c r="E44" s="146">
        <f t="shared" si="5"/>
        <v>50.741775574583144</v>
      </c>
      <c r="F44" s="139"/>
      <c r="G44" s="139"/>
      <c r="H44" s="139"/>
      <c r="I44" s="140">
        <f t="shared" si="0"/>
        <v>5547.5</v>
      </c>
      <c r="J44" s="131">
        <f t="shared" si="0"/>
        <v>2814.9</v>
      </c>
      <c r="K44" s="141">
        <f t="shared" si="1"/>
        <v>50.741775574583144</v>
      </c>
    </row>
    <row r="45" spans="1:11" ht="60">
      <c r="A45" s="142" t="s">
        <v>28</v>
      </c>
      <c r="B45" s="148" t="s">
        <v>306</v>
      </c>
      <c r="C45" s="146">
        <v>245.1</v>
      </c>
      <c r="D45" s="147">
        <v>151</v>
      </c>
      <c r="E45" s="146">
        <f t="shared" si="5"/>
        <v>61.60750713994288</v>
      </c>
      <c r="F45" s="139"/>
      <c r="G45" s="139"/>
      <c r="H45" s="139"/>
      <c r="I45" s="140">
        <f t="shared" si="0"/>
        <v>245.1</v>
      </c>
      <c r="J45" s="131">
        <f t="shared" si="0"/>
        <v>151</v>
      </c>
      <c r="K45" s="141">
        <f t="shared" si="1"/>
        <v>61.60750713994288</v>
      </c>
    </row>
    <row r="46" spans="1:11" ht="75">
      <c r="A46" s="142" t="s">
        <v>28</v>
      </c>
      <c r="B46" s="148" t="s">
        <v>283</v>
      </c>
      <c r="C46" s="146">
        <v>1013</v>
      </c>
      <c r="D46" s="147">
        <v>562.1</v>
      </c>
      <c r="E46" s="146">
        <f t="shared" si="5"/>
        <v>55.48864758144126</v>
      </c>
      <c r="F46" s="139"/>
      <c r="G46" s="139"/>
      <c r="H46" s="139"/>
      <c r="I46" s="140">
        <f t="shared" si="0"/>
        <v>1013</v>
      </c>
      <c r="J46" s="131">
        <f t="shared" si="0"/>
        <v>562.1</v>
      </c>
      <c r="K46" s="141">
        <f t="shared" si="1"/>
        <v>55.48864758144126</v>
      </c>
    </row>
    <row r="47" spans="1:11" ht="60">
      <c r="A47" s="142" t="s">
        <v>28</v>
      </c>
      <c r="B47" s="148" t="s">
        <v>314</v>
      </c>
      <c r="C47" s="146">
        <v>600</v>
      </c>
      <c r="D47" s="139">
        <v>0</v>
      </c>
      <c r="E47" s="146">
        <f t="shared" si="5"/>
        <v>0</v>
      </c>
      <c r="F47" s="139"/>
      <c r="G47" s="139"/>
      <c r="H47" s="139"/>
      <c r="I47" s="140">
        <f t="shared" si="0"/>
        <v>600</v>
      </c>
      <c r="J47" s="131">
        <f t="shared" si="0"/>
        <v>0</v>
      </c>
      <c r="K47" s="141">
        <f t="shared" si="1"/>
        <v>0</v>
      </c>
    </row>
    <row r="48" spans="1:11" ht="14.25">
      <c r="A48" s="132" t="s">
        <v>29</v>
      </c>
      <c r="B48" s="133" t="s">
        <v>30</v>
      </c>
      <c r="C48" s="134">
        <f>SUM(C49:C74)</f>
        <v>455830.20000000007</v>
      </c>
      <c r="D48" s="134">
        <f>SUM(D49:D73)</f>
        <v>251591.40000000002</v>
      </c>
      <c r="E48" s="134">
        <f t="shared" si="5"/>
        <v>55.194105173373764</v>
      </c>
      <c r="F48" s="149">
        <f>SUM(F49:F74)</f>
        <v>95374.09999999999</v>
      </c>
      <c r="G48" s="149">
        <f>SUM(G49:G73)</f>
        <v>50868.5</v>
      </c>
      <c r="H48" s="149">
        <f>G48/F48*100</f>
        <v>53.335758869546346</v>
      </c>
      <c r="I48" s="134">
        <f>SUM(I49:I74)</f>
        <v>542339.9000000001</v>
      </c>
      <c r="J48" s="134">
        <f>SUM(J49:J74)</f>
        <v>296204.2</v>
      </c>
      <c r="K48" s="136">
        <f t="shared" si="1"/>
        <v>54.61597053803342</v>
      </c>
    </row>
    <row r="49" spans="1:11" ht="15">
      <c r="A49" s="150" t="s">
        <v>31</v>
      </c>
      <c r="B49" s="151" t="s">
        <v>251</v>
      </c>
      <c r="C49" s="129">
        <v>1121.3</v>
      </c>
      <c r="D49" s="129">
        <v>1120.7</v>
      </c>
      <c r="E49" s="146">
        <f t="shared" si="5"/>
        <v>99.94649068046019</v>
      </c>
      <c r="F49" s="139">
        <v>33483.9</v>
      </c>
      <c r="G49" s="139">
        <v>16018.5</v>
      </c>
      <c r="H49" s="139">
        <f>G49/F49*100</f>
        <v>47.83940938779533</v>
      </c>
      <c r="I49" s="140">
        <f t="shared" si="0"/>
        <v>34605.200000000004</v>
      </c>
      <c r="J49" s="131">
        <f t="shared" si="0"/>
        <v>17139.2</v>
      </c>
      <c r="K49" s="141">
        <f t="shared" si="1"/>
        <v>49.52781662871475</v>
      </c>
    </row>
    <row r="50" spans="1:11" ht="90">
      <c r="A50" s="137" t="s">
        <v>31</v>
      </c>
      <c r="B50" s="138" t="s">
        <v>252</v>
      </c>
      <c r="C50" s="129">
        <v>258814.5</v>
      </c>
      <c r="D50" s="129">
        <v>170083.5</v>
      </c>
      <c r="E50" s="146">
        <f t="shared" si="5"/>
        <v>65.71637215071026</v>
      </c>
      <c r="F50" s="139">
        <v>0</v>
      </c>
      <c r="G50" s="139">
        <v>0</v>
      </c>
      <c r="H50" s="139">
        <v>0</v>
      </c>
      <c r="I50" s="140">
        <f t="shared" si="0"/>
        <v>258814.5</v>
      </c>
      <c r="J50" s="131">
        <f t="shared" si="0"/>
        <v>170083.5</v>
      </c>
      <c r="K50" s="141">
        <f t="shared" si="1"/>
        <v>65.71637215071026</v>
      </c>
    </row>
    <row r="51" spans="1:11" ht="120">
      <c r="A51" s="137" t="s">
        <v>31</v>
      </c>
      <c r="B51" s="138" t="s">
        <v>315</v>
      </c>
      <c r="C51" s="129">
        <v>10294</v>
      </c>
      <c r="D51" s="129">
        <v>0</v>
      </c>
      <c r="E51" s="146">
        <f t="shared" si="5"/>
        <v>0</v>
      </c>
      <c r="F51" s="139"/>
      <c r="G51" s="139"/>
      <c r="H51" s="139"/>
      <c r="I51" s="140">
        <f t="shared" si="0"/>
        <v>10294</v>
      </c>
      <c r="J51" s="131">
        <f t="shared" si="0"/>
        <v>0</v>
      </c>
      <c r="K51" s="141">
        <f t="shared" si="1"/>
        <v>0</v>
      </c>
    </row>
    <row r="52" spans="1:11" ht="105">
      <c r="A52" s="142" t="s">
        <v>31</v>
      </c>
      <c r="B52" s="138" t="s">
        <v>253</v>
      </c>
      <c r="C52" s="129">
        <v>0</v>
      </c>
      <c r="D52" s="129">
        <v>0</v>
      </c>
      <c r="E52" s="146">
        <v>0</v>
      </c>
      <c r="F52" s="139">
        <v>18.5</v>
      </c>
      <c r="G52" s="139"/>
      <c r="H52" s="139">
        <f>G52/F52*100</f>
        <v>0</v>
      </c>
      <c r="I52" s="140">
        <f t="shared" si="0"/>
        <v>18.5</v>
      </c>
      <c r="J52" s="131">
        <f t="shared" si="0"/>
        <v>0</v>
      </c>
      <c r="K52" s="141">
        <f t="shared" si="1"/>
        <v>0</v>
      </c>
    </row>
    <row r="53" spans="1:11" ht="40.5" customHeight="1">
      <c r="A53" s="142" t="s">
        <v>31</v>
      </c>
      <c r="B53" s="138" t="s">
        <v>254</v>
      </c>
      <c r="C53" s="129">
        <v>2350</v>
      </c>
      <c r="D53" s="129">
        <v>2350</v>
      </c>
      <c r="E53" s="146">
        <f t="shared" si="5"/>
        <v>100</v>
      </c>
      <c r="F53" s="139">
        <v>2450</v>
      </c>
      <c r="G53" s="139">
        <v>885.3</v>
      </c>
      <c r="H53" s="139">
        <f>G53/F53*100</f>
        <v>36.134693877551015</v>
      </c>
      <c r="I53" s="140">
        <f>C53+F53-2350</f>
        <v>2450</v>
      </c>
      <c r="J53" s="131">
        <f>D53+G53-2350</f>
        <v>885.3000000000002</v>
      </c>
      <c r="K53" s="141">
        <f t="shared" si="1"/>
        <v>36.13469387755103</v>
      </c>
    </row>
    <row r="54" spans="1:11" ht="135">
      <c r="A54" s="137" t="s">
        <v>32</v>
      </c>
      <c r="B54" s="138" t="s">
        <v>284</v>
      </c>
      <c r="C54" s="146">
        <v>5040.4</v>
      </c>
      <c r="D54" s="129">
        <v>3368.8</v>
      </c>
      <c r="E54" s="146">
        <f t="shared" si="5"/>
        <v>66.83596539957148</v>
      </c>
      <c r="F54" s="139"/>
      <c r="G54" s="139"/>
      <c r="H54" s="139"/>
      <c r="I54" s="140">
        <f t="shared" si="0"/>
        <v>5040.4</v>
      </c>
      <c r="J54" s="131">
        <f t="shared" si="0"/>
        <v>3368.8</v>
      </c>
      <c r="K54" s="141">
        <f t="shared" si="1"/>
        <v>66.83596539957148</v>
      </c>
    </row>
    <row r="55" spans="1:11" ht="135">
      <c r="A55" s="137" t="s">
        <v>32</v>
      </c>
      <c r="B55" s="138" t="s">
        <v>285</v>
      </c>
      <c r="C55" s="146">
        <v>10545.4</v>
      </c>
      <c r="D55" s="160">
        <v>6532.2</v>
      </c>
      <c r="E55" s="146">
        <f t="shared" si="5"/>
        <v>61.94359625998066</v>
      </c>
      <c r="F55" s="139"/>
      <c r="G55" s="139"/>
      <c r="H55" s="139"/>
      <c r="I55" s="140">
        <f t="shared" si="0"/>
        <v>10545.4</v>
      </c>
      <c r="J55" s="131">
        <f t="shared" si="0"/>
        <v>6532.2</v>
      </c>
      <c r="K55" s="141">
        <f t="shared" si="1"/>
        <v>61.94359625998066</v>
      </c>
    </row>
    <row r="56" spans="1:11" ht="135">
      <c r="A56" s="137" t="s">
        <v>32</v>
      </c>
      <c r="B56" s="138" t="s">
        <v>299</v>
      </c>
      <c r="C56" s="146">
        <v>9131.1</v>
      </c>
      <c r="D56" s="160">
        <v>3342.2</v>
      </c>
      <c r="E56" s="146">
        <f>D56/C56*100</f>
        <v>36.60238087415536</v>
      </c>
      <c r="F56" s="139"/>
      <c r="G56" s="139"/>
      <c r="H56" s="139"/>
      <c r="I56" s="140">
        <f>C56+F56</f>
        <v>9131.1</v>
      </c>
      <c r="J56" s="131">
        <f>D56+G56</f>
        <v>3342.2</v>
      </c>
      <c r="K56" s="141">
        <f>J56/I56*100</f>
        <v>36.60238087415536</v>
      </c>
    </row>
    <row r="57" spans="1:11" ht="135">
      <c r="A57" s="137" t="s">
        <v>32</v>
      </c>
      <c r="B57" s="138" t="s">
        <v>286</v>
      </c>
      <c r="C57" s="146">
        <v>3928.5</v>
      </c>
      <c r="D57" s="160">
        <v>2228.2</v>
      </c>
      <c r="E57" s="146">
        <f>D57/C57*100</f>
        <v>56.71884943362606</v>
      </c>
      <c r="F57" s="139"/>
      <c r="G57" s="139"/>
      <c r="H57" s="139"/>
      <c r="I57" s="140">
        <f>C57+F57</f>
        <v>3928.5</v>
      </c>
      <c r="J57" s="131">
        <f>D57+G57</f>
        <v>2228.2</v>
      </c>
      <c r="K57" s="141">
        <f>J57/I57*100</f>
        <v>56.71884943362606</v>
      </c>
    </row>
    <row r="58" spans="1:11" ht="135">
      <c r="A58" s="137" t="s">
        <v>32</v>
      </c>
      <c r="B58" s="138" t="s">
        <v>316</v>
      </c>
      <c r="C58" s="146">
        <f>42141.3+300.9</f>
        <v>42442.200000000004</v>
      </c>
      <c r="D58" s="160">
        <v>3640.1</v>
      </c>
      <c r="E58" s="146">
        <f t="shared" si="5"/>
        <v>8.57660535975986</v>
      </c>
      <c r="F58" s="139"/>
      <c r="G58" s="139"/>
      <c r="H58" s="139">
        <v>0</v>
      </c>
      <c r="I58" s="140">
        <f t="shared" si="0"/>
        <v>42442.200000000004</v>
      </c>
      <c r="J58" s="131">
        <f t="shared" si="0"/>
        <v>3640.1</v>
      </c>
      <c r="K58" s="141">
        <f t="shared" si="1"/>
        <v>8.57660535975986</v>
      </c>
    </row>
    <row r="59" spans="1:11" ht="120">
      <c r="A59" s="137" t="s">
        <v>32</v>
      </c>
      <c r="B59" s="138" t="s">
        <v>307</v>
      </c>
      <c r="C59" s="146">
        <v>4791.9</v>
      </c>
      <c r="D59" s="160">
        <v>1154.3</v>
      </c>
      <c r="E59" s="146">
        <f t="shared" si="5"/>
        <v>24.088566121997538</v>
      </c>
      <c r="F59" s="139"/>
      <c r="G59" s="139"/>
      <c r="H59" s="139"/>
      <c r="I59" s="140">
        <f t="shared" si="0"/>
        <v>4791.9</v>
      </c>
      <c r="J59" s="131">
        <f t="shared" si="0"/>
        <v>1154.3</v>
      </c>
      <c r="K59" s="141">
        <f t="shared" si="1"/>
        <v>24.088566121997538</v>
      </c>
    </row>
    <row r="60" spans="1:11" ht="105">
      <c r="A60" s="137" t="s">
        <v>32</v>
      </c>
      <c r="B60" s="148" t="s">
        <v>308</v>
      </c>
      <c r="C60" s="146">
        <v>28417.1</v>
      </c>
      <c r="D60" s="129">
        <v>10939.5</v>
      </c>
      <c r="E60" s="146">
        <f t="shared" si="5"/>
        <v>38.49618715491729</v>
      </c>
      <c r="F60" s="139"/>
      <c r="G60" s="139"/>
      <c r="H60" s="139">
        <v>0</v>
      </c>
      <c r="I60" s="140">
        <f t="shared" si="0"/>
        <v>28417.1</v>
      </c>
      <c r="J60" s="131">
        <f t="shared" si="0"/>
        <v>10939.5</v>
      </c>
      <c r="K60" s="141">
        <f t="shared" si="1"/>
        <v>38.49618715491729</v>
      </c>
    </row>
    <row r="61" spans="1:11" ht="120">
      <c r="A61" s="142" t="s">
        <v>32</v>
      </c>
      <c r="B61" s="148" t="s">
        <v>287</v>
      </c>
      <c r="C61" s="146">
        <v>33079.4</v>
      </c>
      <c r="D61" s="160">
        <v>17428.5</v>
      </c>
      <c r="E61" s="146">
        <f t="shared" si="5"/>
        <v>52.68686856472608</v>
      </c>
      <c r="F61" s="139"/>
      <c r="G61" s="139"/>
      <c r="H61" s="139">
        <v>0</v>
      </c>
      <c r="I61" s="140">
        <f t="shared" si="0"/>
        <v>33079.4</v>
      </c>
      <c r="J61" s="131">
        <f t="shared" si="0"/>
        <v>17428.5</v>
      </c>
      <c r="K61" s="141">
        <f t="shared" si="1"/>
        <v>52.68686856472608</v>
      </c>
    </row>
    <row r="62" spans="1:11" ht="120">
      <c r="A62" s="142" t="s">
        <v>32</v>
      </c>
      <c r="B62" s="148" t="s">
        <v>288</v>
      </c>
      <c r="C62" s="146">
        <v>12928.9</v>
      </c>
      <c r="D62" s="160">
        <v>6412.8</v>
      </c>
      <c r="E62" s="146">
        <f t="shared" si="5"/>
        <v>49.600507390419914</v>
      </c>
      <c r="F62" s="139"/>
      <c r="G62" s="139"/>
      <c r="H62" s="139"/>
      <c r="I62" s="140">
        <f t="shared" si="0"/>
        <v>12928.9</v>
      </c>
      <c r="J62" s="131">
        <f t="shared" si="0"/>
        <v>6412.8</v>
      </c>
      <c r="K62" s="141">
        <f t="shared" si="1"/>
        <v>49.600507390419914</v>
      </c>
    </row>
    <row r="63" spans="1:11" ht="120">
      <c r="A63" s="142" t="s">
        <v>32</v>
      </c>
      <c r="B63" s="148" t="s">
        <v>317</v>
      </c>
      <c r="C63" s="146">
        <v>3500</v>
      </c>
      <c r="D63" s="160">
        <v>3500</v>
      </c>
      <c r="E63" s="146">
        <f t="shared" si="5"/>
        <v>100</v>
      </c>
      <c r="F63" s="139"/>
      <c r="G63" s="139"/>
      <c r="H63" s="139"/>
      <c r="I63" s="140">
        <f t="shared" si="0"/>
        <v>3500</v>
      </c>
      <c r="J63" s="131">
        <f t="shared" si="0"/>
        <v>3500</v>
      </c>
      <c r="K63" s="141">
        <f t="shared" si="1"/>
        <v>100</v>
      </c>
    </row>
    <row r="64" spans="1:11" ht="120">
      <c r="A64" s="142" t="s">
        <v>32</v>
      </c>
      <c r="B64" s="148" t="s">
        <v>318</v>
      </c>
      <c r="C64" s="146">
        <v>1504.3</v>
      </c>
      <c r="D64" s="160">
        <v>752</v>
      </c>
      <c r="E64" s="146">
        <f t="shared" si="5"/>
        <v>49.990028584723795</v>
      </c>
      <c r="F64" s="139">
        <v>1583.5</v>
      </c>
      <c r="G64" s="139">
        <v>791.6</v>
      </c>
      <c r="H64" s="139">
        <f>G64/F64*100</f>
        <v>49.99052731291443</v>
      </c>
      <c r="I64" s="140">
        <f>C64+F64-1504.3</f>
        <v>1583.5000000000002</v>
      </c>
      <c r="J64" s="131">
        <f>D64+G64-752</f>
        <v>791.5999999999999</v>
      </c>
      <c r="K64" s="141">
        <f t="shared" si="1"/>
        <v>49.990527312914416</v>
      </c>
    </row>
    <row r="65" spans="1:11" ht="45">
      <c r="A65" s="142" t="s">
        <v>32</v>
      </c>
      <c r="B65" s="148" t="s">
        <v>319</v>
      </c>
      <c r="C65" s="146">
        <v>11000</v>
      </c>
      <c r="D65" s="160">
        <v>8985.2</v>
      </c>
      <c r="E65" s="146">
        <f t="shared" si="5"/>
        <v>81.68363636363637</v>
      </c>
      <c r="F65" s="139"/>
      <c r="G65" s="139"/>
      <c r="H65" s="139"/>
      <c r="I65" s="140">
        <f>C65+F65</f>
        <v>11000</v>
      </c>
      <c r="J65" s="131">
        <f>D65+G65</f>
        <v>8985.2</v>
      </c>
      <c r="K65" s="141">
        <f t="shared" si="1"/>
        <v>81.68363636363637</v>
      </c>
    </row>
    <row r="66" spans="1:11" ht="60">
      <c r="A66" s="142" t="s">
        <v>32</v>
      </c>
      <c r="B66" s="148" t="s">
        <v>289</v>
      </c>
      <c r="C66" s="129"/>
      <c r="D66" s="160"/>
      <c r="E66" s="146"/>
      <c r="F66" s="139">
        <v>4599.4</v>
      </c>
      <c r="G66" s="139">
        <v>4599.4</v>
      </c>
      <c r="H66" s="139">
        <f>G66/F66*100</f>
        <v>100</v>
      </c>
      <c r="I66" s="140">
        <f t="shared" si="0"/>
        <v>4599.4</v>
      </c>
      <c r="J66" s="131">
        <f>D66+G66</f>
        <v>4599.4</v>
      </c>
      <c r="K66" s="141">
        <f t="shared" si="1"/>
        <v>100</v>
      </c>
    </row>
    <row r="67" spans="1:11" ht="45">
      <c r="A67" s="142" t="s">
        <v>32</v>
      </c>
      <c r="B67" s="148" t="s">
        <v>320</v>
      </c>
      <c r="C67" s="129"/>
      <c r="D67" s="160"/>
      <c r="E67" s="146"/>
      <c r="F67" s="139">
        <v>740</v>
      </c>
      <c r="G67" s="139">
        <v>657.8</v>
      </c>
      <c r="H67" s="139">
        <f>G67/F67*100</f>
        <v>88.89189189189189</v>
      </c>
      <c r="I67" s="140">
        <f t="shared" si="0"/>
        <v>740</v>
      </c>
      <c r="J67" s="131">
        <f>D67+G67</f>
        <v>657.8</v>
      </c>
      <c r="K67" s="141">
        <f t="shared" si="1"/>
        <v>88.89189189189189</v>
      </c>
    </row>
    <row r="68" spans="1:11" ht="30">
      <c r="A68" s="142" t="s">
        <v>32</v>
      </c>
      <c r="B68" s="148" t="s">
        <v>290</v>
      </c>
      <c r="C68" s="129"/>
      <c r="D68" s="160"/>
      <c r="E68" s="146"/>
      <c r="F68" s="139">
        <v>14421.6</v>
      </c>
      <c r="G68" s="139">
        <v>7378.6</v>
      </c>
      <c r="H68" s="139">
        <f>G68/F68*100</f>
        <v>51.16353247905919</v>
      </c>
      <c r="I68" s="140">
        <f t="shared" si="0"/>
        <v>14421.6</v>
      </c>
      <c r="J68" s="131">
        <f>D68+G68</f>
        <v>7378.6</v>
      </c>
      <c r="K68" s="141">
        <f t="shared" si="1"/>
        <v>51.16353247905919</v>
      </c>
    </row>
    <row r="69" spans="1:11" ht="60">
      <c r="A69" s="142" t="s">
        <v>33</v>
      </c>
      <c r="B69" s="148" t="s">
        <v>255</v>
      </c>
      <c r="C69" s="129">
        <v>11344</v>
      </c>
      <c r="D69" s="160">
        <v>6066.8</v>
      </c>
      <c r="E69" s="146">
        <f>D69/C69*100</f>
        <v>53.4802538787024</v>
      </c>
      <c r="F69" s="139"/>
      <c r="G69" s="139"/>
      <c r="H69" s="139"/>
      <c r="I69" s="140">
        <f t="shared" si="0"/>
        <v>11344</v>
      </c>
      <c r="J69" s="131">
        <f>D69+G69</f>
        <v>6066.8</v>
      </c>
      <c r="K69" s="141">
        <f t="shared" si="1"/>
        <v>53.4802538787024</v>
      </c>
    </row>
    <row r="70" spans="1:11" ht="45">
      <c r="A70" s="142" t="s">
        <v>33</v>
      </c>
      <c r="B70" s="148" t="s">
        <v>256</v>
      </c>
      <c r="C70" s="129">
        <v>3153.8</v>
      </c>
      <c r="D70" s="160">
        <v>3153.7</v>
      </c>
      <c r="E70" s="146">
        <f>D70/C70*100</f>
        <v>99.99682922189103</v>
      </c>
      <c r="F70" s="139">
        <v>3153.8</v>
      </c>
      <c r="G70" s="139">
        <v>1473</v>
      </c>
      <c r="H70" s="139">
        <f>G70/F70*100</f>
        <v>46.70556154480309</v>
      </c>
      <c r="I70" s="140">
        <f>C70+F70-3153.8</f>
        <v>3153.8</v>
      </c>
      <c r="J70" s="131">
        <f>D70+G70-3153.7</f>
        <v>1473</v>
      </c>
      <c r="K70" s="141">
        <f t="shared" si="1"/>
        <v>46.70556154480309</v>
      </c>
    </row>
    <row r="71" spans="1:11" ht="150">
      <c r="A71" s="137" t="s">
        <v>33</v>
      </c>
      <c r="B71" s="138" t="s">
        <v>321</v>
      </c>
      <c r="C71" s="129"/>
      <c r="D71" s="129">
        <v>0</v>
      </c>
      <c r="E71" s="146">
        <v>0</v>
      </c>
      <c r="F71" s="129">
        <v>1919.2</v>
      </c>
      <c r="G71" s="139">
        <v>1121.3</v>
      </c>
      <c r="H71" s="139">
        <f>G71/F71*100</f>
        <v>58.42538557732389</v>
      </c>
      <c r="I71" s="140">
        <f t="shared" si="0"/>
        <v>1919.2</v>
      </c>
      <c r="J71" s="131">
        <f t="shared" si="0"/>
        <v>1121.3</v>
      </c>
      <c r="K71" s="141">
        <f t="shared" si="1"/>
        <v>58.42538557732389</v>
      </c>
    </row>
    <row r="72" spans="1:11" ht="75">
      <c r="A72" s="142" t="s">
        <v>33</v>
      </c>
      <c r="B72" s="138" t="s">
        <v>257</v>
      </c>
      <c r="C72" s="129">
        <v>1500</v>
      </c>
      <c r="D72" s="129">
        <v>0</v>
      </c>
      <c r="E72" s="146">
        <f t="shared" si="5"/>
        <v>0</v>
      </c>
      <c r="F72" s="129">
        <v>1500</v>
      </c>
      <c r="G72" s="139">
        <v>0</v>
      </c>
      <c r="H72" s="139">
        <f>G72/F72*100</f>
        <v>0</v>
      </c>
      <c r="I72" s="140">
        <f>C72+F72-1500</f>
        <v>1500</v>
      </c>
      <c r="J72" s="131">
        <f>D72+G72</f>
        <v>0</v>
      </c>
      <c r="K72" s="141">
        <f t="shared" si="1"/>
        <v>0</v>
      </c>
    </row>
    <row r="73" spans="1:11" ht="15">
      <c r="A73" s="137" t="s">
        <v>33</v>
      </c>
      <c r="B73" s="138" t="s">
        <v>258</v>
      </c>
      <c r="C73" s="129">
        <v>532.9</v>
      </c>
      <c r="D73" s="129">
        <v>532.9</v>
      </c>
      <c r="E73" s="146">
        <f>D73/C73*100</f>
        <v>100</v>
      </c>
      <c r="F73" s="129">
        <v>31148</v>
      </c>
      <c r="G73" s="139">
        <v>17943</v>
      </c>
      <c r="H73" s="139">
        <f>G73/F73*100</f>
        <v>57.60562475921408</v>
      </c>
      <c r="I73" s="140">
        <f>C73+F73</f>
        <v>31680.9</v>
      </c>
      <c r="J73" s="131">
        <f>D73+G73</f>
        <v>18475.9</v>
      </c>
      <c r="K73" s="141">
        <f t="shared" si="1"/>
        <v>58.31873463190755</v>
      </c>
    </row>
    <row r="74" spans="1:11" ht="30">
      <c r="A74" s="142" t="s">
        <v>138</v>
      </c>
      <c r="B74" s="138" t="s">
        <v>139</v>
      </c>
      <c r="C74" s="129">
        <v>410.5</v>
      </c>
      <c r="D74" s="129"/>
      <c r="E74" s="146">
        <v>0</v>
      </c>
      <c r="F74" s="129">
        <v>356.2</v>
      </c>
      <c r="G74" s="139"/>
      <c r="H74" s="139">
        <f>G74/F74*100</f>
        <v>0</v>
      </c>
      <c r="I74" s="140">
        <f>C74+F74-356.3</f>
        <v>410.40000000000003</v>
      </c>
      <c r="J74" s="131">
        <f>D74+G74</f>
        <v>0</v>
      </c>
      <c r="K74" s="141">
        <f t="shared" si="1"/>
        <v>0</v>
      </c>
    </row>
    <row r="75" spans="1:11" ht="15">
      <c r="A75" s="152" t="s">
        <v>34</v>
      </c>
      <c r="B75" s="153" t="s">
        <v>35</v>
      </c>
      <c r="C75" s="149">
        <f aca="true" t="shared" si="7" ref="C75:H75">C76</f>
        <v>0</v>
      </c>
      <c r="D75" s="149">
        <f t="shared" si="7"/>
        <v>0</v>
      </c>
      <c r="E75" s="134">
        <v>0</v>
      </c>
      <c r="F75" s="149">
        <f t="shared" si="7"/>
        <v>0</v>
      </c>
      <c r="G75" s="149">
        <f t="shared" si="7"/>
        <v>0</v>
      </c>
      <c r="H75" s="135">
        <f t="shared" si="7"/>
        <v>0</v>
      </c>
      <c r="I75" s="149">
        <f t="shared" si="0"/>
        <v>0</v>
      </c>
      <c r="J75" s="149">
        <f t="shared" si="0"/>
        <v>0</v>
      </c>
      <c r="K75" s="136">
        <v>0</v>
      </c>
    </row>
    <row r="76" spans="1:11" ht="30">
      <c r="A76" s="142" t="s">
        <v>36</v>
      </c>
      <c r="B76" s="154" t="s">
        <v>37</v>
      </c>
      <c r="C76" s="147">
        <v>0</v>
      </c>
      <c r="D76" s="139">
        <v>0</v>
      </c>
      <c r="E76" s="129">
        <v>0</v>
      </c>
      <c r="F76" s="139">
        <v>0</v>
      </c>
      <c r="G76" s="139">
        <v>0</v>
      </c>
      <c r="H76" s="139">
        <v>0</v>
      </c>
      <c r="I76" s="140">
        <f t="shared" si="0"/>
        <v>0</v>
      </c>
      <c r="J76" s="131">
        <f t="shared" si="0"/>
        <v>0</v>
      </c>
      <c r="K76" s="141">
        <v>0</v>
      </c>
    </row>
    <row r="77" spans="1:11" ht="15">
      <c r="A77" s="132" t="s">
        <v>38</v>
      </c>
      <c r="B77" s="133" t="s">
        <v>39</v>
      </c>
      <c r="C77" s="134">
        <f>SUM(C78:C83)</f>
        <v>2472161.9</v>
      </c>
      <c r="D77" s="134">
        <f>SUM(D78:D83)</f>
        <v>1383845.4</v>
      </c>
      <c r="E77" s="134">
        <f>D77/C77*100</f>
        <v>55.97713483085391</v>
      </c>
      <c r="F77" s="149">
        <f>F78+F79+F80+F82+F83</f>
        <v>0</v>
      </c>
      <c r="G77" s="149">
        <f>SUM(G78:G83)</f>
        <v>0</v>
      </c>
      <c r="H77" s="135">
        <v>0</v>
      </c>
      <c r="I77" s="134">
        <f>SUM(I78:I83)</f>
        <v>2472161.9</v>
      </c>
      <c r="J77" s="134">
        <f>SUM(J78:J83)</f>
        <v>1383845.4</v>
      </c>
      <c r="K77" s="136">
        <f t="shared" si="1"/>
        <v>55.97713483085391</v>
      </c>
    </row>
    <row r="78" spans="1:11" ht="15">
      <c r="A78" s="137" t="s">
        <v>40</v>
      </c>
      <c r="B78" s="138" t="s">
        <v>41</v>
      </c>
      <c r="C78" s="129">
        <v>528793.2</v>
      </c>
      <c r="D78" s="129">
        <v>266415.3</v>
      </c>
      <c r="E78" s="129">
        <f t="shared" si="5"/>
        <v>50.38175604376154</v>
      </c>
      <c r="F78" s="139">
        <v>0</v>
      </c>
      <c r="G78" s="139">
        <v>0</v>
      </c>
      <c r="H78" s="139">
        <v>0</v>
      </c>
      <c r="I78" s="140">
        <f t="shared" si="0"/>
        <v>528793.2</v>
      </c>
      <c r="J78" s="131">
        <f t="shared" si="0"/>
        <v>266415.3</v>
      </c>
      <c r="K78" s="141">
        <f t="shared" si="1"/>
        <v>50.38175604376154</v>
      </c>
    </row>
    <row r="79" spans="1:11" ht="15">
      <c r="A79" s="137" t="s">
        <v>42</v>
      </c>
      <c r="B79" s="138" t="s">
        <v>43</v>
      </c>
      <c r="C79" s="129">
        <f>1869866.3-C80-C81</f>
        <v>1096025.7000000002</v>
      </c>
      <c r="D79" s="129">
        <f>1063258.5-D80-D81</f>
        <v>714601.5</v>
      </c>
      <c r="E79" s="129">
        <f t="shared" si="5"/>
        <v>65.19933793523272</v>
      </c>
      <c r="F79" s="139">
        <v>0</v>
      </c>
      <c r="G79" s="139">
        <v>0</v>
      </c>
      <c r="H79" s="139">
        <v>0</v>
      </c>
      <c r="I79" s="140">
        <f t="shared" si="0"/>
        <v>1096025.7000000002</v>
      </c>
      <c r="J79" s="131">
        <f t="shared" si="0"/>
        <v>714601.5</v>
      </c>
      <c r="K79" s="141">
        <f t="shared" si="1"/>
        <v>65.19933793523272</v>
      </c>
    </row>
    <row r="80" spans="1:11" ht="15">
      <c r="A80" s="137" t="s">
        <v>42</v>
      </c>
      <c r="B80" s="138" t="s">
        <v>259</v>
      </c>
      <c r="C80" s="129">
        <v>43771</v>
      </c>
      <c r="D80" s="129">
        <v>17616.7</v>
      </c>
      <c r="E80" s="129">
        <f t="shared" si="5"/>
        <v>40.24742409357794</v>
      </c>
      <c r="F80" s="139">
        <v>0</v>
      </c>
      <c r="G80" s="139">
        <v>0</v>
      </c>
      <c r="H80" s="139">
        <v>0</v>
      </c>
      <c r="I80" s="140">
        <f t="shared" si="0"/>
        <v>43771</v>
      </c>
      <c r="J80" s="131">
        <f t="shared" si="0"/>
        <v>17616.7</v>
      </c>
      <c r="K80" s="141">
        <f t="shared" si="1"/>
        <v>40.24742409357794</v>
      </c>
    </row>
    <row r="81" spans="1:11" ht="105">
      <c r="A81" s="137" t="s">
        <v>42</v>
      </c>
      <c r="B81" s="138" t="s">
        <v>260</v>
      </c>
      <c r="C81" s="129">
        <v>730069.6</v>
      </c>
      <c r="D81" s="129">
        <v>331040.3</v>
      </c>
      <c r="E81" s="129">
        <f t="shared" si="5"/>
        <v>45.34366312472126</v>
      </c>
      <c r="F81" s="139">
        <v>0</v>
      </c>
      <c r="G81" s="139">
        <v>0</v>
      </c>
      <c r="H81" s="139">
        <v>0</v>
      </c>
      <c r="I81" s="140">
        <f t="shared" si="0"/>
        <v>730069.6</v>
      </c>
      <c r="J81" s="131">
        <f t="shared" si="0"/>
        <v>331040.3</v>
      </c>
      <c r="K81" s="141">
        <f t="shared" si="1"/>
        <v>45.34366312472126</v>
      </c>
    </row>
    <row r="82" spans="1:11" ht="15">
      <c r="A82" s="137" t="s">
        <v>44</v>
      </c>
      <c r="B82" s="138" t="s">
        <v>45</v>
      </c>
      <c r="C82" s="129">
        <v>22288.1</v>
      </c>
      <c r="D82" s="129">
        <v>18537.9</v>
      </c>
      <c r="E82" s="129">
        <f t="shared" si="5"/>
        <v>83.17398073411373</v>
      </c>
      <c r="F82" s="139">
        <v>0</v>
      </c>
      <c r="G82" s="139">
        <v>0</v>
      </c>
      <c r="H82" s="139">
        <v>0</v>
      </c>
      <c r="I82" s="140">
        <f t="shared" si="0"/>
        <v>22288.1</v>
      </c>
      <c r="J82" s="131">
        <f t="shared" si="0"/>
        <v>18537.9</v>
      </c>
      <c r="K82" s="141">
        <f t="shared" si="1"/>
        <v>83.17398073411373</v>
      </c>
    </row>
    <row r="83" spans="1:11" ht="15">
      <c r="A83" s="137" t="s">
        <v>46</v>
      </c>
      <c r="B83" s="138" t="s">
        <v>47</v>
      </c>
      <c r="C83" s="129">
        <v>51214.3</v>
      </c>
      <c r="D83" s="129">
        <v>35633.7</v>
      </c>
      <c r="E83" s="129">
        <f t="shared" si="5"/>
        <v>69.57763749577754</v>
      </c>
      <c r="F83" s="139">
        <v>0</v>
      </c>
      <c r="G83" s="139">
        <v>0</v>
      </c>
      <c r="H83" s="139">
        <v>0</v>
      </c>
      <c r="I83" s="140">
        <f t="shared" si="0"/>
        <v>51214.3</v>
      </c>
      <c r="J83" s="131">
        <f t="shared" si="0"/>
        <v>35633.7</v>
      </c>
      <c r="K83" s="141">
        <f t="shared" si="1"/>
        <v>69.57763749577754</v>
      </c>
    </row>
    <row r="84" spans="1:11" ht="15">
      <c r="A84" s="132" t="s">
        <v>48</v>
      </c>
      <c r="B84" s="133" t="s">
        <v>49</v>
      </c>
      <c r="C84" s="134">
        <f>SUM(C85:C90)</f>
        <v>251916.69999999998</v>
      </c>
      <c r="D84" s="134">
        <f>SUM(D85:D90)</f>
        <v>140506.40000000002</v>
      </c>
      <c r="E84" s="134">
        <f>D84/C84*100</f>
        <v>55.774944654324244</v>
      </c>
      <c r="F84" s="149">
        <f>SUM(F85:F90)</f>
        <v>87251</v>
      </c>
      <c r="G84" s="149">
        <f>SUM(G85:G90)</f>
        <v>49926.6</v>
      </c>
      <c r="H84" s="135">
        <f>G84/F84*100</f>
        <v>57.22180834603615</v>
      </c>
      <c r="I84" s="149">
        <f>SUM(I85:I90)</f>
        <v>337302.89999999997</v>
      </c>
      <c r="J84" s="149">
        <f>SUM(J85:J90)</f>
        <v>188571.2</v>
      </c>
      <c r="K84" s="136">
        <f t="shared" si="1"/>
        <v>55.90559701680598</v>
      </c>
    </row>
    <row r="85" spans="1:11" ht="15">
      <c r="A85" s="137" t="s">
        <v>50</v>
      </c>
      <c r="B85" s="138" t="s">
        <v>90</v>
      </c>
      <c r="C85" s="129">
        <f>243389.4-C86-C87</f>
        <v>66103.1</v>
      </c>
      <c r="D85" s="129">
        <f>134777.2-D86-D87</f>
        <v>37479.80000000002</v>
      </c>
      <c r="E85" s="129">
        <f t="shared" si="5"/>
        <v>56.69900503909804</v>
      </c>
      <c r="F85" s="139">
        <f>85958-F87-F88</f>
        <v>84156.5</v>
      </c>
      <c r="G85" s="139">
        <f>49717-G86-G87-G88</f>
        <v>49338.3</v>
      </c>
      <c r="H85" s="139">
        <f>G85/F85*100</f>
        <v>58.62684403462597</v>
      </c>
      <c r="I85" s="140">
        <f>C85+F85-348.3</f>
        <v>149911.30000000002</v>
      </c>
      <c r="J85" s="131">
        <f>D85+G85-348.3</f>
        <v>86469.80000000002</v>
      </c>
      <c r="K85" s="141">
        <f t="shared" si="1"/>
        <v>57.680641819529285</v>
      </c>
    </row>
    <row r="86" spans="1:11" ht="75">
      <c r="A86" s="155" t="s">
        <v>50</v>
      </c>
      <c r="B86" s="156" t="s">
        <v>300</v>
      </c>
      <c r="C86" s="129">
        <v>176304.8</v>
      </c>
      <c r="D86" s="129">
        <v>96078.7</v>
      </c>
      <c r="E86" s="129">
        <f t="shared" si="5"/>
        <v>54.49579364827276</v>
      </c>
      <c r="F86" s="139">
        <v>0</v>
      </c>
      <c r="G86" s="139">
        <v>0</v>
      </c>
      <c r="H86" s="139">
        <v>0</v>
      </c>
      <c r="I86" s="140">
        <f aca="true" t="shared" si="8" ref="I86:J105">C86+F86</f>
        <v>176304.8</v>
      </c>
      <c r="J86" s="131">
        <f t="shared" si="8"/>
        <v>96078.7</v>
      </c>
      <c r="K86" s="141">
        <f>J86/I86*100</f>
        <v>54.49579364827276</v>
      </c>
    </row>
    <row r="87" spans="1:11" ht="15">
      <c r="A87" s="155" t="s">
        <v>50</v>
      </c>
      <c r="B87" s="156" t="s">
        <v>322</v>
      </c>
      <c r="C87" s="129">
        <v>981.5</v>
      </c>
      <c r="D87" s="129">
        <f>237.2+981.5</f>
        <v>1218.7</v>
      </c>
      <c r="E87" s="129">
        <f t="shared" si="5"/>
        <v>124.16709118695874</v>
      </c>
      <c r="F87" s="139">
        <v>981.5</v>
      </c>
      <c r="G87" s="139">
        <v>378.7</v>
      </c>
      <c r="H87" s="139"/>
      <c r="I87" s="140">
        <f>C87+F87-981.5</f>
        <v>981.5</v>
      </c>
      <c r="J87" s="131">
        <f>D87+G87-981.5</f>
        <v>615.9000000000001</v>
      </c>
      <c r="K87" s="141">
        <f>J87/I87*100</f>
        <v>62.750891492613356</v>
      </c>
    </row>
    <row r="88" spans="1:11" ht="150">
      <c r="A88" s="155" t="s">
        <v>50</v>
      </c>
      <c r="B88" s="138" t="s">
        <v>291</v>
      </c>
      <c r="C88" s="129">
        <v>0</v>
      </c>
      <c r="D88" s="129">
        <v>0</v>
      </c>
      <c r="E88" s="129">
        <v>0</v>
      </c>
      <c r="F88" s="139">
        <v>820</v>
      </c>
      <c r="G88" s="139">
        <v>0</v>
      </c>
      <c r="H88" s="139">
        <v>0</v>
      </c>
      <c r="I88" s="140">
        <f t="shared" si="8"/>
        <v>820</v>
      </c>
      <c r="J88" s="131">
        <f t="shared" si="8"/>
        <v>0</v>
      </c>
      <c r="K88" s="141">
        <v>0</v>
      </c>
    </row>
    <row r="89" spans="1:11" ht="15">
      <c r="A89" s="137" t="s">
        <v>51</v>
      </c>
      <c r="B89" s="138" t="s">
        <v>52</v>
      </c>
      <c r="C89" s="129">
        <v>350</v>
      </c>
      <c r="D89" s="129">
        <v>270</v>
      </c>
      <c r="E89" s="129">
        <f t="shared" si="5"/>
        <v>77.14285714285715</v>
      </c>
      <c r="F89" s="139">
        <v>768</v>
      </c>
      <c r="G89" s="139">
        <v>140.7</v>
      </c>
      <c r="H89" s="139">
        <f>G89/F89*100</f>
        <v>18.3203125</v>
      </c>
      <c r="I89" s="140">
        <f t="shared" si="8"/>
        <v>1118</v>
      </c>
      <c r="J89" s="131">
        <f t="shared" si="8"/>
        <v>410.7</v>
      </c>
      <c r="K89" s="141">
        <f aca="true" t="shared" si="9" ref="K89:K120">J89/I89*100</f>
        <v>36.735241502683365</v>
      </c>
    </row>
    <row r="90" spans="1:11" ht="30">
      <c r="A90" s="137" t="s">
        <v>53</v>
      </c>
      <c r="B90" s="138" t="s">
        <v>91</v>
      </c>
      <c r="C90" s="129">
        <v>8177.3</v>
      </c>
      <c r="D90" s="129">
        <v>5459.2</v>
      </c>
      <c r="E90" s="129">
        <f t="shared" si="5"/>
        <v>66.76042214422853</v>
      </c>
      <c r="F90" s="139">
        <v>525</v>
      </c>
      <c r="G90" s="139">
        <v>68.9</v>
      </c>
      <c r="H90" s="139">
        <f>G90/F90*100</f>
        <v>13.123809523809523</v>
      </c>
      <c r="I90" s="140">
        <f>C90+F90-535</f>
        <v>8167.299999999999</v>
      </c>
      <c r="J90" s="131">
        <f>D90+G90-532</f>
        <v>4996.099999999999</v>
      </c>
      <c r="K90" s="141">
        <f t="shared" si="9"/>
        <v>61.17199074357499</v>
      </c>
    </row>
    <row r="91" spans="1:11" ht="15">
      <c r="A91" s="132" t="s">
        <v>54</v>
      </c>
      <c r="B91" s="133" t="s">
        <v>92</v>
      </c>
      <c r="C91" s="134">
        <f>C92+C93</f>
        <v>113266.09999999999</v>
      </c>
      <c r="D91" s="134">
        <f>D92+D93</f>
        <v>113.5</v>
      </c>
      <c r="E91" s="134">
        <f>D91/C91*100</f>
        <v>0.1002065048589119</v>
      </c>
      <c r="F91" s="149">
        <v>0</v>
      </c>
      <c r="G91" s="149">
        <v>0</v>
      </c>
      <c r="H91" s="135"/>
      <c r="I91" s="149">
        <f>C91+F91</f>
        <v>113266.09999999999</v>
      </c>
      <c r="J91" s="149">
        <f t="shared" si="8"/>
        <v>113.5</v>
      </c>
      <c r="K91" s="136">
        <f t="shared" si="9"/>
        <v>0.1002065048589119</v>
      </c>
    </row>
    <row r="92" spans="1:11" ht="15">
      <c r="A92" s="142" t="s">
        <v>104</v>
      </c>
      <c r="B92" s="138" t="s">
        <v>261</v>
      </c>
      <c r="C92" s="129">
        <v>166.7</v>
      </c>
      <c r="D92" s="129">
        <v>113.5</v>
      </c>
      <c r="E92" s="129">
        <f t="shared" si="5"/>
        <v>68.08638272345532</v>
      </c>
      <c r="F92" s="140"/>
      <c r="G92" s="140"/>
      <c r="H92" s="139"/>
      <c r="I92" s="140">
        <v>166.7</v>
      </c>
      <c r="J92" s="131">
        <f t="shared" si="8"/>
        <v>113.5</v>
      </c>
      <c r="K92" s="141">
        <f t="shared" si="9"/>
        <v>68.08638272345532</v>
      </c>
    </row>
    <row r="93" spans="1:11" ht="45">
      <c r="A93" s="142" t="s">
        <v>104</v>
      </c>
      <c r="B93" s="156" t="s">
        <v>132</v>
      </c>
      <c r="C93" s="129">
        <v>113099.4</v>
      </c>
      <c r="D93" s="139">
        <v>0</v>
      </c>
      <c r="E93" s="129">
        <f t="shared" si="5"/>
        <v>0</v>
      </c>
      <c r="F93" s="139">
        <v>0</v>
      </c>
      <c r="G93" s="139">
        <v>0</v>
      </c>
      <c r="H93" s="139">
        <v>0</v>
      </c>
      <c r="I93" s="140">
        <f t="shared" si="8"/>
        <v>113099.4</v>
      </c>
      <c r="J93" s="131">
        <f t="shared" si="8"/>
        <v>0</v>
      </c>
      <c r="K93" s="141">
        <f t="shared" si="9"/>
        <v>0</v>
      </c>
    </row>
    <row r="94" spans="1:11" ht="15">
      <c r="A94" s="132">
        <v>10</v>
      </c>
      <c r="B94" s="133" t="s">
        <v>60</v>
      </c>
      <c r="C94" s="134">
        <f>SUM(C95:C107)</f>
        <v>160865</v>
      </c>
      <c r="D94" s="134">
        <f>SUM(D95:D107)</f>
        <v>103829</v>
      </c>
      <c r="E94" s="134">
        <f>D94/C94*100</f>
        <v>64.54418301059896</v>
      </c>
      <c r="F94" s="134">
        <f>SUM(F95:F105)</f>
        <v>266.3</v>
      </c>
      <c r="G94" s="134">
        <f>SUM(G95:G105)</f>
        <v>161.4</v>
      </c>
      <c r="H94" s="135">
        <f>G94/F94*100</f>
        <v>60.608336462636125</v>
      </c>
      <c r="I94" s="134">
        <f>SUM(I95:I107)</f>
        <v>161131.30000000002</v>
      </c>
      <c r="J94" s="134">
        <f>SUM(J95:J107)</f>
        <v>103990.4</v>
      </c>
      <c r="K94" s="136">
        <f t="shared" si="9"/>
        <v>64.53767827852191</v>
      </c>
    </row>
    <row r="95" spans="1:11" ht="15">
      <c r="A95" s="142">
        <v>1001</v>
      </c>
      <c r="B95" s="138" t="s">
        <v>61</v>
      </c>
      <c r="C95" s="129">
        <v>3425</v>
      </c>
      <c r="D95" s="129">
        <v>2242.7</v>
      </c>
      <c r="E95" s="129">
        <f t="shared" si="5"/>
        <v>65.48029197080292</v>
      </c>
      <c r="F95" s="139">
        <v>266.3</v>
      </c>
      <c r="G95" s="139">
        <v>161.4</v>
      </c>
      <c r="H95" s="139">
        <f>G95/F95*100</f>
        <v>60.608336462636125</v>
      </c>
      <c r="I95" s="140">
        <f t="shared" si="8"/>
        <v>3691.3</v>
      </c>
      <c r="J95" s="131">
        <f t="shared" si="8"/>
        <v>2404.1</v>
      </c>
      <c r="K95" s="141">
        <f t="shared" si="9"/>
        <v>65.12881640614417</v>
      </c>
    </row>
    <row r="96" spans="1:11" ht="60">
      <c r="A96" s="142">
        <v>1003</v>
      </c>
      <c r="B96" s="138" t="s">
        <v>262</v>
      </c>
      <c r="C96" s="146">
        <v>1414.8</v>
      </c>
      <c r="D96" s="129">
        <v>0</v>
      </c>
      <c r="E96" s="129">
        <f t="shared" si="5"/>
        <v>0</v>
      </c>
      <c r="F96" s="139">
        <v>0</v>
      </c>
      <c r="G96" s="139">
        <v>0</v>
      </c>
      <c r="H96" s="139">
        <v>0</v>
      </c>
      <c r="I96" s="140">
        <f t="shared" si="8"/>
        <v>1414.8</v>
      </c>
      <c r="J96" s="131">
        <f t="shared" si="8"/>
        <v>0</v>
      </c>
      <c r="K96" s="141">
        <f t="shared" si="9"/>
        <v>0</v>
      </c>
    </row>
    <row r="97" spans="1:11" ht="135">
      <c r="A97" s="142">
        <v>1003</v>
      </c>
      <c r="B97" s="138" t="s">
        <v>301</v>
      </c>
      <c r="C97" s="146">
        <v>471.3</v>
      </c>
      <c r="D97" s="129">
        <v>0</v>
      </c>
      <c r="E97" s="129">
        <f t="shared" si="5"/>
        <v>0</v>
      </c>
      <c r="F97" s="139">
        <v>0</v>
      </c>
      <c r="G97" s="139">
        <v>0</v>
      </c>
      <c r="H97" s="139">
        <v>0</v>
      </c>
      <c r="I97" s="140">
        <f t="shared" si="8"/>
        <v>471.3</v>
      </c>
      <c r="J97" s="131">
        <f t="shared" si="8"/>
        <v>0</v>
      </c>
      <c r="K97" s="141">
        <f t="shared" si="9"/>
        <v>0</v>
      </c>
    </row>
    <row r="98" spans="1:11" ht="150">
      <c r="A98" s="142">
        <v>1003</v>
      </c>
      <c r="B98" s="138" t="s">
        <v>323</v>
      </c>
      <c r="C98" s="146">
        <v>115.1</v>
      </c>
      <c r="D98" s="129">
        <v>115.1</v>
      </c>
      <c r="E98" s="129">
        <f t="shared" si="5"/>
        <v>100</v>
      </c>
      <c r="F98" s="139"/>
      <c r="G98" s="139"/>
      <c r="H98" s="139"/>
      <c r="I98" s="140">
        <f t="shared" si="8"/>
        <v>115.1</v>
      </c>
      <c r="J98" s="131">
        <f t="shared" si="8"/>
        <v>115.1</v>
      </c>
      <c r="K98" s="141">
        <f t="shared" si="9"/>
        <v>100</v>
      </c>
    </row>
    <row r="99" spans="1:11" ht="60">
      <c r="A99" s="142">
        <v>1003</v>
      </c>
      <c r="B99" s="138" t="s">
        <v>263</v>
      </c>
      <c r="C99" s="146">
        <v>5141.2</v>
      </c>
      <c r="D99" s="129">
        <v>3656.7</v>
      </c>
      <c r="E99" s="129">
        <f t="shared" si="5"/>
        <v>71.12541819030577</v>
      </c>
      <c r="F99" s="139">
        <v>0</v>
      </c>
      <c r="G99" s="139">
        <v>0</v>
      </c>
      <c r="H99" s="139">
        <v>0</v>
      </c>
      <c r="I99" s="140">
        <f t="shared" si="8"/>
        <v>5141.2</v>
      </c>
      <c r="J99" s="131">
        <f t="shared" si="8"/>
        <v>3656.7</v>
      </c>
      <c r="K99" s="141">
        <f t="shared" si="9"/>
        <v>71.12541819030577</v>
      </c>
    </row>
    <row r="100" spans="1:11" ht="60">
      <c r="A100" s="142" t="s">
        <v>168</v>
      </c>
      <c r="B100" s="138" t="s">
        <v>292</v>
      </c>
      <c r="C100" s="146">
        <v>1036.5</v>
      </c>
      <c r="D100" s="129">
        <v>1036.5</v>
      </c>
      <c r="E100" s="129">
        <f t="shared" si="5"/>
        <v>100</v>
      </c>
      <c r="F100" s="139"/>
      <c r="G100" s="139"/>
      <c r="H100" s="139"/>
      <c r="I100" s="140">
        <f t="shared" si="8"/>
        <v>1036.5</v>
      </c>
      <c r="J100" s="131">
        <f t="shared" si="8"/>
        <v>1036.5</v>
      </c>
      <c r="K100" s="141">
        <f t="shared" si="9"/>
        <v>100</v>
      </c>
    </row>
    <row r="101" spans="1:11" ht="165">
      <c r="A101" s="142" t="s">
        <v>168</v>
      </c>
      <c r="B101" s="138" t="s">
        <v>324</v>
      </c>
      <c r="C101" s="129">
        <f>1529.4+180</f>
        <v>1709.4</v>
      </c>
      <c r="D101" s="129"/>
      <c r="E101" s="129">
        <f t="shared" si="5"/>
        <v>0</v>
      </c>
      <c r="F101" s="139"/>
      <c r="G101" s="139"/>
      <c r="H101" s="139"/>
      <c r="I101" s="140">
        <f t="shared" si="8"/>
        <v>1709.4</v>
      </c>
      <c r="J101" s="131">
        <f t="shared" si="8"/>
        <v>0</v>
      </c>
      <c r="K101" s="141">
        <f t="shared" si="9"/>
        <v>0</v>
      </c>
    </row>
    <row r="102" spans="1:11" ht="75">
      <c r="A102" s="142">
        <v>1004</v>
      </c>
      <c r="B102" s="138" t="s">
        <v>264</v>
      </c>
      <c r="C102" s="146">
        <v>16641</v>
      </c>
      <c r="D102" s="129">
        <v>8666.8</v>
      </c>
      <c r="E102" s="129">
        <f t="shared" si="5"/>
        <v>52.08100474731086</v>
      </c>
      <c r="F102" s="139">
        <v>0</v>
      </c>
      <c r="G102" s="139">
        <v>0</v>
      </c>
      <c r="H102" s="139">
        <v>0</v>
      </c>
      <c r="I102" s="140">
        <f t="shared" si="8"/>
        <v>16641</v>
      </c>
      <c r="J102" s="131">
        <f t="shared" si="8"/>
        <v>8666.8</v>
      </c>
      <c r="K102" s="141">
        <f t="shared" si="9"/>
        <v>52.08100474731086</v>
      </c>
    </row>
    <row r="103" spans="1:11" ht="45">
      <c r="A103" s="142">
        <v>1004</v>
      </c>
      <c r="B103" s="138" t="s">
        <v>265</v>
      </c>
      <c r="C103" s="146">
        <v>656</v>
      </c>
      <c r="D103" s="129">
        <v>656</v>
      </c>
      <c r="E103" s="129">
        <f aca="true" t="shared" si="10" ref="E103:E119">D103/C103*100</f>
        <v>100</v>
      </c>
      <c r="F103" s="139">
        <v>0</v>
      </c>
      <c r="G103" s="139">
        <v>0</v>
      </c>
      <c r="H103" s="139">
        <v>0</v>
      </c>
      <c r="I103" s="140">
        <f t="shared" si="8"/>
        <v>656</v>
      </c>
      <c r="J103" s="140">
        <f t="shared" si="8"/>
        <v>656</v>
      </c>
      <c r="K103" s="141">
        <f t="shared" si="9"/>
        <v>100</v>
      </c>
    </row>
    <row r="104" spans="1:11" ht="165">
      <c r="A104" s="142">
        <v>1004</v>
      </c>
      <c r="B104" s="138" t="s">
        <v>266</v>
      </c>
      <c r="C104" s="146">
        <v>82270</v>
      </c>
      <c r="D104" s="129">
        <v>69251.9</v>
      </c>
      <c r="E104" s="129">
        <f t="shared" si="10"/>
        <v>84.17637048741946</v>
      </c>
      <c r="F104" s="139">
        <v>0</v>
      </c>
      <c r="G104" s="139">
        <v>0</v>
      </c>
      <c r="H104" s="139">
        <v>0</v>
      </c>
      <c r="I104" s="140">
        <f t="shared" si="8"/>
        <v>82270</v>
      </c>
      <c r="J104" s="131">
        <f t="shared" si="8"/>
        <v>69251.9</v>
      </c>
      <c r="K104" s="141">
        <f t="shared" si="9"/>
        <v>84.17637048741946</v>
      </c>
    </row>
    <row r="105" spans="1:11" ht="120">
      <c r="A105" s="142">
        <v>1004</v>
      </c>
      <c r="B105" s="138" t="s">
        <v>267</v>
      </c>
      <c r="C105" s="146">
        <v>636.6</v>
      </c>
      <c r="D105" s="129">
        <v>0</v>
      </c>
      <c r="E105" s="129">
        <f t="shared" si="10"/>
        <v>0</v>
      </c>
      <c r="F105" s="139">
        <v>0</v>
      </c>
      <c r="G105" s="139">
        <v>0</v>
      </c>
      <c r="H105" s="139">
        <v>0</v>
      </c>
      <c r="I105" s="140">
        <f t="shared" si="8"/>
        <v>636.6</v>
      </c>
      <c r="J105" s="131">
        <f t="shared" si="8"/>
        <v>0</v>
      </c>
      <c r="K105" s="141">
        <f t="shared" si="9"/>
        <v>0</v>
      </c>
    </row>
    <row r="106" spans="1:11" ht="39" customHeight="1">
      <c r="A106" s="142" t="s">
        <v>110</v>
      </c>
      <c r="B106" s="138" t="s">
        <v>302</v>
      </c>
      <c r="C106" s="146">
        <v>32664.2</v>
      </c>
      <c r="D106" s="129">
        <v>10286.3</v>
      </c>
      <c r="E106" s="129">
        <f>D106/C106*100</f>
        <v>31.49105136510308</v>
      </c>
      <c r="F106" s="139">
        <v>0</v>
      </c>
      <c r="G106" s="139">
        <v>0</v>
      </c>
      <c r="H106" s="139">
        <v>0</v>
      </c>
      <c r="I106" s="140">
        <f>C106+F106</f>
        <v>32664.2</v>
      </c>
      <c r="J106" s="131">
        <f>D106+G106</f>
        <v>10286.3</v>
      </c>
      <c r="K106" s="141">
        <f>J106/I106*100</f>
        <v>31.49105136510308</v>
      </c>
    </row>
    <row r="107" spans="1:11" ht="30">
      <c r="A107" s="142">
        <v>1006</v>
      </c>
      <c r="B107" s="138" t="s">
        <v>63</v>
      </c>
      <c r="C107" s="129">
        <v>14683.9</v>
      </c>
      <c r="D107" s="129">
        <v>7917</v>
      </c>
      <c r="E107" s="129">
        <f t="shared" si="10"/>
        <v>53.91619392668161</v>
      </c>
      <c r="F107" s="139">
        <v>0</v>
      </c>
      <c r="G107" s="139">
        <v>0</v>
      </c>
      <c r="H107" s="139">
        <v>0</v>
      </c>
      <c r="I107" s="140">
        <f>C107+F107</f>
        <v>14683.9</v>
      </c>
      <c r="J107" s="131">
        <f>D107+G107</f>
        <v>7917</v>
      </c>
      <c r="K107" s="141">
        <f t="shared" si="9"/>
        <v>53.91619392668161</v>
      </c>
    </row>
    <row r="108" spans="1:11" ht="13.5" customHeight="1">
      <c r="A108" s="152">
        <v>1100</v>
      </c>
      <c r="B108" s="133" t="s">
        <v>59</v>
      </c>
      <c r="C108" s="134">
        <f>SUM(C109:C110)</f>
        <v>85361.4</v>
      </c>
      <c r="D108" s="134">
        <f>SUM(D109:D110)</f>
        <v>11477.3</v>
      </c>
      <c r="E108" s="134">
        <f>D108/C108*100</f>
        <v>13.445538615814643</v>
      </c>
      <c r="F108" s="149">
        <f>F109+F110</f>
        <v>19364.6</v>
      </c>
      <c r="G108" s="149">
        <f>G109+G110</f>
        <v>9890.7</v>
      </c>
      <c r="H108" s="135">
        <f>G108/F108*100</f>
        <v>51.07619057455357</v>
      </c>
      <c r="I108" s="149">
        <f>SUM(I109:I110)</f>
        <v>104501</v>
      </c>
      <c r="J108" s="149">
        <f>SUM(J109:J110)</f>
        <v>21263</v>
      </c>
      <c r="K108" s="136">
        <f t="shared" si="9"/>
        <v>20.347173711256353</v>
      </c>
    </row>
    <row r="109" spans="1:11" ht="15">
      <c r="A109" s="142">
        <v>1101</v>
      </c>
      <c r="B109" s="138" t="s">
        <v>83</v>
      </c>
      <c r="C109" s="129">
        <v>12073</v>
      </c>
      <c r="D109" s="129">
        <v>7390.9</v>
      </c>
      <c r="E109" s="129">
        <f t="shared" si="10"/>
        <v>61.21842127060383</v>
      </c>
      <c r="F109" s="139">
        <v>19296.6</v>
      </c>
      <c r="G109" s="139">
        <v>9703.2</v>
      </c>
      <c r="H109" s="139">
        <f>G109/F109*100</f>
        <v>50.28450607879109</v>
      </c>
      <c r="I109" s="140">
        <f>C109+F109-225</f>
        <v>31144.6</v>
      </c>
      <c r="J109" s="140">
        <f>D109+G109-105</f>
        <v>16989.1</v>
      </c>
      <c r="K109" s="141">
        <f t="shared" si="9"/>
        <v>54.54910321532465</v>
      </c>
    </row>
    <row r="110" spans="1:11" ht="15">
      <c r="A110" s="142">
        <v>1102</v>
      </c>
      <c r="B110" s="138" t="s">
        <v>84</v>
      </c>
      <c r="C110" s="129">
        <v>73288.4</v>
      </c>
      <c r="D110" s="129">
        <v>4086.4</v>
      </c>
      <c r="E110" s="129">
        <f t="shared" si="10"/>
        <v>5.575780068878568</v>
      </c>
      <c r="F110" s="139">
        <v>68</v>
      </c>
      <c r="G110" s="139">
        <v>187.5</v>
      </c>
      <c r="H110" s="139">
        <f>G110/F110*100</f>
        <v>275.7352941176471</v>
      </c>
      <c r="I110" s="140">
        <f>C110+F110</f>
        <v>73356.4</v>
      </c>
      <c r="J110" s="140">
        <f>D110+G110</f>
        <v>4273.9</v>
      </c>
      <c r="K110" s="141">
        <f t="shared" si="9"/>
        <v>5.826212845777601</v>
      </c>
    </row>
    <row r="111" spans="1:11" ht="15">
      <c r="A111" s="152">
        <v>1200</v>
      </c>
      <c r="B111" s="133" t="s">
        <v>85</v>
      </c>
      <c r="C111" s="134">
        <f>C113+C112</f>
        <v>9403</v>
      </c>
      <c r="D111" s="134">
        <f>D113+D112</f>
        <v>6922.1</v>
      </c>
      <c r="E111" s="134">
        <f>E113</f>
        <v>70.35964912280703</v>
      </c>
      <c r="F111" s="134">
        <f>F113+F112</f>
        <v>0</v>
      </c>
      <c r="G111" s="134">
        <f>G113+G112</f>
        <v>0</v>
      </c>
      <c r="H111" s="143">
        <f>H113</f>
        <v>0</v>
      </c>
      <c r="I111" s="134">
        <f aca="true" t="shared" si="11" ref="I111:J115">C111+F111</f>
        <v>9403</v>
      </c>
      <c r="J111" s="134">
        <f t="shared" si="11"/>
        <v>6922.1</v>
      </c>
      <c r="K111" s="144">
        <f t="shared" si="9"/>
        <v>73.61586727640115</v>
      </c>
    </row>
    <row r="112" spans="1:11" ht="12.75" customHeight="1">
      <c r="A112" s="142" t="s">
        <v>114</v>
      </c>
      <c r="B112" s="138" t="s">
        <v>115</v>
      </c>
      <c r="C112" s="129">
        <v>3703</v>
      </c>
      <c r="D112" s="129">
        <v>2911.6</v>
      </c>
      <c r="E112" s="129">
        <f>D112/C112*100</f>
        <v>78.62813934647582</v>
      </c>
      <c r="F112" s="139">
        <v>0</v>
      </c>
      <c r="G112" s="139">
        <v>0</v>
      </c>
      <c r="H112" s="139">
        <v>0</v>
      </c>
      <c r="I112" s="140">
        <f t="shared" si="11"/>
        <v>3703</v>
      </c>
      <c r="J112" s="140">
        <f t="shared" si="11"/>
        <v>2911.6</v>
      </c>
      <c r="K112" s="141">
        <f>J112/I112*100</f>
        <v>78.62813934647582</v>
      </c>
    </row>
    <row r="113" spans="1:11" ht="12.75" customHeight="1">
      <c r="A113" s="142">
        <v>1202</v>
      </c>
      <c r="B113" s="138" t="s">
        <v>101</v>
      </c>
      <c r="C113" s="129">
        <v>5700</v>
      </c>
      <c r="D113" s="129">
        <v>4010.5</v>
      </c>
      <c r="E113" s="129">
        <f t="shared" si="10"/>
        <v>70.35964912280703</v>
      </c>
      <c r="F113" s="139">
        <v>0</v>
      </c>
      <c r="G113" s="139">
        <v>0</v>
      </c>
      <c r="H113" s="139">
        <v>0</v>
      </c>
      <c r="I113" s="140">
        <f t="shared" si="11"/>
        <v>5700</v>
      </c>
      <c r="J113" s="140">
        <f t="shared" si="11"/>
        <v>4010.5</v>
      </c>
      <c r="K113" s="141">
        <f t="shared" si="9"/>
        <v>70.35964912280703</v>
      </c>
    </row>
    <row r="114" spans="1:11" ht="15" customHeight="1">
      <c r="A114" s="152">
        <v>1300</v>
      </c>
      <c r="B114" s="133" t="s">
        <v>86</v>
      </c>
      <c r="C114" s="134">
        <f aca="true" t="shared" si="12" ref="C114:H114">C115</f>
        <v>370</v>
      </c>
      <c r="D114" s="134">
        <f t="shared" si="12"/>
        <v>93.7</v>
      </c>
      <c r="E114" s="134">
        <f t="shared" si="12"/>
        <v>25.324324324324326</v>
      </c>
      <c r="F114" s="134">
        <f t="shared" si="12"/>
        <v>0</v>
      </c>
      <c r="G114" s="134">
        <f t="shared" si="12"/>
        <v>0</v>
      </c>
      <c r="H114" s="143">
        <f t="shared" si="12"/>
        <v>0</v>
      </c>
      <c r="I114" s="134">
        <f t="shared" si="11"/>
        <v>370</v>
      </c>
      <c r="J114" s="134">
        <f t="shared" si="11"/>
        <v>93.7</v>
      </c>
      <c r="K114" s="144">
        <f t="shared" si="9"/>
        <v>25.324324324324326</v>
      </c>
    </row>
    <row r="115" spans="1:11" ht="12.75" customHeight="1">
      <c r="A115" s="142">
        <v>1301</v>
      </c>
      <c r="B115" s="138" t="s">
        <v>87</v>
      </c>
      <c r="C115" s="129">
        <v>370</v>
      </c>
      <c r="D115" s="129">
        <v>93.7</v>
      </c>
      <c r="E115" s="129">
        <f t="shared" si="10"/>
        <v>25.324324324324326</v>
      </c>
      <c r="F115" s="139"/>
      <c r="G115" s="139">
        <v>0</v>
      </c>
      <c r="H115" s="139">
        <v>0</v>
      </c>
      <c r="I115" s="140">
        <f t="shared" si="11"/>
        <v>370</v>
      </c>
      <c r="J115" s="140">
        <f t="shared" si="11"/>
        <v>93.7</v>
      </c>
      <c r="K115" s="141">
        <f t="shared" si="9"/>
        <v>25.324324324324326</v>
      </c>
    </row>
    <row r="116" spans="1:11" ht="15" customHeight="1">
      <c r="A116" s="152">
        <v>1400</v>
      </c>
      <c r="B116" s="133" t="s">
        <v>64</v>
      </c>
      <c r="C116" s="134">
        <f>SUM(C117:C119)</f>
        <v>306609.3</v>
      </c>
      <c r="D116" s="134">
        <f>SUM(D117:D119)</f>
        <v>206522.5</v>
      </c>
      <c r="E116" s="134">
        <f>D116/C116*100</f>
        <v>67.35689361020687</v>
      </c>
      <c r="F116" s="149">
        <f>F117+F118+F119</f>
        <v>31947</v>
      </c>
      <c r="G116" s="149">
        <f>SUM(G117:G119)</f>
        <v>15939.6</v>
      </c>
      <c r="H116" s="149">
        <f>G116/F116*100</f>
        <v>49.89388674992957</v>
      </c>
      <c r="I116" s="149">
        <v>0</v>
      </c>
      <c r="J116" s="149">
        <v>0</v>
      </c>
      <c r="K116" s="136">
        <v>0</v>
      </c>
    </row>
    <row r="117" spans="1:11" ht="12.75" customHeight="1">
      <c r="A117" s="142">
        <v>1401</v>
      </c>
      <c r="B117" s="138" t="s">
        <v>81</v>
      </c>
      <c r="C117" s="129">
        <v>118984.4</v>
      </c>
      <c r="D117" s="129">
        <v>83289.1</v>
      </c>
      <c r="E117" s="129">
        <f t="shared" si="10"/>
        <v>70.00001680892622</v>
      </c>
      <c r="F117" s="139">
        <v>0</v>
      </c>
      <c r="G117" s="139">
        <v>0</v>
      </c>
      <c r="H117" s="139">
        <v>0</v>
      </c>
      <c r="I117" s="140">
        <v>0</v>
      </c>
      <c r="J117" s="131">
        <v>0</v>
      </c>
      <c r="K117" s="141">
        <v>0</v>
      </c>
    </row>
    <row r="118" spans="1:11" ht="12.75" customHeight="1">
      <c r="A118" s="142">
        <v>1402</v>
      </c>
      <c r="B118" s="138" t="s">
        <v>82</v>
      </c>
      <c r="C118" s="129">
        <v>184924.9</v>
      </c>
      <c r="D118" s="129">
        <v>120533.4</v>
      </c>
      <c r="E118" s="129">
        <f t="shared" si="10"/>
        <v>65.17964860329788</v>
      </c>
      <c r="F118" s="139">
        <v>0</v>
      </c>
      <c r="G118" s="139">
        <v>0</v>
      </c>
      <c r="H118" s="139">
        <v>0</v>
      </c>
      <c r="I118" s="140">
        <v>0</v>
      </c>
      <c r="J118" s="131">
        <v>0</v>
      </c>
      <c r="K118" s="141">
        <v>0</v>
      </c>
    </row>
    <row r="119" spans="1:11" ht="12.75" customHeight="1">
      <c r="A119" s="142">
        <v>1403</v>
      </c>
      <c r="B119" s="138" t="s">
        <v>95</v>
      </c>
      <c r="C119" s="129">
        <v>2700</v>
      </c>
      <c r="D119" s="129">
        <v>2700</v>
      </c>
      <c r="E119" s="129">
        <f t="shared" si="10"/>
        <v>100</v>
      </c>
      <c r="F119" s="139">
        <v>31947</v>
      </c>
      <c r="G119" s="139">
        <v>15939.6</v>
      </c>
      <c r="H119" s="139">
        <f>G119/F119*100</f>
        <v>49.89388674992957</v>
      </c>
      <c r="I119" s="140">
        <v>0</v>
      </c>
      <c r="J119" s="131">
        <v>0</v>
      </c>
      <c r="K119" s="141">
        <v>0</v>
      </c>
    </row>
    <row r="120" spans="1:11" ht="12.75" customHeight="1" thickBot="1">
      <c r="A120" s="212" t="s">
        <v>65</v>
      </c>
      <c r="B120" s="213"/>
      <c r="C120" s="157">
        <f>C9+C18+C20+C25+C48+C75+C77+C84+C91+C94+C108+C111+C114+C116</f>
        <v>4352132.600000001</v>
      </c>
      <c r="D120" s="157">
        <f>D116+D114+D111+D108+D94+D91+D84+D77+D75+D48+D25+D20+D18+D9</f>
        <v>2408383.8</v>
      </c>
      <c r="E120" s="157">
        <f>D120/C120*100</f>
        <v>55.33801520661387</v>
      </c>
      <c r="F120" s="157">
        <f>F9+F18+F20+F25+F48+F75+F77+F84+F91+F94+F108+F111+F114+F116</f>
        <v>508594.6999999999</v>
      </c>
      <c r="G120" s="157">
        <f>G116+G114+G111+G94+G91+G84+G77+G48+G25+G21+G18+G9+G20+G108</f>
        <v>291934.7</v>
      </c>
      <c r="H120" s="158">
        <f>G120/F120*100</f>
        <v>57.40026390365453</v>
      </c>
      <c r="I120" s="157">
        <f>I116+I114+I111+I108+I94+I91+I84+I77+I75+I48+I25+I20+I18+I9</f>
        <v>4479735.800000001</v>
      </c>
      <c r="J120" s="157">
        <f>J116+J114+J111+J108+J94+J91+J84+J77+J75+J48+J25+J20+J18+J9</f>
        <v>2450901.8</v>
      </c>
      <c r="K120" s="159">
        <f t="shared" si="9"/>
        <v>54.71085593931676</v>
      </c>
    </row>
    <row r="121" spans="1:11" ht="12.75" customHeight="1">
      <c r="A121" s="9"/>
      <c r="B121" s="5"/>
      <c r="C121" s="53"/>
      <c r="D121" s="31"/>
      <c r="E121" s="41"/>
      <c r="F121" s="21"/>
      <c r="G121" s="33"/>
      <c r="H121" s="33"/>
      <c r="I121" s="45"/>
      <c r="J121" s="45"/>
      <c r="K121" s="45"/>
    </row>
    <row r="122" spans="1:11" ht="12.75" customHeight="1">
      <c r="A122" s="10"/>
      <c r="B122" s="6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75" customHeight="1">
      <c r="A123" s="10"/>
      <c r="B123" s="6"/>
      <c r="C123" s="54"/>
      <c r="D123" s="32"/>
      <c r="E123" s="41"/>
      <c r="F123" s="21"/>
      <c r="G123" s="33"/>
      <c r="H123" s="33"/>
      <c r="I123" s="44"/>
      <c r="J123" s="44"/>
      <c r="K123" s="45"/>
    </row>
    <row r="124" spans="1:11" ht="12.75" customHeight="1">
      <c r="A124" s="210" t="s">
        <v>124</v>
      </c>
      <c r="B124" s="210"/>
      <c r="C124" s="210"/>
      <c r="D124" s="78"/>
      <c r="E124" s="79"/>
      <c r="F124" s="79"/>
      <c r="G124" s="33"/>
      <c r="H124" s="33"/>
      <c r="I124" s="45"/>
      <c r="J124" s="45"/>
      <c r="K124" s="45"/>
    </row>
    <row r="125" spans="1:11" ht="12.75" customHeight="1">
      <c r="A125" s="210" t="s">
        <v>125</v>
      </c>
      <c r="B125" s="210"/>
      <c r="C125" s="210"/>
      <c r="D125" s="80"/>
      <c r="E125" s="214" t="s">
        <v>66</v>
      </c>
      <c r="F125" s="214"/>
      <c r="G125" s="33"/>
      <c r="H125" s="33"/>
      <c r="I125" s="44"/>
      <c r="J125" s="45"/>
      <c r="K125" s="45"/>
    </row>
    <row r="126" spans="1:11" ht="12.75" customHeight="1">
      <c r="A126" s="81"/>
      <c r="B126" s="82"/>
      <c r="C126" s="83"/>
      <c r="D126" s="84"/>
      <c r="E126" s="85"/>
      <c r="F126" s="86"/>
      <c r="G126" s="33"/>
      <c r="H126" s="33"/>
      <c r="I126" s="44"/>
      <c r="J126" s="45"/>
      <c r="K126" s="45"/>
    </row>
    <row r="127" spans="1:11" ht="12.75">
      <c r="A127" s="210" t="s">
        <v>309</v>
      </c>
      <c r="B127" s="210"/>
      <c r="C127" s="210"/>
      <c r="D127" s="87"/>
      <c r="E127" s="214" t="s">
        <v>123</v>
      </c>
      <c r="F127" s="214"/>
      <c r="G127" s="33"/>
      <c r="H127" s="33"/>
      <c r="I127" s="44"/>
      <c r="J127" s="45"/>
      <c r="K127" s="45"/>
    </row>
    <row r="128" spans="1:11" ht="12.75">
      <c r="A128" s="81"/>
      <c r="B128" s="88"/>
      <c r="C128" s="89"/>
      <c r="D128" s="90"/>
      <c r="E128" s="85"/>
      <c r="F128" s="86"/>
      <c r="G128" s="33"/>
      <c r="H128" s="33"/>
      <c r="I128" s="44"/>
      <c r="J128" s="45"/>
      <c r="K128" s="45"/>
    </row>
    <row r="129" spans="1:11" ht="12.75">
      <c r="A129" s="210" t="s">
        <v>154</v>
      </c>
      <c r="B129" s="210"/>
      <c r="C129" s="210"/>
      <c r="D129" s="87"/>
      <c r="E129" s="211" t="s">
        <v>310</v>
      </c>
      <c r="F129" s="211"/>
      <c r="G129" s="33"/>
      <c r="H129" s="33"/>
      <c r="I129" s="44"/>
      <c r="J129" s="45"/>
      <c r="K129" s="45"/>
    </row>
    <row r="130" spans="1:11" ht="12.75">
      <c r="A130" s="91"/>
      <c r="B130" s="92"/>
      <c r="C130" s="93"/>
      <c r="D130" s="78"/>
      <c r="E130" s="78"/>
      <c r="F130" s="79"/>
      <c r="G130" s="33"/>
      <c r="H130" s="33"/>
      <c r="I130" s="45"/>
      <c r="J130" s="45"/>
      <c r="K130" s="45"/>
    </row>
    <row r="131" spans="1:6" ht="12.75">
      <c r="A131" s="94"/>
      <c r="B131" s="94"/>
      <c r="C131" s="95" t="s">
        <v>156</v>
      </c>
      <c r="D131" s="94" t="s">
        <v>157</v>
      </c>
      <c r="E131" s="96" t="s">
        <v>158</v>
      </c>
      <c r="F131" s="94"/>
    </row>
  </sheetData>
  <sheetProtection/>
  <mergeCells count="35">
    <mergeCell ref="A127:C127"/>
    <mergeCell ref="E127:F127"/>
    <mergeCell ref="A129:C129"/>
    <mergeCell ref="E129:F129"/>
    <mergeCell ref="J4:J5"/>
    <mergeCell ref="K20:K21"/>
    <mergeCell ref="A20:A21"/>
    <mergeCell ref="B20:B21"/>
    <mergeCell ref="C20:C21"/>
    <mergeCell ref="D20:D21"/>
    <mergeCell ref="G20:G21"/>
    <mergeCell ref="H20:H21"/>
    <mergeCell ref="J20:J21"/>
    <mergeCell ref="A1:K1"/>
    <mergeCell ref="A3:A8"/>
    <mergeCell ref="B3:B5"/>
    <mergeCell ref="C3:E3"/>
    <mergeCell ref="F3:H3"/>
    <mergeCell ref="K4:K5"/>
    <mergeCell ref="B6:K8"/>
    <mergeCell ref="I3:K3"/>
    <mergeCell ref="G4:G5"/>
    <mergeCell ref="E4:E5"/>
    <mergeCell ref="F4:F5"/>
    <mergeCell ref="I20:I21"/>
    <mergeCell ref="H4:H5"/>
    <mergeCell ref="I4:I5"/>
    <mergeCell ref="C4:C5"/>
    <mergeCell ref="D4:D5"/>
    <mergeCell ref="E20:E21"/>
    <mergeCell ref="F20:F21"/>
    <mergeCell ref="A124:C124"/>
    <mergeCell ref="A120:B120"/>
    <mergeCell ref="A125:C125"/>
    <mergeCell ref="E125:F125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*</cp:lastModifiedBy>
  <cp:lastPrinted>2013-10-17T10:58:38Z</cp:lastPrinted>
  <dcterms:created xsi:type="dcterms:W3CDTF">2010-03-15T11:07:02Z</dcterms:created>
  <dcterms:modified xsi:type="dcterms:W3CDTF">2014-09-24T10:49:11Z</dcterms:modified>
  <cp:category/>
  <cp:version/>
  <cp:contentType/>
  <cp:contentStatus/>
</cp:coreProperties>
</file>