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0"/>
  </bookViews>
  <sheets>
    <sheet name="доходы" sheetId="1" r:id="rId1"/>
    <sheet name="расходы" sheetId="2" r:id="rId2"/>
  </sheets>
  <definedNames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<sst xmlns="http://schemas.openxmlformats.org/spreadsheetml/2006/main" count="623" uniqueCount="243">
  <si>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</si>
  <si>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</si>
  <si>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</si>
  <si>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</si>
  <si>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</si>
  <si>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</si>
  <si>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</si>
  <si>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</si>
  <si>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</si>
  <si>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</si>
  <si>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</si>
  <si>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</si>
  <si>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</si>
  <si>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</si>
  <si>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</si>
  <si>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</si>
  <si>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</si>
  <si>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</si>
  <si>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</si>
  <si>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</si>
  <si>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</si>
  <si>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</si>
  <si>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 xml:space="preserve">Налоги на прибыль, доходы </t>
  </si>
  <si>
    <t>00010100000000000000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</si>
  <si>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</si>
  <si>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</si>
  <si>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</si>
  <si>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</si>
  <si>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</si>
  <si>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</si>
  <si>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</si>
  <si>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</si>
  <si>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</si>
  <si>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</si>
  <si>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</si>
  <si>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</si>
  <si>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</si>
  <si>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</si>
  <si>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</si>
  <si>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</si>
  <si>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</si>
  <si>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</si>
  <si>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</si>
  <si>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</si>
  <si>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</si>
  <si>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</si>
  <si>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</si>
  <si>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112</t>
  </si>
  <si>
    <t>111</t>
  </si>
  <si>
    <t>108</t>
  </si>
  <si>
    <t>116</t>
  </si>
  <si>
    <t>202</t>
  </si>
  <si>
    <t>207</t>
  </si>
  <si>
    <t>114</t>
  </si>
  <si>
    <t>101</t>
  </si>
  <si>
    <t>105</t>
  </si>
  <si>
    <t>106</t>
  </si>
  <si>
    <t xml:space="preserve"> -</t>
  </si>
  <si>
    <t>113</t>
  </si>
  <si>
    <t>контроль</t>
  </si>
  <si>
    <t>00011500000000000000</t>
  </si>
  <si>
    <t>Административные платежи и сборы</t>
  </si>
  <si>
    <t>=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</si>
  <si>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</si>
  <si>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</si>
  <si>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00021800000000000151</t>
  </si>
  <si>
    <t>00021900000000000000</t>
  </si>
  <si>
    <t>00020200000000000000</t>
  </si>
  <si>
    <t>НАЛОГОВЫЕ И НЕНАЛОГОВЫЕ ДОХОДЫ</t>
  </si>
  <si>
    <t>(тыс.руб.)</t>
  </si>
  <si>
    <t>00010300000000000000</t>
  </si>
  <si>
    <t>Акцизы</t>
  </si>
  <si>
    <t>1 квартал</t>
  </si>
  <si>
    <t>2 квартал</t>
  </si>
  <si>
    <t>3 квартал</t>
  </si>
  <si>
    <t>4 квартал</t>
  </si>
  <si>
    <t>Исполнение на 01.02.2015</t>
  </si>
  <si>
    <t>Исполнение на 01.02.2016</t>
  </si>
  <si>
    <t>Исполнение на 01.02.2017</t>
  </si>
  <si>
    <t>Исполнение на 01.02.2018</t>
  </si>
  <si>
    <t>Исполнение на 01.02.2019</t>
  </si>
  <si>
    <t>План                 на 1 квартал 2018 года</t>
  </si>
  <si>
    <t xml:space="preserve">% исп-ия к плану на 1 квартал 2018 года </t>
  </si>
  <si>
    <t xml:space="preserve">% исп-ия к плану на 2018 год </t>
  </si>
  <si>
    <t>План на 2018 год</t>
  </si>
  <si>
    <t>Отчет об исполнении консолидированного бюджета Октябрьского района по состоянию на 01.03.2018</t>
  </si>
  <si>
    <t>Исполнение на 01.03.2018</t>
  </si>
  <si>
    <t>Отчет  об  исполнении  консолидированного  бюджета  района  по  расходам на 1 марта 2018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</si>
  <si>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</si>
  <si>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</si>
  <si>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</si>
  <si>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</si>
  <si>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</si>
  <si>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</si>
  <si>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01.03.2018</t>
  </si>
  <si>
    <t>% исполнения</t>
  </si>
  <si>
    <t>исполнения на 01.03.2018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</si>
  <si>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</si>
  <si>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</si>
  <si>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</si>
  <si>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</si>
  <si>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</si>
  <si>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</si>
  <si>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</si>
  <si>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</si>
  <si>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</si>
  <si>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</si>
  <si>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</si>
  <si>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</si>
  <si>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</si>
  <si>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</si>
  <si>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</si>
  <si>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</si>
  <si>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</si>
  <si>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</si>
  <si>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</si>
  <si>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</si>
  <si>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</si>
  <si>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</si>
  <si>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</si>
  <si>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</si>
  <si>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</si>
  <si>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</si>
  <si>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</si>
  <si>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</si>
  <si>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</si>
  <si>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</si>
  <si>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</si>
  <si>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</si>
  <si>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</si>
  <si>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</si>
  <si>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</si>
  <si>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</si>
  <si>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</si>
  <si>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</si>
  <si>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</si>
  <si>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(1140161100 - район, 4030061100 -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</si>
  <si>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</si>
  <si>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</si>
  <si>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 на 2014-2016  годы" (11101S2390)</t>
  </si>
  <si>
    <t>Муниципальная  программа" Развитие транспортной  системы муниципального  образования Октябрьский  район на 2014-2016  годы"  (1110182390) окружные средства</t>
  </si>
  <si>
    <t>Строительство и реконструкция, капитальный ремонт, ремонт  объектов муниципальной собственности  муниципальной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(1500299990)</t>
  </si>
  <si>
    <t>Содержание автомобильных дорог общего пользования (1110199990) т.с.01.03.01 (дорожный фонд)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</si>
  <si>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</si>
  <si>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</si>
  <si>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</si>
  <si>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</si>
  <si>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Реализация мероприятий муниципальной  программы "Управление  муниципальной  собственностью Октябрьского района на 2014 – 2020 годы" земля (1800299990)</t>
  </si>
  <si>
    <t>Градостроительная деятельность (0910299990)</t>
  </si>
  <si>
    <t>Реализация мероприятий муниципальной программы "Поддержка малого и среднего предпринимательства в Октябрьском районе на 2014-2020 годы" (0800299990, 0800199990) местный бюджет</t>
  </si>
  <si>
    <t>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"Развитие  информационного  общества  Октябрьского  района" муниципальной  программы "Развитие  информационного  и гражданского  общества  Октябрьского  района на 2014-2016 годы " (1700182370, 17001S2370)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</si>
  <si>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 на 2014-2020 годы" (0800282380, 0800182380) окружной бюджет</t>
  </si>
  <si>
    <t>Осуществление полномочий по государственному управлению охраной труда (1910184120) тс. 01.30.39</t>
  </si>
  <si>
    <t>Осуществление полномочий по государственному управлению охраной труда (1910199990) местный бюджет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</si>
  <si>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</si>
  <si>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</si>
  <si>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</si>
  <si>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</si>
  <si>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(0910182172, 09101S2172) 01.40.36 и 01.02.00</t>
  </si>
  <si>
    <t xml:space="preserve"> "Управление и распоряжение  муниципальным  имуществом муниципального  образования Октябрьский  район" (1800199990)</t>
  </si>
  <si>
    <t>Капитальный ремонт жилого фонда (40600S2420,  40600S2430, 4060099990) средства поселений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</si>
  <si>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</si>
  <si>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(водоснабжение, водоотведение, услуги бани) (1020161100)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</si>
  <si>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(теплоснабжение) (1020161100)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</si>
  <si>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</si>
  <si>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(электроснабжение) (1020182240) окружной бюджет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</si>
  <si>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 в рамках  подпрограммы "Обеспечение  равных  прав потребителей на получение  энергетических  ресурсов"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годы" (1020184230)</t>
  </si>
  <si>
    <t>Иные  межбюджетные трансферты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 муниципальной  программы ""Развитие  жилищно-коммунального   комплекса и повышение  энергетической  эффективности в  муниципальном  образовании Октябрьский  район на 2014-2020 годы" (1010182590) ОЗП доля поселения 10101S2590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</si>
  <si>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(4060061100, 40600221400, 4060021410)</t>
  </si>
  <si>
    <t>Подготовка к зиме (4060099990)</t>
  </si>
  <si>
    <t>0503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</si>
  <si>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(150019990)</t>
  </si>
  <si>
    <t>Иные межбюджетные трансферты на финансирование наказов избирателей депутатам Думы ХМАО-Югры  (4120085160)</t>
  </si>
  <si>
    <t xml:space="preserve">"Улучшение экологической ситуации на территории Октябрьского района" 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</si>
  <si>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</si>
  <si>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(10601R555F)</t>
  </si>
  <si>
    <t>Внешнее благоустройство (4060099990)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</si>
  <si>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</si>
  <si>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</si>
  <si>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</si>
  <si>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</si>
  <si>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</si>
  <si>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</si>
  <si>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</si>
  <si>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</si>
  <si>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</si>
  <si>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</si>
  <si>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(0140482030, 01404S2030) 01.40.18 и местн.</t>
  </si>
  <si>
    <t>0702</t>
  </si>
  <si>
    <t>Общее образование</t>
  </si>
  <si>
    <t>Бесплатное питание (0140284030, 0140282460)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</si>
  <si>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(0140482030) 01.40.18 и местн.</t>
  </si>
  <si>
    <t>0703</t>
  </si>
  <si>
    <t>Дополнительное образование детей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</si>
  <si>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</si>
  <si>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</si>
  <si>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</si>
  <si>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</si>
  <si>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</si>
  <si>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</si>
  <si>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</si>
  <si>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</si>
  <si>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Подпрограмма "Библиотечное дело" (0310182520, 03101S2520)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</si>
  <si>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</si>
  <si>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</si>
  <si>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</si>
  <si>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</si>
  <si>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</si>
  <si>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</si>
  <si>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0909</t>
  </si>
  <si>
    <t>Бюджетные инвестиции в объекты капитального строительства государственной собственности субъектов РФ (1800582010)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</si>
  <si>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</si>
  <si>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</si>
  <si>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</t>
  </si>
  <si>
    <t>1003</t>
  </si>
  <si>
    <t>Субсидии на софинансирование мероприятий подпрограммы "Обеспечение жильем молодых семей" федеральной целевой программы "Жилище" на 2011-2015 годы в рамках подпрограммы "Обеспечение мерами государственной поддержки по улучшению жилищных условий отдельных категорий граждан на 2014-2020 годы" государственной программы "Обеспечение доступным и комфортным жильем жителей ХМАО-Югры в 2014-2020 годах" за счет средств бюджета автономного округа (09201R4970 о/б, 0920154970 ф/б, 09201S4970 доля)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</si>
  <si>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</si>
  <si>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</si>
  <si>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</si>
  <si>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 на 2014-2020 годы" за счет средств автономного округа (13101R0820)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</si>
  <si>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</si>
  <si>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</si>
  <si>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</si>
  <si>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</si>
  <si>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</si>
  <si>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1201</t>
  </si>
  <si>
    <t>Телевидение и радиовещание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</si>
  <si>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</si>
  <si>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</si>
  <si>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</si>
  <si>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</si>
  <si>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</si>
  <si>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</si>
  <si>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</si>
  <si>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</si>
  <si>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</si>
  <si>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</si>
  <si>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</si>
  <si>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Заворотынская Н.А.</t>
  </si>
  <si>
    <t>Заведующий бюджетным отделом</t>
  </si>
  <si>
    <t>Агеева Н.В.</t>
  </si>
  <si>
    <t>Заведующий отделом  доходов</t>
  </si>
  <si>
    <t>Мартюшова О.Г.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</si>
</sst>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_-* #,##0.0_р_._-;\-* #,##0.0_р_._-;_-* &quot;-&quot;?_р_._-;_-@_-"/>
  </numFmts>
  <fonts count="59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1"/>
      <color indexed="36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6" fontId="7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176" fontId="7" fillId="0" borderId="0" xfId="0" applyNumberFormat="1" applyFont="1" applyFill="1" applyAlignment="1">
      <alignment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176" fontId="5" fillId="0" borderId="16" xfId="0" applyNumberFormat="1" applyFont="1" applyFill="1" applyBorder="1" applyAlignment="1">
      <alignment horizontal="right" vertical="top"/>
    </xf>
    <xf numFmtId="176" fontId="5" fillId="0" borderId="16" xfId="0" applyNumberFormat="1" applyFont="1" applyFill="1" applyBorder="1" applyAlignment="1">
      <alignment vertical="top"/>
    </xf>
    <xf numFmtId="49" fontId="2" fillId="0" borderId="15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 shrinkToFit="1"/>
    </xf>
    <xf numFmtId="176" fontId="5" fillId="0" borderId="14" xfId="0" applyNumberFormat="1" applyFont="1" applyFill="1" applyBorder="1" applyAlignment="1">
      <alignment horizontal="right" vertical="top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176" fontId="4" fillId="0" borderId="16" xfId="0" applyNumberFormat="1" applyFont="1" applyFill="1" applyBorder="1" applyAlignment="1">
      <alignment vertical="top"/>
    </xf>
    <xf numFmtId="49" fontId="1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/>
    </xf>
    <xf numFmtId="176" fontId="4" fillId="0" borderId="14" xfId="0" applyNumberFormat="1" applyFont="1" applyFill="1" applyBorder="1" applyAlignment="1">
      <alignment horizontal="right" vertical="top"/>
    </xf>
    <xf numFmtId="0" fontId="2" fillId="0" borderId="16" xfId="0" applyFont="1" applyFill="1" applyBorder="1" applyAlignment="1">
      <alignment vertical="top" wrapText="1"/>
    </xf>
    <xf numFmtId="49" fontId="5" fillId="0" borderId="16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/>
    </xf>
    <xf numFmtId="176" fontId="1" fillId="0" borderId="16" xfId="0" applyNumberFormat="1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vertical="top"/>
    </xf>
    <xf numFmtId="49" fontId="1" fillId="0" borderId="16" xfId="0" applyNumberFormat="1" applyFont="1" applyFill="1" applyBorder="1" applyAlignment="1">
      <alignment horizontal="center" vertical="top" wrapText="1"/>
    </xf>
    <xf numFmtId="176" fontId="4" fillId="0" borderId="16" xfId="0" applyNumberFormat="1" applyFont="1" applyFill="1" applyBorder="1" applyAlignment="1">
      <alignment horizontal="right" vertical="top"/>
    </xf>
    <xf numFmtId="0" fontId="2" fillId="0" borderId="14" xfId="0" applyFont="1" applyFill="1" applyBorder="1" applyAlignment="1">
      <alignment vertical="top" wrapText="1"/>
    </xf>
    <xf numFmtId="176" fontId="5" fillId="0" borderId="14" xfId="0" applyNumberFormat="1" applyFont="1" applyFill="1" applyBorder="1" applyAlignment="1">
      <alignment vertical="top"/>
    </xf>
    <xf numFmtId="176" fontId="2" fillId="0" borderId="16" xfId="0" applyNumberFormat="1" applyFont="1" applyFill="1" applyBorder="1" applyAlignment="1">
      <alignment horizontal="right" vertical="top" wrapText="1"/>
    </xf>
    <xf numFmtId="176" fontId="4" fillId="0" borderId="12" xfId="0" applyNumberFormat="1" applyFont="1" applyFill="1" applyBorder="1" applyAlignment="1">
      <alignment vertical="top"/>
    </xf>
    <xf numFmtId="176" fontId="4" fillId="0" borderId="0" xfId="0" applyNumberFormat="1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15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177" fontId="5" fillId="0" borderId="16" xfId="0" applyNumberFormat="1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left" vertical="top"/>
    </xf>
    <xf numFmtId="49" fontId="5" fillId="0" borderId="11" xfId="0" applyNumberFormat="1" applyFont="1" applyFill="1" applyBorder="1" applyAlignment="1">
      <alignment horizontal="left" vertical="top"/>
    </xf>
    <xf numFmtId="176" fontId="2" fillId="0" borderId="16" xfId="0" applyNumberFormat="1" applyFont="1" applyFill="1" applyBorder="1" applyAlignment="1">
      <alignment horizontal="righ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176" fontId="5" fillId="0" borderId="11" xfId="0" applyNumberFormat="1" applyFont="1" applyFill="1" applyBorder="1" applyAlignment="1">
      <alignment horizontal="right" vertical="top"/>
    </xf>
    <xf numFmtId="0" fontId="4" fillId="0" borderId="16" xfId="0" applyFont="1" applyFill="1" applyBorder="1" applyAlignment="1">
      <alignment horizontal="left" vertical="top"/>
    </xf>
    <xf numFmtId="0" fontId="5" fillId="0" borderId="0" xfId="0" applyFont="1" applyFill="1" applyAlignment="1">
      <alignment vertical="top"/>
    </xf>
    <xf numFmtId="176" fontId="5" fillId="0" borderId="0" xfId="0" applyNumberFormat="1" applyFont="1" applyFill="1" applyAlignment="1">
      <alignment vertical="top"/>
    </xf>
    <xf numFmtId="0" fontId="5" fillId="0" borderId="16" xfId="0" applyFont="1" applyFill="1" applyBorder="1" applyAlignment="1">
      <alignment vertical="top"/>
    </xf>
    <xf numFmtId="0" fontId="0" fillId="33" borderId="0" xfId="0" applyFill="1" applyAlignment="1">
      <alignment horizontal="right"/>
    </xf>
    <xf numFmtId="176" fontId="2" fillId="0" borderId="16" xfId="0" applyNumberFormat="1" applyFont="1" applyFill="1" applyBorder="1" applyAlignment="1">
      <alignment vertical="top" wrapText="1"/>
    </xf>
    <xf numFmtId="176" fontId="2" fillId="0" borderId="16" xfId="0" applyNumberFormat="1" applyFont="1" applyFill="1" applyBorder="1" applyAlignment="1">
      <alignment vertical="top"/>
    </xf>
    <xf numFmtId="176" fontId="2" fillId="0" borderId="16" xfId="0" applyNumberFormat="1" applyFont="1" applyFill="1" applyBorder="1" applyAlignment="1">
      <alignment vertical="top" wrapText="1" shrinkToFit="1"/>
    </xf>
    <xf numFmtId="176" fontId="2" fillId="0" borderId="14" xfId="0" applyNumberFormat="1" applyFont="1" applyFill="1" applyBorder="1" applyAlignment="1">
      <alignment vertical="top" wrapText="1"/>
    </xf>
    <xf numFmtId="176" fontId="2" fillId="0" borderId="16" xfId="0" applyNumberFormat="1" applyFont="1" applyFill="1" applyBorder="1" applyAlignment="1">
      <alignment horizontal="right" vertical="top" wrapText="1" shrinkToFit="1"/>
    </xf>
    <xf numFmtId="176" fontId="2" fillId="0" borderId="14" xfId="0" applyNumberFormat="1" applyFont="1" applyFill="1" applyBorder="1" applyAlignment="1">
      <alignment horizontal="right" vertical="top" wrapText="1"/>
    </xf>
    <xf numFmtId="176" fontId="1" fillId="0" borderId="17" xfId="0" applyNumberFormat="1" applyFont="1" applyFill="1" applyBorder="1" applyAlignment="1">
      <alignment horizontal="right" vertical="top" wrapText="1"/>
    </xf>
    <xf numFmtId="176" fontId="2" fillId="0" borderId="16" xfId="0" applyNumberFormat="1" applyFont="1" applyFill="1" applyBorder="1" applyAlignment="1">
      <alignment horizontal="right" vertical="top"/>
    </xf>
    <xf numFmtId="176" fontId="2" fillId="0" borderId="15" xfId="0" applyNumberFormat="1" applyFont="1" applyFill="1" applyBorder="1" applyAlignment="1">
      <alignment horizontal="right" vertical="top" wrapText="1"/>
    </xf>
    <xf numFmtId="176" fontId="1" fillId="0" borderId="16" xfId="0" applyNumberFormat="1" applyFont="1" applyFill="1" applyBorder="1" applyAlignment="1">
      <alignment vertical="top" wrapText="1"/>
    </xf>
    <xf numFmtId="176" fontId="0" fillId="0" borderId="0" xfId="0" applyNumberFormat="1" applyFill="1" applyAlignment="1">
      <alignment vertical="top" wrapText="1"/>
    </xf>
    <xf numFmtId="49" fontId="2" fillId="0" borderId="16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176" fontId="4" fillId="0" borderId="20" xfId="0" applyNumberFormat="1" applyFont="1" applyFill="1" applyBorder="1" applyAlignment="1">
      <alignment horizontal="center" vertical="top"/>
    </xf>
    <xf numFmtId="176" fontId="4" fillId="0" borderId="21" xfId="0" applyNumberFormat="1" applyFont="1" applyFill="1" applyBorder="1" applyAlignment="1">
      <alignment horizontal="center" vertical="top"/>
    </xf>
    <xf numFmtId="170" fontId="2" fillId="0" borderId="10" xfId="42" applyFont="1" applyFill="1" applyBorder="1" applyAlignment="1">
      <alignment horizontal="center" vertical="top" wrapText="1"/>
    </xf>
    <xf numFmtId="170" fontId="2" fillId="0" borderId="20" xfId="42" applyFont="1" applyFill="1" applyBorder="1" applyAlignment="1">
      <alignment horizontal="center" vertical="top" wrapText="1"/>
    </xf>
    <xf numFmtId="170" fontId="2" fillId="0" borderId="21" xfId="42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25" fillId="0" borderId="0" xfId="53" applyNumberFormat="1" applyFont="1" applyAlignment="1">
      <alignment horizontal="center" vertical="center" wrapText="1"/>
      <protection/>
    </xf>
    <xf numFmtId="49" fontId="26" fillId="0" borderId="0" xfId="53" applyNumberFormat="1" applyFont="1" applyAlignment="1">
      <alignment horizontal="center" vertical="center" wrapText="1"/>
      <protection/>
    </xf>
    <xf numFmtId="0" fontId="26" fillId="0" borderId="0" xfId="53" applyNumberFormat="1" applyFont="1" applyAlignment="1">
      <alignment horizontal="left" vertical="center" wrapText="1"/>
      <protection/>
    </xf>
    <xf numFmtId="179" fontId="57" fillId="0" borderId="0" xfId="53" applyNumberFormat="1" applyFont="1" applyFill="1" applyAlignment="1">
      <alignment horizontal="center" vertical="center" wrapText="1"/>
      <protection/>
    </xf>
    <xf numFmtId="179" fontId="28" fillId="0" borderId="0" xfId="53" applyNumberFormat="1" applyFont="1" applyFill="1" applyBorder="1" applyAlignment="1">
      <alignment horizontal="center" vertical="center" wrapText="1"/>
      <protection/>
    </xf>
    <xf numFmtId="179" fontId="28" fillId="0" borderId="0" xfId="53" applyNumberFormat="1" applyFont="1" applyFill="1" applyAlignment="1">
      <alignment horizontal="center" vertical="center" wrapText="1"/>
      <protection/>
    </xf>
    <xf numFmtId="179" fontId="28" fillId="0" borderId="0" xfId="0" applyNumberFormat="1" applyFont="1" applyFill="1" applyAlignment="1">
      <alignment horizontal="center" vertical="center" wrapText="1"/>
    </xf>
    <xf numFmtId="179" fontId="28" fillId="0" borderId="0" xfId="0" applyNumberFormat="1" applyFont="1" applyAlignment="1">
      <alignment horizontal="center" vertical="center" wrapText="1"/>
    </xf>
    <xf numFmtId="179" fontId="29" fillId="0" borderId="0" xfId="0" applyNumberFormat="1" applyFont="1" applyFill="1" applyAlignment="1">
      <alignment horizontal="center" vertical="center" wrapText="1"/>
    </xf>
    <xf numFmtId="179" fontId="29" fillId="0" borderId="0" xfId="0" applyNumberFormat="1" applyFont="1" applyAlignment="1">
      <alignment horizontal="center" vertical="center" wrapText="1"/>
    </xf>
    <xf numFmtId="49" fontId="30" fillId="0" borderId="22" xfId="53" applyNumberFormat="1" applyFont="1" applyBorder="1" applyAlignment="1">
      <alignment horizontal="center" vertical="center" wrapText="1"/>
      <protection/>
    </xf>
    <xf numFmtId="0" fontId="30" fillId="0" borderId="23" xfId="53" applyNumberFormat="1" applyFont="1" applyBorder="1" applyAlignment="1">
      <alignment horizontal="center" vertical="center" wrapText="1"/>
      <protection/>
    </xf>
    <xf numFmtId="179" fontId="31" fillId="0" borderId="23" xfId="53" applyNumberFormat="1" applyFont="1" applyFill="1" applyBorder="1" applyAlignment="1">
      <alignment horizontal="center" vertical="center" wrapText="1"/>
      <protection/>
    </xf>
    <xf numFmtId="179" fontId="31" fillId="0" borderId="23" xfId="0" applyNumberFormat="1" applyFont="1" applyBorder="1" applyAlignment="1">
      <alignment horizontal="center" vertical="center" wrapText="1"/>
    </xf>
    <xf numFmtId="179" fontId="32" fillId="0" borderId="23" xfId="0" applyNumberFormat="1" applyFont="1" applyFill="1" applyBorder="1" applyAlignment="1">
      <alignment horizontal="center" vertical="center" wrapText="1"/>
    </xf>
    <xf numFmtId="179" fontId="32" fillId="0" borderId="24" xfId="0" applyNumberFormat="1" applyFont="1" applyFill="1" applyBorder="1" applyAlignment="1">
      <alignment horizontal="center" vertical="center" wrapText="1"/>
    </xf>
    <xf numFmtId="49" fontId="30" fillId="0" borderId="25" xfId="53" applyNumberFormat="1" applyFont="1" applyBorder="1" applyAlignment="1">
      <alignment horizontal="center" vertical="center" wrapText="1"/>
      <protection/>
    </xf>
    <xf numFmtId="0" fontId="30" fillId="0" borderId="16" xfId="53" applyNumberFormat="1" applyFont="1" applyBorder="1" applyAlignment="1">
      <alignment horizontal="center" vertical="center" wrapText="1"/>
      <protection/>
    </xf>
    <xf numFmtId="179" fontId="31" fillId="0" borderId="16" xfId="53" applyNumberFormat="1" applyFont="1" applyFill="1" applyBorder="1" applyAlignment="1">
      <alignment horizontal="center" vertical="center" wrapText="1"/>
      <protection/>
    </xf>
    <xf numFmtId="179" fontId="31" fillId="0" borderId="16" xfId="53" applyNumberFormat="1" applyFont="1" applyBorder="1" applyAlignment="1">
      <alignment horizontal="center" vertical="center" wrapText="1"/>
      <protection/>
    </xf>
    <xf numFmtId="179" fontId="32" fillId="0" borderId="16" xfId="53" applyNumberFormat="1" applyFont="1" applyFill="1" applyBorder="1" applyAlignment="1">
      <alignment horizontal="center" vertical="center" wrapText="1"/>
      <protection/>
    </xf>
    <xf numFmtId="179" fontId="32" fillId="0" borderId="16" xfId="53" applyNumberFormat="1" applyFont="1" applyBorder="1" applyAlignment="1">
      <alignment horizontal="center" vertical="center" wrapText="1"/>
      <protection/>
    </xf>
    <xf numFmtId="179" fontId="32" fillId="0" borderId="26" xfId="53" applyNumberFormat="1" applyFont="1" applyBorder="1" applyAlignment="1">
      <alignment horizontal="center" vertical="center" wrapText="1"/>
      <protection/>
    </xf>
    <xf numFmtId="179" fontId="31" fillId="0" borderId="16" xfId="0" applyNumberFormat="1" applyFont="1" applyBorder="1" applyAlignment="1">
      <alignment horizontal="center" vertical="center" wrapText="1"/>
    </xf>
    <xf numFmtId="179" fontId="33" fillId="0" borderId="16" xfId="0" applyNumberFormat="1" applyFont="1" applyBorder="1" applyAlignment="1">
      <alignment horizontal="center" vertical="center"/>
    </xf>
    <xf numFmtId="179" fontId="32" fillId="0" borderId="16" xfId="0" applyNumberFormat="1" applyFont="1" applyBorder="1" applyAlignment="1">
      <alignment horizontal="center" vertical="center" wrapText="1"/>
    </xf>
    <xf numFmtId="179" fontId="32" fillId="0" borderId="26" xfId="0" applyNumberFormat="1" applyFont="1" applyBorder="1" applyAlignment="1">
      <alignment horizontal="center" vertical="center" wrapText="1"/>
    </xf>
    <xf numFmtId="0" fontId="34" fillId="0" borderId="16" xfId="53" applyNumberFormat="1" applyFont="1" applyFill="1" applyBorder="1" applyAlignment="1">
      <alignment horizontal="center" vertical="center" wrapText="1"/>
      <protection/>
    </xf>
    <xf numFmtId="0" fontId="34" fillId="0" borderId="26" xfId="53" applyNumberFormat="1" applyFont="1" applyFill="1" applyBorder="1" applyAlignment="1">
      <alignment horizontal="center" vertical="center" wrapText="1"/>
      <protection/>
    </xf>
    <xf numFmtId="49" fontId="34" fillId="34" borderId="25" xfId="53" applyNumberFormat="1" applyFont="1" applyFill="1" applyBorder="1" applyAlignment="1" quotePrefix="1">
      <alignment horizontal="center" vertical="center" wrapText="1"/>
      <protection/>
    </xf>
    <xf numFmtId="0" fontId="34" fillId="34" borderId="16" xfId="53" applyNumberFormat="1" applyFont="1" applyFill="1" applyBorder="1" applyAlignment="1">
      <alignment horizontal="left" vertical="center" wrapText="1"/>
      <protection/>
    </xf>
    <xf numFmtId="179" fontId="32" fillId="34" borderId="16" xfId="53" applyNumberFormat="1" applyFont="1" applyFill="1" applyBorder="1" applyAlignment="1">
      <alignment horizontal="center" vertical="center" wrapText="1"/>
      <protection/>
    </xf>
    <xf numFmtId="179" fontId="31" fillId="34" borderId="16" xfId="0" applyNumberFormat="1" applyFont="1" applyFill="1" applyBorder="1" applyAlignment="1">
      <alignment horizontal="center" vertical="center" wrapText="1"/>
    </xf>
    <xf numFmtId="179" fontId="32" fillId="34" borderId="26" xfId="0" applyNumberFormat="1" applyFont="1" applyFill="1" applyBorder="1" applyAlignment="1">
      <alignment horizontal="center" vertical="center" wrapText="1"/>
    </xf>
    <xf numFmtId="49" fontId="30" fillId="0" borderId="25" xfId="53" applyNumberFormat="1" applyFont="1" applyFill="1" applyBorder="1" applyAlignment="1" quotePrefix="1">
      <alignment horizontal="center" vertical="center" wrapText="1"/>
      <protection/>
    </xf>
    <xf numFmtId="0" fontId="30" fillId="0" borderId="16" xfId="53" applyNumberFormat="1" applyFont="1" applyFill="1" applyBorder="1" applyAlignment="1">
      <alignment horizontal="left" vertical="center" wrapText="1"/>
      <protection/>
    </xf>
    <xf numFmtId="179" fontId="31" fillId="0" borderId="16" xfId="53" applyNumberFormat="1" applyFont="1" applyFill="1" applyBorder="1" applyAlignment="1">
      <alignment horizontal="center" vertical="center" wrapText="1"/>
      <protection/>
    </xf>
    <xf numFmtId="179" fontId="31" fillId="0" borderId="16" xfId="0" applyNumberFormat="1" applyFont="1" applyFill="1" applyBorder="1" applyAlignment="1">
      <alignment horizontal="center" vertical="center" wrapText="1"/>
    </xf>
    <xf numFmtId="179" fontId="32" fillId="0" borderId="16" xfId="0" applyNumberFormat="1" applyFont="1" applyFill="1" applyBorder="1" applyAlignment="1">
      <alignment horizontal="center" vertical="center" wrapText="1"/>
    </xf>
    <xf numFmtId="179" fontId="32" fillId="0" borderId="16" xfId="0" applyNumberFormat="1" applyFont="1" applyBorder="1" applyAlignment="1">
      <alignment horizontal="center" vertical="center" wrapText="1"/>
    </xf>
    <xf numFmtId="179" fontId="32" fillId="0" borderId="26" xfId="0" applyNumberFormat="1" applyFont="1" applyFill="1" applyBorder="1" applyAlignment="1">
      <alignment horizontal="center" vertical="center" wrapText="1"/>
    </xf>
    <xf numFmtId="49" fontId="30" fillId="0" borderId="25" xfId="53" applyNumberFormat="1" applyFont="1" applyFill="1" applyBorder="1" applyAlignment="1">
      <alignment horizontal="center" vertical="center" wrapText="1"/>
      <protection/>
    </xf>
    <xf numFmtId="179" fontId="31" fillId="34" borderId="16" xfId="53" applyNumberFormat="1" applyFont="1" applyFill="1" applyBorder="1" applyAlignment="1">
      <alignment horizontal="center" vertical="center" wrapText="1"/>
      <protection/>
    </xf>
    <xf numFmtId="179" fontId="32" fillId="34" borderId="26" xfId="53" applyNumberFormat="1" applyFont="1" applyFill="1" applyBorder="1" applyAlignment="1">
      <alignment horizontal="center" vertical="center" wrapText="1"/>
      <protection/>
    </xf>
    <xf numFmtId="49" fontId="34" fillId="34" borderId="25" xfId="53" applyNumberFormat="1" applyFont="1" applyFill="1" applyBorder="1" applyAlignment="1" quotePrefix="1">
      <alignment horizontal="center" vertical="center" wrapText="1"/>
      <protection/>
    </xf>
    <xf numFmtId="0" fontId="34" fillId="34" borderId="16" xfId="53" applyNumberFormat="1" applyFont="1" applyFill="1" applyBorder="1" applyAlignment="1">
      <alignment horizontal="left" vertical="center" wrapText="1"/>
      <protection/>
    </xf>
    <xf numFmtId="179" fontId="32" fillId="35" borderId="16" xfId="53" applyNumberFormat="1" applyFont="1" applyFill="1" applyBorder="1" applyAlignment="1">
      <alignment horizontal="center" vertical="center" wrapText="1"/>
      <protection/>
    </xf>
    <xf numFmtId="0" fontId="30" fillId="36" borderId="16" xfId="53" applyNumberFormat="1" applyFont="1" applyFill="1" applyBorder="1" applyAlignment="1">
      <alignment horizontal="left" vertical="center" wrapText="1"/>
      <protection/>
    </xf>
    <xf numFmtId="179" fontId="32" fillId="33" borderId="16" xfId="0" applyNumberFormat="1" applyFont="1" applyFill="1" applyBorder="1" applyAlignment="1">
      <alignment horizontal="center" vertical="center" wrapText="1"/>
    </xf>
    <xf numFmtId="0" fontId="31" fillId="0" borderId="16" xfId="52" applyNumberFormat="1" applyFont="1" applyFill="1" applyBorder="1" applyAlignment="1" applyProtection="1">
      <alignment horizontal="left" vertical="center" wrapText="1"/>
      <protection hidden="1"/>
    </xf>
    <xf numFmtId="179" fontId="31" fillId="33" borderId="16" xfId="0" applyNumberFormat="1" applyFont="1" applyFill="1" applyBorder="1" applyAlignment="1">
      <alignment horizontal="center" vertical="center" wrapText="1"/>
    </xf>
    <xf numFmtId="179" fontId="31" fillId="33" borderId="16" xfId="53" applyNumberFormat="1" applyFont="1" applyFill="1" applyBorder="1" applyAlignment="1">
      <alignment horizontal="center" vertical="center" wrapText="1"/>
      <protection/>
    </xf>
    <xf numFmtId="179" fontId="32" fillId="35" borderId="16" xfId="53" applyNumberFormat="1" applyFont="1" applyFill="1" applyBorder="1" applyAlignment="1">
      <alignment horizontal="center" vertical="center" wrapText="1"/>
      <protection/>
    </xf>
    <xf numFmtId="179" fontId="32" fillId="34" borderId="16" xfId="0" applyNumberFormat="1" applyFont="1" applyFill="1" applyBorder="1" applyAlignment="1">
      <alignment horizontal="center" vertical="center" wrapText="1"/>
    </xf>
    <xf numFmtId="0" fontId="36" fillId="0" borderId="16" xfId="53" applyNumberFormat="1" applyFont="1" applyFill="1" applyBorder="1" applyAlignment="1">
      <alignment horizontal="left" vertical="center" wrapText="1"/>
      <protection/>
    </xf>
    <xf numFmtId="0" fontId="32" fillId="0" borderId="26" xfId="0" applyNumberFormat="1" applyFont="1" applyFill="1" applyBorder="1" applyAlignment="1">
      <alignment horizontal="center" vertical="center" wrapText="1"/>
    </xf>
    <xf numFmtId="177" fontId="32" fillId="0" borderId="26" xfId="0" applyNumberFormat="1" applyFont="1" applyFill="1" applyBorder="1" applyAlignment="1">
      <alignment horizontal="center" vertical="center" wrapText="1"/>
    </xf>
    <xf numFmtId="49" fontId="34" fillId="34" borderId="25" xfId="53" applyNumberFormat="1" applyFont="1" applyFill="1" applyBorder="1" applyAlignment="1">
      <alignment horizontal="center" vertical="center" wrapText="1"/>
      <protection/>
    </xf>
    <xf numFmtId="0" fontId="34" fillId="34" borderId="16" xfId="0" applyNumberFormat="1" applyFont="1" applyFill="1" applyBorder="1" applyAlignment="1">
      <alignment horizontal="left" vertical="center" wrapText="1"/>
    </xf>
    <xf numFmtId="0" fontId="30" fillId="0" borderId="16" xfId="0" applyNumberFormat="1" applyFont="1" applyFill="1" applyBorder="1" applyAlignment="1">
      <alignment horizontal="left" vertical="center" wrapText="1"/>
    </xf>
    <xf numFmtId="49" fontId="31" fillId="0" borderId="25" xfId="53" applyNumberFormat="1" applyFont="1" applyFill="1" applyBorder="1" applyAlignment="1">
      <alignment horizontal="center" vertical="center" wrapText="1"/>
      <protection/>
    </xf>
    <xf numFmtId="0" fontId="31" fillId="0" borderId="16" xfId="53" applyNumberFormat="1" applyFont="1" applyFill="1" applyBorder="1" applyAlignment="1">
      <alignment horizontal="left" vertical="center" wrapText="1"/>
      <protection/>
    </xf>
    <xf numFmtId="179" fontId="31" fillId="35" borderId="16" xfId="53" applyNumberFormat="1" applyFont="1" applyFill="1" applyBorder="1" applyAlignment="1">
      <alignment horizontal="center" vertical="center" wrapText="1"/>
      <protection/>
    </xf>
    <xf numFmtId="179" fontId="31" fillId="35" borderId="16" xfId="0" applyNumberFormat="1" applyFont="1" applyFill="1" applyBorder="1" applyAlignment="1">
      <alignment horizontal="center" vertical="center" wrapText="1"/>
    </xf>
    <xf numFmtId="0" fontId="37" fillId="6" borderId="27" xfId="53" applyNumberFormat="1" applyFont="1" applyFill="1" applyBorder="1" applyAlignment="1">
      <alignment horizontal="center" vertical="center" wrapText="1"/>
      <protection/>
    </xf>
    <xf numFmtId="0" fontId="37" fillId="6" borderId="28" xfId="53" applyNumberFormat="1" applyFont="1" applyFill="1" applyBorder="1" applyAlignment="1">
      <alignment horizontal="center" vertical="center" wrapText="1"/>
      <protection/>
    </xf>
    <xf numFmtId="179" fontId="32" fillId="35" borderId="28" xfId="53" applyNumberFormat="1" applyFont="1" applyFill="1" applyBorder="1" applyAlignment="1">
      <alignment horizontal="center" vertical="center" wrapText="1"/>
      <protection/>
    </xf>
    <xf numFmtId="179" fontId="32" fillId="35" borderId="28" xfId="0" applyNumberFormat="1" applyFont="1" applyFill="1" applyBorder="1" applyAlignment="1">
      <alignment horizontal="center" vertical="center" wrapText="1"/>
    </xf>
    <xf numFmtId="179" fontId="32" fillId="35" borderId="29" xfId="0" applyNumberFormat="1" applyFont="1" applyFill="1" applyBorder="1" applyAlignment="1">
      <alignment horizontal="center" vertical="center" wrapText="1"/>
    </xf>
    <xf numFmtId="49" fontId="26" fillId="0" borderId="0" xfId="53" applyNumberFormat="1" applyFont="1" applyFill="1" applyBorder="1" applyAlignment="1">
      <alignment horizontal="center" vertical="center" wrapText="1"/>
      <protection/>
    </xf>
    <xf numFmtId="0" fontId="26" fillId="0" borderId="0" xfId="53" applyNumberFormat="1" applyFont="1" applyFill="1" applyBorder="1" applyAlignment="1">
      <alignment horizontal="left" vertical="center" wrapText="1"/>
      <protection/>
    </xf>
    <xf numFmtId="179" fontId="57" fillId="0" borderId="0" xfId="53" applyNumberFormat="1" applyFont="1" applyFill="1" applyBorder="1" applyAlignment="1">
      <alignment horizontal="center" vertical="center" wrapText="1"/>
      <protection/>
    </xf>
    <xf numFmtId="179" fontId="29" fillId="0" borderId="0" xfId="53" applyNumberFormat="1" applyFont="1" applyFill="1" applyBorder="1" applyAlignment="1">
      <alignment horizontal="center" vertical="center" wrapText="1"/>
      <protection/>
    </xf>
    <xf numFmtId="49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left" vertical="center" wrapText="1"/>
    </xf>
    <xf numFmtId="179" fontId="57" fillId="0" borderId="0" xfId="0" applyNumberFormat="1" applyFont="1" applyFill="1" applyBorder="1" applyAlignment="1">
      <alignment horizontal="center" vertical="center" wrapText="1"/>
    </xf>
    <xf numFmtId="179" fontId="28" fillId="0" borderId="0" xfId="0" applyNumberFormat="1" applyFont="1" applyFill="1" applyBorder="1" applyAlignment="1">
      <alignment horizontal="center" vertical="center" wrapText="1"/>
    </xf>
    <xf numFmtId="0" fontId="36" fillId="0" borderId="0" xfId="53" applyNumberFormat="1" applyFont="1" applyFill="1" applyBorder="1" applyAlignment="1">
      <alignment horizontal="right" vertical="center" wrapText="1"/>
      <protection/>
    </xf>
    <xf numFmtId="179" fontId="38" fillId="0" borderId="0" xfId="0" applyNumberFormat="1" applyFont="1" applyFill="1" applyAlignment="1">
      <alignment horizontal="center" vertical="center" wrapText="1"/>
    </xf>
    <xf numFmtId="179" fontId="38" fillId="0" borderId="0" xfId="0" applyNumberFormat="1" applyFont="1" applyAlignment="1">
      <alignment horizontal="center" vertical="center" wrapText="1"/>
    </xf>
    <xf numFmtId="179" fontId="38" fillId="0" borderId="15" xfId="53" applyNumberFormat="1" applyFont="1" applyFill="1" applyBorder="1" applyAlignment="1">
      <alignment horizontal="center" vertical="center" wrapText="1"/>
      <protection/>
    </xf>
    <xf numFmtId="179" fontId="38" fillId="0" borderId="0" xfId="53" applyNumberFormat="1" applyFont="1" applyFill="1" applyBorder="1" applyAlignment="1">
      <alignment horizontal="left" vertical="center" wrapText="1"/>
      <protection/>
    </xf>
    <xf numFmtId="49" fontId="36" fillId="0" borderId="0" xfId="0" applyNumberFormat="1" applyFont="1" applyFill="1" applyBorder="1" applyAlignment="1">
      <alignment horizontal="right" vertical="center" wrapText="1"/>
    </xf>
    <xf numFmtId="0" fontId="36" fillId="0" borderId="0" xfId="53" applyNumberFormat="1" applyFont="1" applyFill="1" applyBorder="1" applyAlignment="1">
      <alignment horizontal="left" vertical="center" wrapText="1"/>
      <protection/>
    </xf>
    <xf numFmtId="179" fontId="58" fillId="0" borderId="0" xfId="53" applyNumberFormat="1" applyFont="1" applyFill="1" applyBorder="1" applyAlignment="1">
      <alignment horizontal="center" vertical="center" wrapText="1"/>
      <protection/>
    </xf>
    <xf numFmtId="179" fontId="38" fillId="0" borderId="0" xfId="53" applyNumberFormat="1" applyFont="1" applyFill="1" applyBorder="1" applyAlignment="1">
      <alignment horizontal="center" vertical="center" wrapText="1"/>
      <protection/>
    </xf>
    <xf numFmtId="179" fontId="38" fillId="0" borderId="0" xfId="0" applyNumberFormat="1" applyFont="1" applyFill="1" applyBorder="1" applyAlignment="1">
      <alignment horizontal="left" vertical="center" wrapText="1"/>
    </xf>
    <xf numFmtId="179" fontId="38" fillId="0" borderId="0" xfId="0" applyNumberFormat="1" applyFont="1" applyFill="1" applyAlignment="1">
      <alignment horizontal="left" vertical="center" wrapText="1"/>
    </xf>
    <xf numFmtId="179" fontId="38" fillId="0" borderId="15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left" vertical="center" wrapText="1"/>
    </xf>
    <xf numFmtId="179" fontId="58" fillId="0" borderId="0" xfId="0" applyNumberFormat="1" applyFont="1" applyFill="1" applyBorder="1" applyAlignment="1">
      <alignment horizontal="center" vertical="center" wrapText="1"/>
    </xf>
    <xf numFmtId="179" fontId="38" fillId="0" borderId="0" xfId="0" applyNumberFormat="1" applyFont="1" applyFill="1" applyBorder="1" applyAlignment="1">
      <alignment horizontal="center" vertical="center" wrapText="1"/>
    </xf>
    <xf numFmtId="179" fontId="38" fillId="0" borderId="0" xfId="0" applyNumberFormat="1" applyFont="1" applyFill="1" applyBorder="1" applyAlignment="1">
      <alignment horizontal="left" vertical="center" wrapText="1"/>
    </xf>
    <xf numFmtId="49" fontId="38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179" fontId="58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0" fillId="0" borderId="15" xfId="0" applyFont="1" applyBorder="1" applyAlignment="1">
      <alignment/>
    </xf>
    <xf numFmtId="0" fontId="38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4"/>
  <sheetViews>
    <sheetView tabSelected="1" zoomScalePageLayoutView="0" workbookViewId="0" topLeftCell="A1">
      <pane xSplit="3" ySplit="7" topLeftCell="D22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255" sqref="C255"/>
    </sheetView>
  </sheetViews>
  <sheetFormatPr defaultColWidth="9.00390625" defaultRowHeight="12.75" outlineLevelCol="1"/>
  <cols>
    <col min="1" max="1" width="21.25390625" style="1" customWidth="1"/>
    <col min="2" max="2" width="6.75390625" style="1" hidden="1" customWidth="1"/>
    <col min="3" max="3" width="64.00390625" style="1" customWidth="1"/>
    <col min="4" max="4" width="11.125" style="1" customWidth="1"/>
    <col min="5" max="5" width="10.625" style="1" customWidth="1"/>
    <col min="6" max="6" width="11.00390625" style="1" hidden="1" customWidth="1"/>
    <col min="7" max="7" width="8.75390625" style="1" hidden="1" customWidth="1"/>
    <col min="8" max="8" width="7.25390625" style="1" hidden="1" customWidth="1"/>
    <col min="9" max="9" width="8.375" style="1" hidden="1" customWidth="1" outlineLevel="1"/>
    <col min="10" max="10" width="11.00390625" style="1" customWidth="1" collapsed="1"/>
    <col min="11" max="11" width="10.25390625" style="1" hidden="1" customWidth="1"/>
    <col min="12" max="12" width="7.00390625" style="1" hidden="1" customWidth="1"/>
    <col min="13" max="13" width="9.125" style="1" hidden="1" customWidth="1"/>
    <col min="14" max="14" width="14.25390625" style="1" hidden="1" customWidth="1"/>
    <col min="15" max="15" width="7.25390625" style="1" hidden="1" customWidth="1"/>
    <col min="16" max="16" width="8.25390625" style="1" customWidth="1"/>
    <col min="17" max="17" width="8.00390625" style="1" customWidth="1"/>
    <col min="18" max="16384" width="9.125" style="1" customWidth="1"/>
  </cols>
  <sheetData>
    <row r="1" spans="1:17" ht="12.75">
      <c r="A1" s="85" t="s">
        <v>85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2" ht="9.7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4.25" customHeight="1">
      <c r="A3" s="11"/>
      <c r="B3" s="11"/>
      <c r="C3" s="12"/>
      <c r="D3" s="12"/>
      <c r="E3" s="12"/>
      <c r="F3" s="12"/>
      <c r="G3" s="12"/>
      <c r="H3" s="13"/>
      <c r="I3" s="13"/>
      <c r="J3" s="72" t="s">
        <v>69</v>
      </c>
      <c r="K3" s="13"/>
      <c r="L3" s="13"/>
    </row>
    <row r="4" spans="1:17" ht="12.75" customHeight="1">
      <c r="A4" s="14" t="s">
        <v>41</v>
      </c>
      <c r="B4" s="14"/>
      <c r="C4" s="15"/>
      <c r="D4" s="89" t="s">
        <v>84</v>
      </c>
      <c r="E4" s="89" t="s">
        <v>81</v>
      </c>
      <c r="F4" s="92" t="s">
        <v>72</v>
      </c>
      <c r="G4" s="92" t="s">
        <v>73</v>
      </c>
      <c r="H4" s="92" t="s">
        <v>74</v>
      </c>
      <c r="I4" s="92" t="s">
        <v>75</v>
      </c>
      <c r="J4" s="89" t="s">
        <v>86</v>
      </c>
      <c r="K4" s="89" t="s">
        <v>76</v>
      </c>
      <c r="L4" s="89" t="s">
        <v>77</v>
      </c>
      <c r="M4" s="89" t="s">
        <v>78</v>
      </c>
      <c r="N4" s="89" t="s">
        <v>79</v>
      </c>
      <c r="O4" s="89" t="s">
        <v>80</v>
      </c>
      <c r="P4" s="89" t="s">
        <v>82</v>
      </c>
      <c r="Q4" s="89" t="s">
        <v>83</v>
      </c>
    </row>
    <row r="5" spans="1:17" ht="27.75" customHeight="1">
      <c r="A5" s="16" t="s">
        <v>46</v>
      </c>
      <c r="B5" s="16"/>
      <c r="C5" s="17" t="s">
        <v>16</v>
      </c>
      <c r="D5" s="90"/>
      <c r="E5" s="90"/>
      <c r="F5" s="93"/>
      <c r="G5" s="93"/>
      <c r="H5" s="93"/>
      <c r="I5" s="93"/>
      <c r="J5" s="90"/>
      <c r="K5" s="90"/>
      <c r="L5" s="90"/>
      <c r="M5" s="90"/>
      <c r="N5" s="90"/>
      <c r="O5" s="90"/>
      <c r="P5" s="90"/>
      <c r="Q5" s="90"/>
    </row>
    <row r="6" spans="1:17" ht="39.75" customHeight="1">
      <c r="A6" s="16"/>
      <c r="B6" s="16"/>
      <c r="C6" s="17"/>
      <c r="D6" s="91"/>
      <c r="E6" s="91"/>
      <c r="F6" s="94"/>
      <c r="G6" s="94"/>
      <c r="H6" s="94"/>
      <c r="I6" s="94"/>
      <c r="J6" s="91"/>
      <c r="K6" s="91"/>
      <c r="L6" s="91"/>
      <c r="M6" s="91"/>
      <c r="N6" s="91"/>
      <c r="O6" s="91"/>
      <c r="P6" s="91"/>
      <c r="Q6" s="91"/>
    </row>
    <row r="7" spans="1:15" ht="12.75">
      <c r="A7" s="104" t="s">
        <v>24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</row>
    <row r="8" spans="1:17" ht="12.75">
      <c r="A8" s="45" t="s">
        <v>3</v>
      </c>
      <c r="B8" s="45"/>
      <c r="C8" s="68" t="s">
        <v>68</v>
      </c>
      <c r="D8" s="46">
        <f aca="true" t="shared" si="0" ref="D8:J8">D9+D11+D12+D13+D15+D16+D18+D20+D14+D21+D17+D19+D10</f>
        <v>766549.4</v>
      </c>
      <c r="E8" s="46">
        <f t="shared" si="0"/>
        <v>180328.9</v>
      </c>
      <c r="F8" s="46">
        <f t="shared" si="0"/>
        <v>180328.9</v>
      </c>
      <c r="G8" s="46">
        <f t="shared" si="0"/>
        <v>210997.90000000005</v>
      </c>
      <c r="H8" s="46">
        <f t="shared" si="0"/>
        <v>177123.70000000004</v>
      </c>
      <c r="I8" s="46">
        <f t="shared" si="0"/>
        <v>198098.89999999997</v>
      </c>
      <c r="J8" s="46">
        <f t="shared" si="0"/>
        <v>133780.09999999998</v>
      </c>
      <c r="K8" s="46" t="e">
        <f>K9+K11+K12+K13+K15+K16+K18+K20+K14+K21+K17+K19</f>
        <v>#REF!</v>
      </c>
      <c r="L8" s="46">
        <f aca="true" t="shared" si="1" ref="L8:L20">J8/H8*100</f>
        <v>75.52919231023287</v>
      </c>
      <c r="M8" s="71"/>
      <c r="N8" s="71"/>
      <c r="O8" s="46">
        <f>J8*100/I8</f>
        <v>67.53197519017016</v>
      </c>
      <c r="P8" s="46">
        <f>J8*100/E8</f>
        <v>74.1867221504706</v>
      </c>
      <c r="Q8" s="32">
        <f>J8*100/D8</f>
        <v>17.452247695973668</v>
      </c>
    </row>
    <row r="9" spans="1:17" ht="12.75">
      <c r="A9" s="19" t="s">
        <v>23</v>
      </c>
      <c r="B9" s="19"/>
      <c r="C9" s="47" t="s">
        <v>22</v>
      </c>
      <c r="D9" s="76">
        <f>F9+G9+H9+I9</f>
        <v>583323.2000000001</v>
      </c>
      <c r="E9" s="76">
        <f>F9</f>
        <v>135991.1</v>
      </c>
      <c r="F9" s="76">
        <v>135991.1</v>
      </c>
      <c r="G9" s="76">
        <v>162045.1</v>
      </c>
      <c r="H9" s="28">
        <v>131909.6</v>
      </c>
      <c r="I9" s="48">
        <v>153377.4</v>
      </c>
      <c r="J9" s="48">
        <v>104909.9</v>
      </c>
      <c r="K9" s="28" t="e">
        <f>J9/#REF!*100</f>
        <v>#REF!</v>
      </c>
      <c r="L9" s="28">
        <f t="shared" si="1"/>
        <v>79.53166410935974</v>
      </c>
      <c r="M9" s="69"/>
      <c r="N9" s="69"/>
      <c r="O9" s="28">
        <f aca="true" t="shared" si="2" ref="O9:O80">J9*100/I9</f>
        <v>68.39984248005247</v>
      </c>
      <c r="P9" s="28">
        <f aca="true" t="shared" si="3" ref="P9:P77">J9*100/E9</f>
        <v>77.14468079161063</v>
      </c>
      <c r="Q9" s="48">
        <f aca="true" t="shared" si="4" ref="Q9:Q77">J9*100/D9</f>
        <v>17.984866708541677</v>
      </c>
    </row>
    <row r="10" spans="1:17" ht="12.75">
      <c r="A10" s="19" t="s">
        <v>70</v>
      </c>
      <c r="B10" s="19"/>
      <c r="C10" s="36" t="s">
        <v>71</v>
      </c>
      <c r="D10" s="73">
        <f aca="true" t="shared" si="5" ref="D10:D26">F10+G10+H10+I10</f>
        <v>4437.4</v>
      </c>
      <c r="E10" s="73">
        <f aca="true" t="shared" si="6" ref="E10:E25">F10</f>
        <v>1108.9</v>
      </c>
      <c r="F10" s="73">
        <v>1108.9</v>
      </c>
      <c r="G10" s="73">
        <v>1109.1</v>
      </c>
      <c r="H10" s="24">
        <v>1109.1</v>
      </c>
      <c r="I10" s="25">
        <v>1110.3</v>
      </c>
      <c r="J10" s="25">
        <v>532.9</v>
      </c>
      <c r="K10" s="28"/>
      <c r="L10" s="28"/>
      <c r="M10" s="69"/>
      <c r="N10" s="69"/>
      <c r="O10" s="24"/>
      <c r="P10" s="28">
        <f t="shared" si="3"/>
        <v>48.056632699071145</v>
      </c>
      <c r="Q10" s="25">
        <f t="shared" si="4"/>
        <v>12.009284716275298</v>
      </c>
    </row>
    <row r="11" spans="1:17" ht="12.75">
      <c r="A11" s="19" t="s">
        <v>8</v>
      </c>
      <c r="B11" s="19"/>
      <c r="C11" s="36" t="s">
        <v>5</v>
      </c>
      <c r="D11" s="73">
        <f t="shared" si="5"/>
        <v>38473</v>
      </c>
      <c r="E11" s="73">
        <f t="shared" si="6"/>
        <v>8888.4</v>
      </c>
      <c r="F11" s="73">
        <v>8888.4</v>
      </c>
      <c r="G11" s="73">
        <v>12355.4</v>
      </c>
      <c r="H11" s="24">
        <v>8820.4</v>
      </c>
      <c r="I11" s="25">
        <v>8408.8</v>
      </c>
      <c r="J11" s="25">
        <v>8066.9</v>
      </c>
      <c r="K11" s="28" t="e">
        <f>J11/#REF!*100</f>
        <v>#REF!</v>
      </c>
      <c r="L11" s="28">
        <f t="shared" si="1"/>
        <v>91.45730352364973</v>
      </c>
      <c r="M11" s="69"/>
      <c r="N11" s="69"/>
      <c r="O11" s="24">
        <f t="shared" si="2"/>
        <v>95.93402150128438</v>
      </c>
      <c r="P11" s="28">
        <f t="shared" si="3"/>
        <v>90.7576166689168</v>
      </c>
      <c r="Q11" s="25">
        <f t="shared" si="4"/>
        <v>20.967691627894887</v>
      </c>
    </row>
    <row r="12" spans="1:17" ht="12.75">
      <c r="A12" s="19" t="s">
        <v>9</v>
      </c>
      <c r="B12" s="19"/>
      <c r="C12" s="36" t="s">
        <v>6</v>
      </c>
      <c r="D12" s="73">
        <f t="shared" si="5"/>
        <v>4052</v>
      </c>
      <c r="E12" s="73">
        <f t="shared" si="6"/>
        <v>975</v>
      </c>
      <c r="F12" s="73">
        <v>975</v>
      </c>
      <c r="G12" s="73">
        <v>975</v>
      </c>
      <c r="H12" s="24">
        <v>975</v>
      </c>
      <c r="I12" s="25">
        <v>1127</v>
      </c>
      <c r="J12" s="25">
        <v>-987.8</v>
      </c>
      <c r="K12" s="28" t="e">
        <f>J12/#REF!*100</f>
        <v>#REF!</v>
      </c>
      <c r="L12" s="28">
        <f t="shared" si="1"/>
        <v>-101.31282051282051</v>
      </c>
      <c r="M12" s="69"/>
      <c r="N12" s="69"/>
      <c r="O12" s="24">
        <f t="shared" si="2"/>
        <v>-87.6486246672582</v>
      </c>
      <c r="P12" s="28">
        <f t="shared" si="3"/>
        <v>-101.31282051282051</v>
      </c>
      <c r="Q12" s="25">
        <f t="shared" si="4"/>
        <v>-24.37808489634748</v>
      </c>
    </row>
    <row r="13" spans="1:17" ht="12.75">
      <c r="A13" s="19" t="s">
        <v>10</v>
      </c>
      <c r="B13" s="19"/>
      <c r="C13" s="36" t="s">
        <v>21</v>
      </c>
      <c r="D13" s="73">
        <f t="shared" si="5"/>
        <v>3794</v>
      </c>
      <c r="E13" s="73">
        <f t="shared" si="6"/>
        <v>948.1</v>
      </c>
      <c r="F13" s="73">
        <v>948.1</v>
      </c>
      <c r="G13" s="73">
        <v>948.1</v>
      </c>
      <c r="H13" s="24">
        <v>948.1</v>
      </c>
      <c r="I13" s="25">
        <v>949.7</v>
      </c>
      <c r="J13" s="25">
        <v>559.5</v>
      </c>
      <c r="K13" s="28" t="e">
        <f>J13/#REF!*100</f>
        <v>#REF!</v>
      </c>
      <c r="L13" s="28">
        <f t="shared" si="1"/>
        <v>59.01276236683894</v>
      </c>
      <c r="M13" s="69"/>
      <c r="N13" s="69"/>
      <c r="O13" s="24">
        <f t="shared" si="2"/>
        <v>58.91334105507002</v>
      </c>
      <c r="P13" s="28">
        <f t="shared" si="3"/>
        <v>59.01276236683894</v>
      </c>
      <c r="Q13" s="25">
        <f t="shared" si="4"/>
        <v>14.74696889826041</v>
      </c>
    </row>
    <row r="14" spans="1:17" ht="21.75" customHeight="1" hidden="1">
      <c r="A14" s="19" t="s">
        <v>37</v>
      </c>
      <c r="B14" s="19"/>
      <c r="C14" s="36" t="s">
        <v>38</v>
      </c>
      <c r="D14" s="73">
        <f t="shared" si="5"/>
        <v>0</v>
      </c>
      <c r="E14" s="73">
        <f t="shared" si="6"/>
        <v>0</v>
      </c>
      <c r="F14" s="73"/>
      <c r="G14" s="73"/>
      <c r="H14" s="24"/>
      <c r="I14" s="25"/>
      <c r="J14" s="25"/>
      <c r="K14" s="28" t="e">
        <f>J14/#REF!*100</f>
        <v>#REF!</v>
      </c>
      <c r="L14" s="28"/>
      <c r="M14" s="69"/>
      <c r="N14" s="69"/>
      <c r="O14" s="24" t="e">
        <f t="shared" si="2"/>
        <v>#DIV/0!</v>
      </c>
      <c r="P14" s="28"/>
      <c r="Q14" s="25"/>
    </row>
    <row r="15" spans="1:17" ht="24">
      <c r="A15" s="20" t="s">
        <v>11</v>
      </c>
      <c r="B15" s="20"/>
      <c r="C15" s="36" t="s">
        <v>17</v>
      </c>
      <c r="D15" s="73">
        <f t="shared" si="5"/>
        <v>95355.4</v>
      </c>
      <c r="E15" s="73">
        <f t="shared" si="6"/>
        <v>23692.5</v>
      </c>
      <c r="F15" s="73">
        <v>23692.5</v>
      </c>
      <c r="G15" s="73">
        <v>23763.7</v>
      </c>
      <c r="H15" s="24">
        <v>24063.7</v>
      </c>
      <c r="I15" s="25">
        <v>23835.5</v>
      </c>
      <c r="J15" s="25">
        <v>4892.5</v>
      </c>
      <c r="K15" s="28" t="e">
        <f>J15/#REF!*100</f>
        <v>#REF!</v>
      </c>
      <c r="L15" s="28">
        <f t="shared" si="1"/>
        <v>20.331453600236042</v>
      </c>
      <c r="M15" s="69"/>
      <c r="N15" s="69"/>
      <c r="O15" s="24">
        <f t="shared" si="2"/>
        <v>20.526106018333998</v>
      </c>
      <c r="P15" s="28">
        <f t="shared" si="3"/>
        <v>20.649994724068797</v>
      </c>
      <c r="Q15" s="25">
        <f t="shared" si="4"/>
        <v>5.130805387004827</v>
      </c>
    </row>
    <row r="16" spans="1:17" ht="12.75">
      <c r="A16" s="37" t="s">
        <v>14</v>
      </c>
      <c r="B16" s="37"/>
      <c r="C16" s="36" t="s">
        <v>13</v>
      </c>
      <c r="D16" s="73">
        <f t="shared" si="5"/>
        <v>5108.6</v>
      </c>
      <c r="E16" s="73">
        <f t="shared" si="6"/>
        <v>1277</v>
      </c>
      <c r="F16" s="73">
        <v>1277</v>
      </c>
      <c r="G16" s="73">
        <v>1277.1</v>
      </c>
      <c r="H16" s="24">
        <v>1277.1</v>
      </c>
      <c r="I16" s="25">
        <v>1277.4</v>
      </c>
      <c r="J16" s="25">
        <v>2582.8</v>
      </c>
      <c r="K16" s="28" t="e">
        <f>J16/#REF!*100</f>
        <v>#REF!</v>
      </c>
      <c r="L16" s="28">
        <f t="shared" si="1"/>
        <v>202.23944875107668</v>
      </c>
      <c r="M16" s="69"/>
      <c r="N16" s="69"/>
      <c r="O16" s="24">
        <f t="shared" si="2"/>
        <v>202.19195240331925</v>
      </c>
      <c r="P16" s="28">
        <f t="shared" si="3"/>
        <v>202.25528582615507</v>
      </c>
      <c r="Q16" s="25">
        <f t="shared" si="4"/>
        <v>50.55788278589046</v>
      </c>
    </row>
    <row r="17" spans="1:17" ht="12.75">
      <c r="A17" s="38" t="s">
        <v>42</v>
      </c>
      <c r="B17" s="38"/>
      <c r="C17" s="36" t="s">
        <v>43</v>
      </c>
      <c r="D17" s="73">
        <f t="shared" si="5"/>
        <v>14127.1</v>
      </c>
      <c r="E17" s="73">
        <f t="shared" si="6"/>
        <v>3107.4</v>
      </c>
      <c r="F17" s="73">
        <v>3107.4</v>
      </c>
      <c r="G17" s="73">
        <v>3680.2</v>
      </c>
      <c r="H17" s="24">
        <v>3677.5</v>
      </c>
      <c r="I17" s="25">
        <v>3662</v>
      </c>
      <c r="J17" s="25">
        <v>2366</v>
      </c>
      <c r="K17" s="28" t="e">
        <f>J17/#REF!*100</f>
        <v>#REF!</v>
      </c>
      <c r="L17" s="28">
        <f t="shared" si="1"/>
        <v>64.33718558803535</v>
      </c>
      <c r="M17" s="69"/>
      <c r="N17" s="69"/>
      <c r="O17" s="24">
        <f t="shared" si="2"/>
        <v>64.60950300382305</v>
      </c>
      <c r="P17" s="28">
        <f t="shared" si="3"/>
        <v>76.14082512711592</v>
      </c>
      <c r="Q17" s="25">
        <f t="shared" si="4"/>
        <v>16.747952516793962</v>
      </c>
    </row>
    <row r="18" spans="1:17" ht="12.75">
      <c r="A18" s="38" t="s">
        <v>18</v>
      </c>
      <c r="B18" s="38"/>
      <c r="C18" s="36" t="s">
        <v>15</v>
      </c>
      <c r="D18" s="73">
        <f t="shared" si="5"/>
        <v>13419</v>
      </c>
      <c r="E18" s="73">
        <f t="shared" si="6"/>
        <v>3229.5</v>
      </c>
      <c r="F18" s="73">
        <v>3229.5</v>
      </c>
      <c r="G18" s="73">
        <v>3729.5</v>
      </c>
      <c r="H18" s="24">
        <v>3229.5</v>
      </c>
      <c r="I18" s="25">
        <v>3230.5</v>
      </c>
      <c r="J18" s="25">
        <v>3417.5</v>
      </c>
      <c r="K18" s="28" t="e">
        <f>J18/#REF!*100</f>
        <v>#REF!</v>
      </c>
      <c r="L18" s="28">
        <f t="shared" si="1"/>
        <v>105.82133457191516</v>
      </c>
      <c r="M18" s="69"/>
      <c r="N18" s="69"/>
      <c r="O18" s="24">
        <f t="shared" si="2"/>
        <v>105.78857761956354</v>
      </c>
      <c r="P18" s="28">
        <f t="shared" si="3"/>
        <v>105.82133457191516</v>
      </c>
      <c r="Q18" s="25">
        <f t="shared" si="4"/>
        <v>25.46762053804307</v>
      </c>
    </row>
    <row r="19" spans="1:17" ht="12.75">
      <c r="A19" s="38" t="s">
        <v>60</v>
      </c>
      <c r="B19" s="38"/>
      <c r="C19" s="36" t="s">
        <v>61</v>
      </c>
      <c r="D19" s="73">
        <f t="shared" si="5"/>
        <v>6</v>
      </c>
      <c r="E19" s="73">
        <f t="shared" si="6"/>
        <v>1</v>
      </c>
      <c r="F19" s="73">
        <v>1</v>
      </c>
      <c r="G19" s="73">
        <v>2</v>
      </c>
      <c r="H19" s="24">
        <v>1</v>
      </c>
      <c r="I19" s="25">
        <v>2</v>
      </c>
      <c r="J19" s="25">
        <v>6</v>
      </c>
      <c r="K19" s="28" t="e">
        <f>J19/#REF!*100</f>
        <v>#REF!</v>
      </c>
      <c r="L19" s="28">
        <f t="shared" si="1"/>
        <v>600</v>
      </c>
      <c r="M19" s="69"/>
      <c r="N19" s="69"/>
      <c r="O19" s="24">
        <f t="shared" si="2"/>
        <v>300</v>
      </c>
      <c r="P19" s="28">
        <f t="shared" si="3"/>
        <v>600</v>
      </c>
      <c r="Q19" s="25">
        <f t="shared" si="4"/>
        <v>100</v>
      </c>
    </row>
    <row r="20" spans="1:17" ht="12.75">
      <c r="A20" s="29" t="s">
        <v>12</v>
      </c>
      <c r="B20" s="29"/>
      <c r="C20" s="36" t="s">
        <v>7</v>
      </c>
      <c r="D20" s="73">
        <f t="shared" si="5"/>
        <v>4453.7</v>
      </c>
      <c r="E20" s="73">
        <f t="shared" si="6"/>
        <v>1110</v>
      </c>
      <c r="F20" s="73">
        <v>1110</v>
      </c>
      <c r="G20" s="73">
        <v>1112.7</v>
      </c>
      <c r="H20" s="24">
        <v>1112.7</v>
      </c>
      <c r="I20" s="25">
        <v>1118.3</v>
      </c>
      <c r="J20" s="25">
        <v>7355.7</v>
      </c>
      <c r="K20" s="28" t="e">
        <f>J20/#REF!*100</f>
        <v>#REF!</v>
      </c>
      <c r="L20" s="28">
        <f t="shared" si="1"/>
        <v>661.0676732272849</v>
      </c>
      <c r="M20" s="69"/>
      <c r="N20" s="69"/>
      <c r="O20" s="24">
        <f t="shared" si="2"/>
        <v>657.7573102029867</v>
      </c>
      <c r="P20" s="28">
        <f t="shared" si="3"/>
        <v>662.6756756756756</v>
      </c>
      <c r="Q20" s="25">
        <f t="shared" si="4"/>
        <v>165.15930574578442</v>
      </c>
    </row>
    <row r="21" spans="1:17" ht="12.75">
      <c r="A21" s="39" t="s">
        <v>39</v>
      </c>
      <c r="B21" s="40"/>
      <c r="C21" s="23" t="s">
        <v>40</v>
      </c>
      <c r="D21" s="73">
        <f t="shared" si="5"/>
        <v>0</v>
      </c>
      <c r="E21" s="73">
        <f t="shared" si="6"/>
        <v>0</v>
      </c>
      <c r="F21" s="73"/>
      <c r="G21" s="73"/>
      <c r="H21" s="24"/>
      <c r="I21" s="25"/>
      <c r="J21" s="25">
        <v>78.2</v>
      </c>
      <c r="K21" s="28"/>
      <c r="L21" s="28"/>
      <c r="M21" s="69"/>
      <c r="N21" s="69"/>
      <c r="O21" s="24"/>
      <c r="P21" s="28"/>
      <c r="Q21" s="25"/>
    </row>
    <row r="22" spans="1:17" ht="12.75">
      <c r="A22" s="33" t="s">
        <v>1</v>
      </c>
      <c r="B22" s="33"/>
      <c r="C22" s="41" t="s">
        <v>0</v>
      </c>
      <c r="D22" s="42">
        <f aca="true" t="shared" si="7" ref="D22:I22">D23+D24+D26+D25</f>
        <v>2393309</v>
      </c>
      <c r="E22" s="42">
        <f>E23+E24+E26+E25</f>
        <v>561083.4</v>
      </c>
      <c r="F22" s="42">
        <f t="shared" si="7"/>
        <v>561083.4</v>
      </c>
      <c r="G22" s="42">
        <f t="shared" si="7"/>
        <v>697793.4</v>
      </c>
      <c r="H22" s="42">
        <f t="shared" si="7"/>
        <v>524527.6</v>
      </c>
      <c r="I22" s="42">
        <f t="shared" si="7"/>
        <v>609904.6</v>
      </c>
      <c r="J22" s="42">
        <f>J23+J24+J26+J25+0.1</f>
        <v>285167.19999999995</v>
      </c>
      <c r="K22" s="35" t="e">
        <f>J22/#REF!*100</f>
        <v>#REF!</v>
      </c>
      <c r="L22" s="35">
        <f aca="true" t="shared" si="8" ref="L22:L27">J22/H22*100</f>
        <v>54.36648138248587</v>
      </c>
      <c r="M22" s="69"/>
      <c r="N22" s="69"/>
      <c r="O22" s="46">
        <f t="shared" si="2"/>
        <v>46.7560336485411</v>
      </c>
      <c r="P22" s="35">
        <f t="shared" si="3"/>
        <v>50.82438724795636</v>
      </c>
      <c r="Q22" s="32">
        <f t="shared" si="4"/>
        <v>11.915185210100324</v>
      </c>
    </row>
    <row r="23" spans="1:17" ht="24">
      <c r="A23" s="21" t="s">
        <v>67</v>
      </c>
      <c r="B23" s="19"/>
      <c r="C23" s="43" t="s">
        <v>20</v>
      </c>
      <c r="D23" s="73">
        <f t="shared" si="5"/>
        <v>2387629.5</v>
      </c>
      <c r="E23" s="73">
        <f t="shared" si="6"/>
        <v>562903.9</v>
      </c>
      <c r="F23" s="73">
        <v>562903.9</v>
      </c>
      <c r="G23" s="73">
        <v>695293.4</v>
      </c>
      <c r="H23" s="25">
        <v>522027.6</v>
      </c>
      <c r="I23" s="25">
        <f>607292.6+112</f>
        <v>607404.6</v>
      </c>
      <c r="J23" s="25">
        <v>288369.8</v>
      </c>
      <c r="K23" s="28" t="e">
        <f>J23/#REF!*100</f>
        <v>#REF!</v>
      </c>
      <c r="L23" s="28">
        <f t="shared" si="8"/>
        <v>55.240335951585706</v>
      </c>
      <c r="M23" s="69"/>
      <c r="N23" s="69"/>
      <c r="O23" s="24">
        <f t="shared" si="2"/>
        <v>47.47573528419113</v>
      </c>
      <c r="P23" s="28">
        <f t="shared" si="3"/>
        <v>51.22895755385599</v>
      </c>
      <c r="Q23" s="25">
        <f t="shared" si="4"/>
        <v>12.077661127909503</v>
      </c>
    </row>
    <row r="24" spans="1:17" ht="13.5" customHeight="1">
      <c r="A24" s="21" t="s">
        <v>2</v>
      </c>
      <c r="B24" s="21"/>
      <c r="C24" s="44" t="s">
        <v>19</v>
      </c>
      <c r="D24" s="73">
        <f t="shared" si="5"/>
        <v>10000</v>
      </c>
      <c r="E24" s="73">
        <f t="shared" si="6"/>
        <v>2500</v>
      </c>
      <c r="F24" s="74">
        <v>2500</v>
      </c>
      <c r="G24" s="74">
        <v>2500</v>
      </c>
      <c r="H24" s="25">
        <v>2500</v>
      </c>
      <c r="I24" s="25">
        <v>2500</v>
      </c>
      <c r="J24" s="25">
        <v>1050</v>
      </c>
      <c r="K24" s="28" t="e">
        <f>J24/#REF!*100</f>
        <v>#REF!</v>
      </c>
      <c r="L24" s="28">
        <f t="shared" si="8"/>
        <v>42</v>
      </c>
      <c r="M24" s="69"/>
      <c r="N24" s="69"/>
      <c r="O24" s="24">
        <f t="shared" si="2"/>
        <v>42</v>
      </c>
      <c r="P24" s="28">
        <f t="shared" si="3"/>
        <v>42</v>
      </c>
      <c r="Q24" s="25">
        <f t="shared" si="4"/>
        <v>10.5</v>
      </c>
    </row>
    <row r="25" spans="1:17" ht="40.5" customHeight="1">
      <c r="A25" s="21" t="s">
        <v>65</v>
      </c>
      <c r="B25" s="22" t="s">
        <v>64</v>
      </c>
      <c r="C25" s="23" t="s">
        <v>64</v>
      </c>
      <c r="D25" s="73">
        <f t="shared" si="5"/>
        <v>0</v>
      </c>
      <c r="E25" s="73">
        <f t="shared" si="6"/>
        <v>0</v>
      </c>
      <c r="F25" s="73"/>
      <c r="G25" s="73"/>
      <c r="H25" s="25"/>
      <c r="I25" s="25"/>
      <c r="J25" s="25">
        <v>67.8</v>
      </c>
      <c r="K25" s="28" t="e">
        <f>J25/#REF!*100</f>
        <v>#REF!</v>
      </c>
      <c r="L25" s="28"/>
      <c r="M25" s="69"/>
      <c r="N25" s="69"/>
      <c r="O25" s="24" t="e">
        <f t="shared" si="2"/>
        <v>#DIV/0!</v>
      </c>
      <c r="P25" s="28"/>
      <c r="Q25" s="25"/>
    </row>
    <row r="26" spans="1:17" ht="24" customHeight="1">
      <c r="A26" s="21" t="s">
        <v>66</v>
      </c>
      <c r="B26" s="26"/>
      <c r="C26" s="27" t="s">
        <v>63</v>
      </c>
      <c r="D26" s="73">
        <f t="shared" si="5"/>
        <v>-4320.5</v>
      </c>
      <c r="E26" s="73">
        <f>F26</f>
        <v>-4320.5</v>
      </c>
      <c r="F26" s="75">
        <v>-4320.5</v>
      </c>
      <c r="G26" s="75"/>
      <c r="H26" s="25"/>
      <c r="I26" s="25"/>
      <c r="J26" s="25">
        <v>-4320.5</v>
      </c>
      <c r="K26" s="28" t="e">
        <f>J26/#REF!*100</f>
        <v>#REF!</v>
      </c>
      <c r="L26" s="28"/>
      <c r="M26" s="69"/>
      <c r="N26" s="69"/>
      <c r="O26" s="24" t="e">
        <f t="shared" si="2"/>
        <v>#DIV/0!</v>
      </c>
      <c r="P26" s="28">
        <f>J26*100/E26</f>
        <v>100</v>
      </c>
      <c r="Q26" s="25">
        <f>J26*100/D26</f>
        <v>100</v>
      </c>
    </row>
    <row r="27" spans="1:17" ht="12.75">
      <c r="A27" s="29"/>
      <c r="B27" s="30"/>
      <c r="C27" s="31" t="s">
        <v>4</v>
      </c>
      <c r="D27" s="32">
        <f aca="true" t="shared" si="9" ref="D27:J27">D22+D8</f>
        <v>3159858.4</v>
      </c>
      <c r="E27" s="32">
        <f t="shared" si="9"/>
        <v>741412.3</v>
      </c>
      <c r="F27" s="32">
        <f t="shared" si="9"/>
        <v>741412.3</v>
      </c>
      <c r="G27" s="32">
        <f t="shared" si="9"/>
        <v>908791.3</v>
      </c>
      <c r="H27" s="32">
        <f t="shared" si="9"/>
        <v>701651.3</v>
      </c>
      <c r="I27" s="32">
        <f t="shared" si="9"/>
        <v>808003.5</v>
      </c>
      <c r="J27" s="32">
        <f t="shared" si="9"/>
        <v>418947.29999999993</v>
      </c>
      <c r="K27" s="35" t="e">
        <f>J27/#REF!*100</f>
        <v>#REF!</v>
      </c>
      <c r="L27" s="35">
        <f t="shared" si="8"/>
        <v>59.708761317765656</v>
      </c>
      <c r="M27" s="69"/>
      <c r="N27" s="70" t="e">
        <f>I27+#REF!+#REF!</f>
        <v>#REF!</v>
      </c>
      <c r="O27" s="46">
        <f t="shared" si="2"/>
        <v>51.8496887699125</v>
      </c>
      <c r="P27" s="35">
        <f t="shared" si="3"/>
        <v>56.50665628288065</v>
      </c>
      <c r="Q27" s="32">
        <f t="shared" si="4"/>
        <v>13.258420060848294</v>
      </c>
    </row>
    <row r="28" spans="1:17" ht="12.75">
      <c r="A28" s="96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8"/>
      <c r="M28" s="69"/>
      <c r="N28" s="69"/>
      <c r="O28" s="67"/>
      <c r="P28" s="35"/>
      <c r="Q28" s="32"/>
    </row>
    <row r="29" spans="1:17" ht="12.75">
      <c r="A29" s="95" t="s">
        <v>25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35"/>
      <c r="Q29" s="32"/>
    </row>
    <row r="30" spans="1:17" ht="12.75">
      <c r="A30" s="33" t="s">
        <v>3</v>
      </c>
      <c r="B30" s="33"/>
      <c r="C30" s="34" t="s">
        <v>68</v>
      </c>
      <c r="D30" s="35">
        <f aca="true" t="shared" si="10" ref="D30:J30">D31+D33+D35+D37+D34+D36+D38+D32</f>
        <v>17496.5</v>
      </c>
      <c r="E30" s="35">
        <f t="shared" si="10"/>
        <v>4374.3</v>
      </c>
      <c r="F30" s="35">
        <f t="shared" si="10"/>
        <v>4374.3</v>
      </c>
      <c r="G30" s="35">
        <f t="shared" si="10"/>
        <v>4374.3</v>
      </c>
      <c r="H30" s="35">
        <f t="shared" si="10"/>
        <v>4374.3</v>
      </c>
      <c r="I30" s="35">
        <f t="shared" si="10"/>
        <v>4373.6</v>
      </c>
      <c r="J30" s="35">
        <f t="shared" si="10"/>
        <v>3018.3</v>
      </c>
      <c r="K30" s="35" t="e">
        <f>J30/#REF!*100</f>
        <v>#REF!</v>
      </c>
      <c r="L30" s="35">
        <f aca="true" t="shared" si="11" ref="L30:L37">J30/H30*100</f>
        <v>69.00075440641932</v>
      </c>
      <c r="M30" s="69"/>
      <c r="N30" s="69"/>
      <c r="O30" s="35">
        <f t="shared" si="2"/>
        <v>69.01179806109383</v>
      </c>
      <c r="P30" s="35">
        <f t="shared" si="3"/>
        <v>69.0007544064193</v>
      </c>
      <c r="Q30" s="32">
        <f t="shared" si="4"/>
        <v>17.250878747178007</v>
      </c>
    </row>
    <row r="31" spans="1:17" ht="12.75">
      <c r="A31" s="19" t="s">
        <v>23</v>
      </c>
      <c r="B31" s="19"/>
      <c r="C31" s="47" t="s">
        <v>22</v>
      </c>
      <c r="D31" s="73">
        <f aca="true" t="shared" si="12" ref="D31:D37">F31+G31+H31+I31</f>
        <v>13130</v>
      </c>
      <c r="E31" s="73">
        <f aca="true" t="shared" si="13" ref="E31:E41">F31</f>
        <v>3282.5</v>
      </c>
      <c r="F31" s="76">
        <v>3282.5</v>
      </c>
      <c r="G31" s="76">
        <v>3282.5</v>
      </c>
      <c r="H31" s="24">
        <v>3282.5</v>
      </c>
      <c r="I31" s="25">
        <v>3282.5</v>
      </c>
      <c r="J31" s="48">
        <v>2440.3</v>
      </c>
      <c r="K31" s="28" t="e">
        <f>J31/#REF!*100</f>
        <v>#REF!</v>
      </c>
      <c r="L31" s="28">
        <f t="shared" si="11"/>
        <v>74.34272658035034</v>
      </c>
      <c r="M31" s="69"/>
      <c r="N31" s="69"/>
      <c r="O31" s="24">
        <f t="shared" si="2"/>
        <v>74.34272658035034</v>
      </c>
      <c r="P31" s="28">
        <f>J31*100/E31</f>
        <v>74.34272658035034</v>
      </c>
      <c r="Q31" s="25">
        <f t="shared" si="4"/>
        <v>18.585681645087586</v>
      </c>
    </row>
    <row r="32" spans="1:17" ht="12.75">
      <c r="A32" s="19" t="s">
        <v>70</v>
      </c>
      <c r="B32" s="19"/>
      <c r="C32" s="36" t="s">
        <v>71</v>
      </c>
      <c r="D32" s="73">
        <f t="shared" si="12"/>
        <v>1279.5</v>
      </c>
      <c r="E32" s="73">
        <f t="shared" si="13"/>
        <v>320</v>
      </c>
      <c r="F32" s="76">
        <v>320</v>
      </c>
      <c r="G32" s="76">
        <v>320</v>
      </c>
      <c r="H32" s="24">
        <v>320</v>
      </c>
      <c r="I32" s="25">
        <v>319.5</v>
      </c>
      <c r="J32" s="48">
        <v>153.7</v>
      </c>
      <c r="K32" s="28"/>
      <c r="L32" s="28"/>
      <c r="M32" s="69"/>
      <c r="N32" s="69"/>
      <c r="O32" s="24"/>
      <c r="P32" s="28">
        <f>J32*100/E32</f>
        <v>48.03124999999999</v>
      </c>
      <c r="Q32" s="25">
        <f>J32*100/D32</f>
        <v>12.012504884720592</v>
      </c>
    </row>
    <row r="33" spans="1:17" ht="12.75">
      <c r="A33" s="19" t="s">
        <v>9</v>
      </c>
      <c r="B33" s="19"/>
      <c r="C33" s="36" t="s">
        <v>6</v>
      </c>
      <c r="D33" s="73">
        <f t="shared" si="12"/>
        <v>622</v>
      </c>
      <c r="E33" s="73">
        <f t="shared" si="13"/>
        <v>155.5</v>
      </c>
      <c r="F33" s="73">
        <v>155.5</v>
      </c>
      <c r="G33" s="73">
        <v>155.5</v>
      </c>
      <c r="H33" s="24">
        <v>155.5</v>
      </c>
      <c r="I33" s="25">
        <v>155.5</v>
      </c>
      <c r="J33" s="25">
        <v>99.9</v>
      </c>
      <c r="K33" s="28" t="e">
        <f>J33/#REF!*100</f>
        <v>#REF!</v>
      </c>
      <c r="L33" s="28">
        <f t="shared" si="11"/>
        <v>64.24437299035371</v>
      </c>
      <c r="M33" s="69"/>
      <c r="N33" s="69"/>
      <c r="O33" s="24">
        <f t="shared" si="2"/>
        <v>64.2443729903537</v>
      </c>
      <c r="P33" s="28">
        <f t="shared" si="3"/>
        <v>64.2443729903537</v>
      </c>
      <c r="Q33" s="25">
        <f t="shared" si="4"/>
        <v>16.061093247588424</v>
      </c>
    </row>
    <row r="34" spans="1:17" ht="12.75">
      <c r="A34" s="19" t="s">
        <v>10</v>
      </c>
      <c r="B34" s="19"/>
      <c r="C34" s="36" t="s">
        <v>21</v>
      </c>
      <c r="D34" s="73">
        <f t="shared" si="12"/>
        <v>24</v>
      </c>
      <c r="E34" s="73">
        <f t="shared" si="13"/>
        <v>6</v>
      </c>
      <c r="F34" s="73">
        <v>6</v>
      </c>
      <c r="G34" s="73">
        <v>6</v>
      </c>
      <c r="H34" s="24">
        <v>6</v>
      </c>
      <c r="I34" s="25">
        <v>6</v>
      </c>
      <c r="J34" s="25">
        <v>0.8</v>
      </c>
      <c r="K34" s="28" t="e">
        <f>J34/#REF!*100</f>
        <v>#REF!</v>
      </c>
      <c r="L34" s="28">
        <f t="shared" si="11"/>
        <v>13.333333333333334</v>
      </c>
      <c r="M34" s="69"/>
      <c r="N34" s="69"/>
      <c r="O34" s="24">
        <f t="shared" si="2"/>
        <v>13.333333333333334</v>
      </c>
      <c r="P34" s="28">
        <f t="shared" si="3"/>
        <v>13.333333333333334</v>
      </c>
      <c r="Q34" s="25">
        <f t="shared" si="4"/>
        <v>3.3333333333333335</v>
      </c>
    </row>
    <row r="35" spans="1:17" ht="24">
      <c r="A35" s="20" t="s">
        <v>11</v>
      </c>
      <c r="B35" s="20"/>
      <c r="C35" s="36" t="s">
        <v>17</v>
      </c>
      <c r="D35" s="73">
        <f t="shared" si="12"/>
        <v>1757.4999999999998</v>
      </c>
      <c r="E35" s="73">
        <f t="shared" si="13"/>
        <v>439.4</v>
      </c>
      <c r="F35" s="73">
        <v>439.4</v>
      </c>
      <c r="G35" s="73">
        <v>439.4</v>
      </c>
      <c r="H35" s="24">
        <v>439.4</v>
      </c>
      <c r="I35" s="25">
        <v>439.3</v>
      </c>
      <c r="J35" s="25">
        <v>37.9</v>
      </c>
      <c r="K35" s="28" t="e">
        <f>J35/#REF!*100</f>
        <v>#REF!</v>
      </c>
      <c r="L35" s="28">
        <f t="shared" si="11"/>
        <v>8.625398270368684</v>
      </c>
      <c r="M35" s="69"/>
      <c r="N35" s="69"/>
      <c r="O35" s="24">
        <f t="shared" si="2"/>
        <v>8.627361711814249</v>
      </c>
      <c r="P35" s="28">
        <f t="shared" si="3"/>
        <v>8.625398270368684</v>
      </c>
      <c r="Q35" s="25">
        <f t="shared" si="4"/>
        <v>2.15647226173542</v>
      </c>
    </row>
    <row r="36" spans="1:17" ht="15" customHeight="1">
      <c r="A36" s="38" t="s">
        <v>42</v>
      </c>
      <c r="B36" s="38"/>
      <c r="C36" s="36" t="s">
        <v>43</v>
      </c>
      <c r="D36" s="73">
        <f t="shared" si="12"/>
        <v>616</v>
      </c>
      <c r="E36" s="73">
        <f t="shared" si="13"/>
        <v>154</v>
      </c>
      <c r="F36" s="73">
        <v>154</v>
      </c>
      <c r="G36" s="73">
        <v>154</v>
      </c>
      <c r="H36" s="24">
        <v>154</v>
      </c>
      <c r="I36" s="25">
        <v>154</v>
      </c>
      <c r="J36" s="25">
        <v>127</v>
      </c>
      <c r="K36" s="28"/>
      <c r="L36" s="28">
        <f t="shared" si="11"/>
        <v>82.46753246753246</v>
      </c>
      <c r="M36" s="69"/>
      <c r="N36" s="69"/>
      <c r="O36" s="24">
        <f t="shared" si="2"/>
        <v>82.46753246753246</v>
      </c>
      <c r="P36" s="28">
        <f t="shared" si="3"/>
        <v>82.46753246753246</v>
      </c>
      <c r="Q36" s="25">
        <f t="shared" si="4"/>
        <v>20.616883116883116</v>
      </c>
    </row>
    <row r="37" spans="1:17" ht="12.75">
      <c r="A37" s="37" t="s">
        <v>18</v>
      </c>
      <c r="B37" s="37"/>
      <c r="C37" s="36" t="s">
        <v>15</v>
      </c>
      <c r="D37" s="73">
        <f t="shared" si="12"/>
        <v>67.5</v>
      </c>
      <c r="E37" s="73">
        <f t="shared" si="13"/>
        <v>16.9</v>
      </c>
      <c r="F37" s="73">
        <v>16.9</v>
      </c>
      <c r="G37" s="73">
        <v>16.9</v>
      </c>
      <c r="H37" s="24">
        <v>16.9</v>
      </c>
      <c r="I37" s="25">
        <v>16.8</v>
      </c>
      <c r="J37" s="25">
        <v>8.6</v>
      </c>
      <c r="K37" s="28" t="e">
        <f>J37/#REF!*100</f>
        <v>#REF!</v>
      </c>
      <c r="L37" s="28">
        <f t="shared" si="11"/>
        <v>50.887573964497044</v>
      </c>
      <c r="M37" s="69"/>
      <c r="N37" s="69"/>
      <c r="O37" s="24">
        <f t="shared" si="2"/>
        <v>51.19047619047619</v>
      </c>
      <c r="P37" s="28">
        <f t="shared" si="3"/>
        <v>50.887573964497044</v>
      </c>
      <c r="Q37" s="25">
        <f t="shared" si="4"/>
        <v>12.74074074074074</v>
      </c>
    </row>
    <row r="38" spans="1:17" ht="15.75" customHeight="1">
      <c r="A38" s="39" t="s">
        <v>39</v>
      </c>
      <c r="B38" s="40"/>
      <c r="C38" s="23" t="s">
        <v>40</v>
      </c>
      <c r="D38" s="36"/>
      <c r="E38" s="73">
        <f t="shared" si="13"/>
        <v>0</v>
      </c>
      <c r="F38" s="73"/>
      <c r="G38" s="73"/>
      <c r="H38" s="24"/>
      <c r="I38" s="25"/>
      <c r="J38" s="25">
        <v>150.1</v>
      </c>
      <c r="K38" s="28"/>
      <c r="L38" s="28"/>
      <c r="M38" s="69"/>
      <c r="N38" s="69"/>
      <c r="O38" s="24" t="e">
        <f t="shared" si="2"/>
        <v>#DIV/0!</v>
      </c>
      <c r="P38" s="35"/>
      <c r="Q38" s="32"/>
    </row>
    <row r="39" spans="1:17" ht="12.75">
      <c r="A39" s="33" t="s">
        <v>1</v>
      </c>
      <c r="B39" s="33"/>
      <c r="C39" s="41" t="s">
        <v>0</v>
      </c>
      <c r="D39" s="42">
        <f>D40+D41</f>
        <v>19940.7</v>
      </c>
      <c r="E39" s="42">
        <f aca="true" t="shared" si="14" ref="E39:J39">E40+E41</f>
        <v>8355.1</v>
      </c>
      <c r="F39" s="42">
        <f t="shared" si="14"/>
        <v>8355.1</v>
      </c>
      <c r="G39" s="42">
        <f t="shared" si="14"/>
        <v>3861.9</v>
      </c>
      <c r="H39" s="42">
        <f t="shared" si="14"/>
        <v>3861.9</v>
      </c>
      <c r="I39" s="42">
        <f t="shared" si="14"/>
        <v>3861.8</v>
      </c>
      <c r="J39" s="42">
        <f t="shared" si="14"/>
        <v>1873</v>
      </c>
      <c r="K39" s="42" t="e">
        <f>K40</f>
        <v>#REF!</v>
      </c>
      <c r="L39" s="35">
        <f>J39/H39*100</f>
        <v>48.499443279214894</v>
      </c>
      <c r="M39" s="69"/>
      <c r="N39" s="69"/>
      <c r="O39" s="46">
        <f t="shared" si="2"/>
        <v>48.50069915583406</v>
      </c>
      <c r="P39" s="35">
        <f t="shared" si="3"/>
        <v>22.41744563200919</v>
      </c>
      <c r="Q39" s="32">
        <f t="shared" si="4"/>
        <v>9.392849799655979</v>
      </c>
    </row>
    <row r="40" spans="1:17" ht="24">
      <c r="A40" s="21" t="s">
        <v>67</v>
      </c>
      <c r="B40" s="19"/>
      <c r="C40" s="43" t="s">
        <v>20</v>
      </c>
      <c r="D40" s="73">
        <f>F40+G40+H40+I40</f>
        <v>19940.7</v>
      </c>
      <c r="E40" s="73">
        <f t="shared" si="13"/>
        <v>8355.1</v>
      </c>
      <c r="F40" s="49">
        <v>8355.1</v>
      </c>
      <c r="G40" s="49">
        <v>3861.9</v>
      </c>
      <c r="H40" s="24">
        <v>3861.9</v>
      </c>
      <c r="I40" s="49">
        <v>3861.8</v>
      </c>
      <c r="J40" s="25">
        <v>1940.8</v>
      </c>
      <c r="K40" s="28" t="e">
        <f>J40/#REF!*100</f>
        <v>#REF!</v>
      </c>
      <c r="L40" s="28">
        <f>J40/H40*100</f>
        <v>50.25505580154845</v>
      </c>
      <c r="M40" s="69"/>
      <c r="N40" s="69"/>
      <c r="O40" s="24">
        <f t="shared" si="2"/>
        <v>50.256357139157906</v>
      </c>
      <c r="P40" s="28">
        <f t="shared" si="3"/>
        <v>23.228926045170017</v>
      </c>
      <c r="Q40" s="25">
        <f t="shared" si="4"/>
        <v>9.7328579237439</v>
      </c>
    </row>
    <row r="41" spans="1:17" ht="23.25" customHeight="1">
      <c r="A41" s="21" t="s">
        <v>66</v>
      </c>
      <c r="B41" s="26"/>
      <c r="C41" s="27" t="s">
        <v>63</v>
      </c>
      <c r="D41" s="73">
        <f>F41+G41+H41+I41</f>
        <v>0</v>
      </c>
      <c r="E41" s="73">
        <f t="shared" si="13"/>
        <v>0</v>
      </c>
      <c r="F41" s="49"/>
      <c r="G41" s="49"/>
      <c r="H41" s="24"/>
      <c r="I41" s="49"/>
      <c r="J41" s="25">
        <v>-67.8</v>
      </c>
      <c r="K41" s="28"/>
      <c r="L41" s="28"/>
      <c r="M41" s="69"/>
      <c r="N41" s="69"/>
      <c r="O41" s="24"/>
      <c r="P41" s="28"/>
      <c r="Q41" s="25"/>
    </row>
    <row r="42" spans="1:17" ht="12.75">
      <c r="A42" s="29"/>
      <c r="B42" s="30"/>
      <c r="C42" s="31" t="s">
        <v>4</v>
      </c>
      <c r="D42" s="32">
        <f aca="true" t="shared" si="15" ref="D42:I42">D39+D30</f>
        <v>37437.2</v>
      </c>
      <c r="E42" s="32">
        <f t="shared" si="15"/>
        <v>12729.400000000001</v>
      </c>
      <c r="F42" s="32">
        <f t="shared" si="15"/>
        <v>12729.400000000001</v>
      </c>
      <c r="G42" s="32">
        <f t="shared" si="15"/>
        <v>8236.2</v>
      </c>
      <c r="H42" s="32">
        <f t="shared" si="15"/>
        <v>8236.2</v>
      </c>
      <c r="I42" s="32">
        <f t="shared" si="15"/>
        <v>8235.400000000001</v>
      </c>
      <c r="J42" s="32">
        <f>J39+J30</f>
        <v>4891.3</v>
      </c>
      <c r="K42" s="35" t="e">
        <f>J42/#REF!*100</f>
        <v>#REF!</v>
      </c>
      <c r="L42" s="35">
        <f>J42/H42*100</f>
        <v>59.3878244821641</v>
      </c>
      <c r="M42" s="69"/>
      <c r="N42" s="70" t="e">
        <f>I42+#REF!+#REF!</f>
        <v>#REF!</v>
      </c>
      <c r="O42" s="46">
        <f t="shared" si="2"/>
        <v>59.39359351094056</v>
      </c>
      <c r="P42" s="35">
        <f t="shared" si="3"/>
        <v>38.4252203560262</v>
      </c>
      <c r="Q42" s="32">
        <f t="shared" si="4"/>
        <v>13.065346767386451</v>
      </c>
    </row>
    <row r="43" spans="1:17" ht="12.75">
      <c r="A43" s="50"/>
      <c r="B43" s="51"/>
      <c r="C43" s="99"/>
      <c r="D43" s="99"/>
      <c r="E43" s="99"/>
      <c r="F43" s="99"/>
      <c r="G43" s="99"/>
      <c r="H43" s="99"/>
      <c r="I43" s="99"/>
      <c r="J43" s="99"/>
      <c r="K43" s="99"/>
      <c r="L43" s="100"/>
      <c r="M43" s="69"/>
      <c r="N43" s="69"/>
      <c r="O43" s="67"/>
      <c r="P43" s="35"/>
      <c r="Q43" s="32"/>
    </row>
    <row r="44" spans="1:17" ht="12.75">
      <c r="A44" s="95" t="s">
        <v>26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35"/>
      <c r="Q44" s="32"/>
    </row>
    <row r="45" spans="1:17" ht="12.75">
      <c r="A45" s="33" t="s">
        <v>3</v>
      </c>
      <c r="B45" s="33"/>
      <c r="C45" s="34" t="s">
        <v>68</v>
      </c>
      <c r="D45" s="35">
        <f>D46+D49+D51+D53+D54+D55+D50+D48+D47+D52</f>
        <v>17783.1</v>
      </c>
      <c r="E45" s="35">
        <f aca="true" t="shared" si="16" ref="E45:J45">E46+E49+E51+E53+E54+E55+E50+E48+E47+E52</f>
        <v>4352.599999999999</v>
      </c>
      <c r="F45" s="35">
        <f t="shared" si="16"/>
        <v>4352.599999999999</v>
      </c>
      <c r="G45" s="35">
        <f t="shared" si="16"/>
        <v>4276.299999999999</v>
      </c>
      <c r="H45" s="35">
        <f t="shared" si="16"/>
        <v>4291.299999999999</v>
      </c>
      <c r="I45" s="35">
        <f t="shared" si="16"/>
        <v>4862.9</v>
      </c>
      <c r="J45" s="35">
        <f t="shared" si="16"/>
        <v>3214.7000000000003</v>
      </c>
      <c r="K45" s="35" t="e">
        <f>J45/#REF!*100</f>
        <v>#REF!</v>
      </c>
      <c r="L45" s="35">
        <f>J45/H45*100</f>
        <v>74.91203131918068</v>
      </c>
      <c r="M45" s="69"/>
      <c r="N45" s="69"/>
      <c r="O45" s="35">
        <f t="shared" si="2"/>
        <v>66.1066441835119</v>
      </c>
      <c r="P45" s="35">
        <f t="shared" si="3"/>
        <v>73.85700500850068</v>
      </c>
      <c r="Q45" s="32">
        <f t="shared" si="4"/>
        <v>18.077275615612578</v>
      </c>
    </row>
    <row r="46" spans="1:17" ht="12.75">
      <c r="A46" s="29" t="s">
        <v>23</v>
      </c>
      <c r="B46" s="19"/>
      <c r="C46" s="47" t="s">
        <v>22</v>
      </c>
      <c r="D46" s="73">
        <f aca="true" t="shared" si="17" ref="D46:D59">F46+G46+H46+I46</f>
        <v>11950</v>
      </c>
      <c r="E46" s="73">
        <f aca="true" t="shared" si="18" ref="E46:E59">F46</f>
        <v>2664.1</v>
      </c>
      <c r="F46" s="73">
        <v>2664.1</v>
      </c>
      <c r="G46" s="73">
        <v>3091.2</v>
      </c>
      <c r="H46" s="24">
        <v>3091.2</v>
      </c>
      <c r="I46" s="25">
        <v>3103.5</v>
      </c>
      <c r="J46" s="48">
        <v>1842.2</v>
      </c>
      <c r="K46" s="28" t="e">
        <f>J46/#REF!*100</f>
        <v>#REF!</v>
      </c>
      <c r="L46" s="28">
        <f>J46/H46*100</f>
        <v>59.594979296066256</v>
      </c>
      <c r="M46" s="69"/>
      <c r="N46" s="69"/>
      <c r="O46" s="24">
        <f t="shared" si="2"/>
        <v>59.3587884646367</v>
      </c>
      <c r="P46" s="28">
        <f t="shared" si="3"/>
        <v>69.14905596636763</v>
      </c>
      <c r="Q46" s="25">
        <f t="shared" si="4"/>
        <v>15.415899581589958</v>
      </c>
    </row>
    <row r="47" spans="1:17" ht="12.75">
      <c r="A47" s="19" t="s">
        <v>70</v>
      </c>
      <c r="B47" s="19"/>
      <c r="C47" s="36" t="s">
        <v>71</v>
      </c>
      <c r="D47" s="73">
        <f t="shared" si="17"/>
        <v>3002.3</v>
      </c>
      <c r="E47" s="73">
        <f t="shared" si="18"/>
        <v>773.9</v>
      </c>
      <c r="F47" s="73">
        <v>773.9</v>
      </c>
      <c r="G47" s="73">
        <v>726</v>
      </c>
      <c r="H47" s="24">
        <v>726</v>
      </c>
      <c r="I47" s="25">
        <v>776.4</v>
      </c>
      <c r="J47" s="48">
        <v>360.6</v>
      </c>
      <c r="K47" s="28"/>
      <c r="L47" s="28"/>
      <c r="M47" s="69"/>
      <c r="N47" s="69"/>
      <c r="O47" s="24"/>
      <c r="P47" s="28">
        <f>J47*100/E47</f>
        <v>46.595167334280916</v>
      </c>
      <c r="Q47" s="25">
        <f>J47*100/D47</f>
        <v>12.010791726343136</v>
      </c>
    </row>
    <row r="48" spans="1:17" ht="12.75">
      <c r="A48" s="19" t="s">
        <v>8</v>
      </c>
      <c r="B48" s="19"/>
      <c r="C48" s="36" t="s">
        <v>5</v>
      </c>
      <c r="D48" s="73">
        <f t="shared" si="17"/>
        <v>13</v>
      </c>
      <c r="E48" s="73">
        <f t="shared" si="18"/>
        <v>3</v>
      </c>
      <c r="F48" s="73">
        <v>3</v>
      </c>
      <c r="G48" s="73">
        <v>3</v>
      </c>
      <c r="H48" s="24">
        <v>3</v>
      </c>
      <c r="I48" s="25">
        <v>4</v>
      </c>
      <c r="J48" s="48">
        <v>0</v>
      </c>
      <c r="K48" s="28" t="e">
        <f>J48/#REF!*100</f>
        <v>#REF!</v>
      </c>
      <c r="L48" s="28">
        <f>J48/H48*100</f>
        <v>0</v>
      </c>
      <c r="M48" s="69"/>
      <c r="N48" s="69"/>
      <c r="O48" s="24">
        <f t="shared" si="2"/>
        <v>0</v>
      </c>
      <c r="P48" s="28">
        <f t="shared" si="3"/>
        <v>0</v>
      </c>
      <c r="Q48" s="25">
        <f t="shared" si="4"/>
        <v>0</v>
      </c>
    </row>
    <row r="49" spans="1:17" ht="14.25" customHeight="1">
      <c r="A49" s="19" t="s">
        <v>9</v>
      </c>
      <c r="B49" s="19"/>
      <c r="C49" s="36" t="s">
        <v>6</v>
      </c>
      <c r="D49" s="73">
        <f t="shared" si="17"/>
        <v>1922.3</v>
      </c>
      <c r="E49" s="73">
        <f t="shared" si="18"/>
        <v>823.8</v>
      </c>
      <c r="F49" s="73">
        <v>823.8</v>
      </c>
      <c r="G49" s="73">
        <v>253</v>
      </c>
      <c r="H49" s="24">
        <v>253</v>
      </c>
      <c r="I49" s="25">
        <v>592.5</v>
      </c>
      <c r="J49" s="25">
        <v>892.8</v>
      </c>
      <c r="K49" s="28" t="e">
        <f>J49/#REF!*100</f>
        <v>#REF!</v>
      </c>
      <c r="L49" s="28">
        <f>J49/H49*100</f>
        <v>352.8853754940711</v>
      </c>
      <c r="M49" s="69"/>
      <c r="N49" s="69"/>
      <c r="O49" s="24">
        <f t="shared" si="2"/>
        <v>150.68354430379748</v>
      </c>
      <c r="P49" s="28">
        <f t="shared" si="3"/>
        <v>108.37581937363439</v>
      </c>
      <c r="Q49" s="25">
        <f t="shared" si="4"/>
        <v>46.444363522863235</v>
      </c>
    </row>
    <row r="50" spans="1:17" ht="18" customHeight="1" hidden="1">
      <c r="A50" s="19" t="s">
        <v>10</v>
      </c>
      <c r="B50" s="19"/>
      <c r="C50" s="36" t="s">
        <v>21</v>
      </c>
      <c r="D50" s="73">
        <f t="shared" si="17"/>
        <v>0</v>
      </c>
      <c r="E50" s="73">
        <f t="shared" si="18"/>
        <v>0</v>
      </c>
      <c r="F50" s="73"/>
      <c r="G50" s="73"/>
      <c r="H50" s="24"/>
      <c r="I50" s="25"/>
      <c r="J50" s="25"/>
      <c r="K50" s="28"/>
      <c r="L50" s="28"/>
      <c r="M50" s="69"/>
      <c r="N50" s="69"/>
      <c r="O50" s="24" t="e">
        <f t="shared" si="2"/>
        <v>#DIV/0!</v>
      </c>
      <c r="P50" s="28" t="e">
        <f t="shared" si="3"/>
        <v>#DIV/0!</v>
      </c>
      <c r="Q50" s="25" t="e">
        <f t="shared" si="4"/>
        <v>#DIV/0!</v>
      </c>
    </row>
    <row r="51" spans="1:17" ht="24">
      <c r="A51" s="20" t="s">
        <v>11</v>
      </c>
      <c r="B51" s="20"/>
      <c r="C51" s="36" t="s">
        <v>17</v>
      </c>
      <c r="D51" s="73">
        <f t="shared" si="17"/>
        <v>737.8</v>
      </c>
      <c r="E51" s="73">
        <f t="shared" si="18"/>
        <v>72.8</v>
      </c>
      <c r="F51" s="73">
        <v>72.8</v>
      </c>
      <c r="G51" s="73">
        <v>158.1</v>
      </c>
      <c r="H51" s="24">
        <v>173.1</v>
      </c>
      <c r="I51" s="25">
        <v>333.8</v>
      </c>
      <c r="J51" s="25">
        <v>31.8</v>
      </c>
      <c r="K51" s="28" t="e">
        <f>J51/#REF!*100</f>
        <v>#REF!</v>
      </c>
      <c r="L51" s="28">
        <f>J51/H51*100</f>
        <v>18.370883882149048</v>
      </c>
      <c r="M51" s="69"/>
      <c r="N51" s="69"/>
      <c r="O51" s="24">
        <f t="shared" si="2"/>
        <v>9.526662672258837</v>
      </c>
      <c r="P51" s="28">
        <f t="shared" si="3"/>
        <v>43.681318681318686</v>
      </c>
      <c r="Q51" s="25">
        <f t="shared" si="4"/>
        <v>4.310111141230686</v>
      </c>
    </row>
    <row r="52" spans="1:17" ht="12.75">
      <c r="A52" s="38" t="s">
        <v>42</v>
      </c>
      <c r="B52" s="38"/>
      <c r="C52" s="36" t="s">
        <v>43</v>
      </c>
      <c r="D52" s="73"/>
      <c r="E52" s="73"/>
      <c r="F52" s="73"/>
      <c r="G52" s="73"/>
      <c r="H52" s="24"/>
      <c r="I52" s="25"/>
      <c r="J52" s="25">
        <v>75</v>
      </c>
      <c r="K52" s="28"/>
      <c r="L52" s="28"/>
      <c r="M52" s="69"/>
      <c r="N52" s="69"/>
      <c r="O52" s="24"/>
      <c r="P52" s="28"/>
      <c r="Q52" s="25"/>
    </row>
    <row r="53" spans="1:17" ht="12.75">
      <c r="A53" s="38" t="s">
        <v>18</v>
      </c>
      <c r="B53" s="38"/>
      <c r="C53" s="36" t="s">
        <v>15</v>
      </c>
      <c r="D53" s="73">
        <f t="shared" si="17"/>
        <v>150</v>
      </c>
      <c r="E53" s="73">
        <f t="shared" si="18"/>
        <v>15</v>
      </c>
      <c r="F53" s="73">
        <v>15</v>
      </c>
      <c r="G53" s="73">
        <v>45</v>
      </c>
      <c r="H53" s="24">
        <v>45</v>
      </c>
      <c r="I53" s="25">
        <v>45</v>
      </c>
      <c r="J53" s="25">
        <v>12.3</v>
      </c>
      <c r="K53" s="28" t="e">
        <f>J53/#REF!*100</f>
        <v>#REF!</v>
      </c>
      <c r="L53" s="28">
        <f>J53/H53*100</f>
        <v>27.333333333333336</v>
      </c>
      <c r="M53" s="69"/>
      <c r="N53" s="69"/>
      <c r="O53" s="24">
        <f t="shared" si="2"/>
        <v>27.333333333333332</v>
      </c>
      <c r="P53" s="28">
        <f t="shared" si="3"/>
        <v>82</v>
      </c>
      <c r="Q53" s="25">
        <f t="shared" si="4"/>
        <v>8.2</v>
      </c>
    </row>
    <row r="54" spans="1:17" ht="16.5" customHeight="1">
      <c r="A54" s="29" t="s">
        <v>12</v>
      </c>
      <c r="B54" s="29"/>
      <c r="C54" s="36" t="s">
        <v>7</v>
      </c>
      <c r="D54" s="73">
        <f t="shared" si="17"/>
        <v>7.7</v>
      </c>
      <c r="E54" s="73">
        <f t="shared" si="18"/>
        <v>0</v>
      </c>
      <c r="F54" s="73"/>
      <c r="G54" s="73"/>
      <c r="H54" s="24"/>
      <c r="I54" s="25">
        <v>7.7</v>
      </c>
      <c r="J54" s="25">
        <v>0</v>
      </c>
      <c r="K54" s="28" t="e">
        <f>J54/#REF!*100</f>
        <v>#REF!</v>
      </c>
      <c r="L54" s="28"/>
      <c r="M54" s="69"/>
      <c r="N54" s="69"/>
      <c r="O54" s="24">
        <f t="shared" si="2"/>
        <v>0</v>
      </c>
      <c r="P54" s="28"/>
      <c r="Q54" s="25">
        <f t="shared" si="4"/>
        <v>0</v>
      </c>
    </row>
    <row r="55" spans="1:17" ht="14.25" customHeight="1">
      <c r="A55" s="52" t="s">
        <v>39</v>
      </c>
      <c r="B55" s="40"/>
      <c r="C55" s="23" t="s">
        <v>40</v>
      </c>
      <c r="D55" s="73">
        <f t="shared" si="17"/>
        <v>0</v>
      </c>
      <c r="E55" s="73">
        <f t="shared" si="18"/>
        <v>0</v>
      </c>
      <c r="F55" s="73"/>
      <c r="G55" s="73"/>
      <c r="H55" s="24"/>
      <c r="I55" s="25"/>
      <c r="J55" s="25">
        <v>0</v>
      </c>
      <c r="K55" s="28"/>
      <c r="L55" s="28"/>
      <c r="M55" s="69"/>
      <c r="N55" s="69"/>
      <c r="O55" s="24" t="e">
        <f t="shared" si="2"/>
        <v>#DIV/0!</v>
      </c>
      <c r="P55" s="28"/>
      <c r="Q55" s="25"/>
    </row>
    <row r="56" spans="1:17" ht="12.75">
      <c r="A56" s="45" t="s">
        <v>1</v>
      </c>
      <c r="B56" s="45"/>
      <c r="C56" s="41" t="s">
        <v>0</v>
      </c>
      <c r="D56" s="42">
        <f>D57+D59+D58</f>
        <v>26626.7</v>
      </c>
      <c r="E56" s="42">
        <f aca="true" t="shared" si="19" ref="E56:O56">E57+E59+E58</f>
        <v>11999.8</v>
      </c>
      <c r="F56" s="42">
        <f t="shared" si="19"/>
        <v>11999.8</v>
      </c>
      <c r="G56" s="42">
        <f t="shared" si="19"/>
        <v>4877.2</v>
      </c>
      <c r="H56" s="42">
        <f t="shared" si="19"/>
        <v>4877.2</v>
      </c>
      <c r="I56" s="42">
        <f t="shared" si="19"/>
        <v>4872.5</v>
      </c>
      <c r="J56" s="42">
        <f t="shared" si="19"/>
        <v>2318.6</v>
      </c>
      <c r="K56" s="42" t="e">
        <f t="shared" si="19"/>
        <v>#REF!</v>
      </c>
      <c r="L56" s="42">
        <f t="shared" si="19"/>
        <v>47.53957188550808</v>
      </c>
      <c r="M56" s="42">
        <f t="shared" si="19"/>
        <v>0.1</v>
      </c>
      <c r="N56" s="42">
        <f t="shared" si="19"/>
        <v>0</v>
      </c>
      <c r="O56" s="42" t="e">
        <f t="shared" si="19"/>
        <v>#DIV/0!</v>
      </c>
      <c r="P56" s="35">
        <f t="shared" si="3"/>
        <v>19.321988699811666</v>
      </c>
      <c r="Q56" s="32">
        <f t="shared" si="4"/>
        <v>8.70780081647369</v>
      </c>
    </row>
    <row r="57" spans="1:17" ht="24">
      <c r="A57" s="21" t="s">
        <v>67</v>
      </c>
      <c r="B57" s="19"/>
      <c r="C57" s="43" t="s">
        <v>20</v>
      </c>
      <c r="D57" s="73">
        <f t="shared" si="17"/>
        <v>26626.7</v>
      </c>
      <c r="E57" s="73">
        <f t="shared" si="18"/>
        <v>11999.8</v>
      </c>
      <c r="F57" s="49">
        <v>11999.8</v>
      </c>
      <c r="G57" s="49">
        <v>4877.2</v>
      </c>
      <c r="H57" s="24">
        <v>4877.2</v>
      </c>
      <c r="I57" s="24">
        <v>4872.5</v>
      </c>
      <c r="J57" s="25">
        <v>2318.6</v>
      </c>
      <c r="K57" s="28" t="e">
        <f>J57/#REF!*100</f>
        <v>#REF!</v>
      </c>
      <c r="L57" s="28">
        <f>J57/H57*100</f>
        <v>47.53957188550808</v>
      </c>
      <c r="M57" s="69">
        <v>0.1</v>
      </c>
      <c r="N57" s="69"/>
      <c r="O57" s="24">
        <f t="shared" si="2"/>
        <v>47.585428424833246</v>
      </c>
      <c r="P57" s="28">
        <f t="shared" si="3"/>
        <v>19.321988699811666</v>
      </c>
      <c r="Q57" s="25">
        <f t="shared" si="4"/>
        <v>8.70780081647369</v>
      </c>
    </row>
    <row r="58" spans="1:17" ht="12.75" hidden="1">
      <c r="A58" s="21" t="s">
        <v>2</v>
      </c>
      <c r="B58" s="21"/>
      <c r="C58" s="44" t="s">
        <v>19</v>
      </c>
      <c r="D58" s="73">
        <f>F58+G58+H58+I58</f>
        <v>0</v>
      </c>
      <c r="E58" s="73">
        <f t="shared" si="18"/>
        <v>0</v>
      </c>
      <c r="F58" s="49"/>
      <c r="G58" s="49"/>
      <c r="H58" s="24"/>
      <c r="I58" s="67"/>
      <c r="J58" s="25"/>
      <c r="K58" s="28"/>
      <c r="L58" s="28"/>
      <c r="M58" s="69"/>
      <c r="N58" s="69"/>
      <c r="O58" s="24"/>
      <c r="P58" s="28" t="e">
        <f t="shared" si="3"/>
        <v>#DIV/0!</v>
      </c>
      <c r="Q58" s="25" t="e">
        <f t="shared" si="4"/>
        <v>#DIV/0!</v>
      </c>
    </row>
    <row r="59" spans="1:17" ht="24" hidden="1">
      <c r="A59" s="21" t="s">
        <v>66</v>
      </c>
      <c r="B59" s="26"/>
      <c r="C59" s="27" t="s">
        <v>63</v>
      </c>
      <c r="D59" s="73">
        <f t="shared" si="17"/>
        <v>0</v>
      </c>
      <c r="E59" s="73">
        <f t="shared" si="18"/>
        <v>0</v>
      </c>
      <c r="F59" s="77"/>
      <c r="G59" s="77"/>
      <c r="H59" s="24"/>
      <c r="I59" s="67"/>
      <c r="J59" s="25"/>
      <c r="K59" s="28" t="e">
        <f>J59/#REF!*100</f>
        <v>#REF!</v>
      </c>
      <c r="L59" s="28"/>
      <c r="M59" s="69"/>
      <c r="N59" s="69"/>
      <c r="O59" s="24" t="e">
        <f t="shared" si="2"/>
        <v>#DIV/0!</v>
      </c>
      <c r="P59" s="28"/>
      <c r="Q59" s="25"/>
    </row>
    <row r="60" spans="1:17" ht="12.75">
      <c r="A60" s="20"/>
      <c r="B60" s="53"/>
      <c r="C60" s="54" t="s">
        <v>4</v>
      </c>
      <c r="D60" s="55">
        <f aca="true" t="shared" si="20" ref="D60:J60">D56+D45</f>
        <v>44409.8</v>
      </c>
      <c r="E60" s="55">
        <f t="shared" si="20"/>
        <v>16352.399999999998</v>
      </c>
      <c r="F60" s="55">
        <f t="shared" si="20"/>
        <v>16352.399999999998</v>
      </c>
      <c r="G60" s="55">
        <f t="shared" si="20"/>
        <v>9153.5</v>
      </c>
      <c r="H60" s="55">
        <f t="shared" si="20"/>
        <v>9168.5</v>
      </c>
      <c r="I60" s="55">
        <f t="shared" si="20"/>
        <v>9735.4</v>
      </c>
      <c r="J60" s="55">
        <f t="shared" si="20"/>
        <v>5533.3</v>
      </c>
      <c r="K60" s="35" t="e">
        <f>J60/#REF!*100</f>
        <v>#REF!</v>
      </c>
      <c r="L60" s="35">
        <f>J60/H60*100</f>
        <v>60.35120248677538</v>
      </c>
      <c r="M60" s="69"/>
      <c r="N60" s="70" t="e">
        <f>I60+#REF!+#REF!</f>
        <v>#REF!</v>
      </c>
      <c r="O60" s="46">
        <f t="shared" si="2"/>
        <v>56.83690449288165</v>
      </c>
      <c r="P60" s="35">
        <f t="shared" si="3"/>
        <v>33.83784643232798</v>
      </c>
      <c r="Q60" s="32">
        <f t="shared" si="4"/>
        <v>12.459637287265423</v>
      </c>
    </row>
    <row r="61" spans="1:17" ht="12.75">
      <c r="A61" s="96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8"/>
      <c r="M61" s="69"/>
      <c r="N61" s="69"/>
      <c r="O61" s="67"/>
      <c r="P61" s="35"/>
      <c r="Q61" s="32"/>
    </row>
    <row r="62" spans="1:17" ht="12.75">
      <c r="A62" s="95" t="s">
        <v>27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35"/>
      <c r="Q62" s="32"/>
    </row>
    <row r="63" spans="1:17" ht="12.75">
      <c r="A63" s="45" t="s">
        <v>3</v>
      </c>
      <c r="B63" s="45"/>
      <c r="C63" s="68" t="s">
        <v>68</v>
      </c>
      <c r="D63" s="46">
        <f>D64+D67+D69+D71+D68+D73+D72+D66+D70+D65</f>
        <v>38555.1</v>
      </c>
      <c r="E63" s="46">
        <f>E64+E67+E69+E71+E68+E73+E72+E66+E70+E65</f>
        <v>8823.1</v>
      </c>
      <c r="F63" s="46">
        <f aca="true" t="shared" si="21" ref="F63:O63">F64+F67+F69+F71+F68+F73+F72+F66+F70+F65</f>
        <v>8823.1</v>
      </c>
      <c r="G63" s="46">
        <f t="shared" si="21"/>
        <v>8567.2</v>
      </c>
      <c r="H63" s="46">
        <f t="shared" si="21"/>
        <v>9508.5</v>
      </c>
      <c r="I63" s="46">
        <f t="shared" si="21"/>
        <v>11656.3</v>
      </c>
      <c r="J63" s="46">
        <f t="shared" si="21"/>
        <v>4649.8</v>
      </c>
      <c r="K63" s="46" t="e">
        <f t="shared" si="21"/>
        <v>#REF!</v>
      </c>
      <c r="L63" s="46">
        <f t="shared" si="21"/>
        <v>470.48701696066024</v>
      </c>
      <c r="M63" s="46">
        <f t="shared" si="21"/>
        <v>0</v>
      </c>
      <c r="N63" s="46">
        <f t="shared" si="21"/>
        <v>0</v>
      </c>
      <c r="O63" s="46" t="e">
        <f t="shared" si="21"/>
        <v>#DIV/0!</v>
      </c>
      <c r="P63" s="35">
        <f t="shared" si="3"/>
        <v>52.70029808117328</v>
      </c>
      <c r="Q63" s="32">
        <f t="shared" si="4"/>
        <v>12.06014249736092</v>
      </c>
    </row>
    <row r="64" spans="1:17" ht="12.75">
      <c r="A64" s="19" t="s">
        <v>23</v>
      </c>
      <c r="B64" s="19"/>
      <c r="C64" s="47" t="s">
        <v>22</v>
      </c>
      <c r="D64" s="73">
        <f>F64+G64+H64+I64</f>
        <v>18720</v>
      </c>
      <c r="E64" s="73">
        <f aca="true" t="shared" si="22" ref="E64:E76">F64</f>
        <v>4530</v>
      </c>
      <c r="F64" s="78">
        <v>4530</v>
      </c>
      <c r="G64" s="78">
        <v>4580</v>
      </c>
      <c r="H64" s="28">
        <v>4747</v>
      </c>
      <c r="I64" s="28">
        <v>4863</v>
      </c>
      <c r="J64" s="28">
        <v>2738.4</v>
      </c>
      <c r="K64" s="28" t="e">
        <f>J64/#REF!*100</f>
        <v>#REF!</v>
      </c>
      <c r="L64" s="28">
        <f aca="true" t="shared" si="23" ref="L64:L71">J64/H64*100</f>
        <v>57.686960185380244</v>
      </c>
      <c r="M64" s="69"/>
      <c r="N64" s="69"/>
      <c r="O64" s="28">
        <f t="shared" si="2"/>
        <v>56.310919185687844</v>
      </c>
      <c r="P64" s="28">
        <f t="shared" si="3"/>
        <v>60.450331125827816</v>
      </c>
      <c r="Q64" s="25">
        <f t="shared" si="4"/>
        <v>14.628205128205128</v>
      </c>
    </row>
    <row r="65" spans="1:17" ht="12.75">
      <c r="A65" s="19" t="s">
        <v>70</v>
      </c>
      <c r="B65" s="19"/>
      <c r="C65" s="36" t="s">
        <v>71</v>
      </c>
      <c r="D65" s="73">
        <f>F65+G65+H65+I65</f>
        <v>5209.6</v>
      </c>
      <c r="E65" s="73">
        <f t="shared" si="22"/>
        <v>1295.1</v>
      </c>
      <c r="F65" s="78">
        <v>1295.1</v>
      </c>
      <c r="G65" s="78">
        <v>1264</v>
      </c>
      <c r="H65" s="28">
        <v>1345.1</v>
      </c>
      <c r="I65" s="28">
        <v>1305.4</v>
      </c>
      <c r="J65" s="28">
        <v>625.7</v>
      </c>
      <c r="K65" s="28"/>
      <c r="L65" s="28"/>
      <c r="M65" s="69"/>
      <c r="N65" s="69"/>
      <c r="O65" s="28"/>
      <c r="P65" s="28">
        <f>J65*100/E65</f>
        <v>48.312871592927195</v>
      </c>
      <c r="Q65" s="25">
        <f>J65*100/D65</f>
        <v>12.010519041769042</v>
      </c>
    </row>
    <row r="66" spans="1:17" ht="12.75">
      <c r="A66" s="19" t="s">
        <v>8</v>
      </c>
      <c r="B66" s="19"/>
      <c r="C66" s="36" t="s">
        <v>5</v>
      </c>
      <c r="D66" s="73">
        <f aca="true" t="shared" si="24" ref="D66:D76">F66+G66+H66+I66</f>
        <v>47</v>
      </c>
      <c r="E66" s="73">
        <f t="shared" si="22"/>
        <v>11.7</v>
      </c>
      <c r="F66" s="49">
        <v>11.7</v>
      </c>
      <c r="G66" s="49">
        <v>11.8</v>
      </c>
      <c r="H66" s="24">
        <v>11.7</v>
      </c>
      <c r="I66" s="24">
        <v>11.8</v>
      </c>
      <c r="J66" s="24">
        <v>0</v>
      </c>
      <c r="K66" s="28" t="e">
        <f>J66/#REF!*100</f>
        <v>#REF!</v>
      </c>
      <c r="L66" s="28">
        <f t="shared" si="23"/>
        <v>0</v>
      </c>
      <c r="M66" s="69"/>
      <c r="N66" s="69"/>
      <c r="O66" s="24">
        <f t="shared" si="2"/>
        <v>0</v>
      </c>
      <c r="P66" s="28">
        <f t="shared" si="3"/>
        <v>0</v>
      </c>
      <c r="Q66" s="25">
        <f t="shared" si="4"/>
        <v>0</v>
      </c>
    </row>
    <row r="67" spans="1:17" ht="12.75">
      <c r="A67" s="19" t="s">
        <v>9</v>
      </c>
      <c r="B67" s="19"/>
      <c r="C67" s="36" t="s">
        <v>6</v>
      </c>
      <c r="D67" s="73">
        <f t="shared" si="24"/>
        <v>7580</v>
      </c>
      <c r="E67" s="73">
        <f t="shared" si="22"/>
        <v>1260</v>
      </c>
      <c r="F67" s="49">
        <v>1260</v>
      </c>
      <c r="G67" s="49">
        <v>980</v>
      </c>
      <c r="H67" s="24">
        <v>1670</v>
      </c>
      <c r="I67" s="24">
        <v>3670</v>
      </c>
      <c r="J67" s="24">
        <v>940.4</v>
      </c>
      <c r="K67" s="28" t="e">
        <f>J67/#REF!*100</f>
        <v>#REF!</v>
      </c>
      <c r="L67" s="28">
        <f t="shared" si="23"/>
        <v>56.31137724550898</v>
      </c>
      <c r="M67" s="69"/>
      <c r="N67" s="69"/>
      <c r="O67" s="24">
        <f t="shared" si="2"/>
        <v>25.623978201634877</v>
      </c>
      <c r="P67" s="28">
        <f t="shared" si="3"/>
        <v>74.63492063492063</v>
      </c>
      <c r="Q67" s="25">
        <f t="shared" si="4"/>
        <v>12.406332453825858</v>
      </c>
    </row>
    <row r="68" spans="1:17" ht="18.75" customHeight="1">
      <c r="A68" s="19" t="s">
        <v>10</v>
      </c>
      <c r="B68" s="19"/>
      <c r="C68" s="36" t="s">
        <v>21</v>
      </c>
      <c r="D68" s="73">
        <f t="shared" si="24"/>
        <v>16</v>
      </c>
      <c r="E68" s="73">
        <f t="shared" si="22"/>
        <v>1</v>
      </c>
      <c r="F68" s="49">
        <v>1</v>
      </c>
      <c r="G68" s="49">
        <v>6</v>
      </c>
      <c r="H68" s="24">
        <v>9</v>
      </c>
      <c r="I68" s="24"/>
      <c r="J68" s="24">
        <v>32</v>
      </c>
      <c r="K68" s="28"/>
      <c r="L68" s="28">
        <f t="shared" si="23"/>
        <v>355.55555555555554</v>
      </c>
      <c r="M68" s="69"/>
      <c r="N68" s="69"/>
      <c r="O68" s="24" t="e">
        <f t="shared" si="2"/>
        <v>#DIV/0!</v>
      </c>
      <c r="P68" s="28">
        <f>J68*100/E68</f>
        <v>3200</v>
      </c>
      <c r="Q68" s="25">
        <f>J68*100/D68</f>
        <v>200</v>
      </c>
    </row>
    <row r="69" spans="1:17" ht="24">
      <c r="A69" s="20" t="s">
        <v>11</v>
      </c>
      <c r="B69" s="20"/>
      <c r="C69" s="36" t="s">
        <v>17</v>
      </c>
      <c r="D69" s="73">
        <f t="shared" si="24"/>
        <v>6807.5</v>
      </c>
      <c r="E69" s="73">
        <f t="shared" si="22"/>
        <v>1681.8</v>
      </c>
      <c r="F69" s="49">
        <v>1681.8</v>
      </c>
      <c r="G69" s="49">
        <v>1681.9</v>
      </c>
      <c r="H69" s="24">
        <v>1682.2</v>
      </c>
      <c r="I69" s="24">
        <v>1761.6</v>
      </c>
      <c r="J69" s="24">
        <v>321.2</v>
      </c>
      <c r="K69" s="28" t="e">
        <f>J69/#REF!*100</f>
        <v>#REF!</v>
      </c>
      <c r="L69" s="28">
        <f t="shared" si="23"/>
        <v>19.094043514445367</v>
      </c>
      <c r="M69" s="69"/>
      <c r="N69" s="69"/>
      <c r="O69" s="24">
        <f t="shared" si="2"/>
        <v>18.23342415985468</v>
      </c>
      <c r="P69" s="28">
        <f t="shared" si="3"/>
        <v>19.098584849565942</v>
      </c>
      <c r="Q69" s="25">
        <f t="shared" si="4"/>
        <v>4.718325376423063</v>
      </c>
    </row>
    <row r="70" spans="1:17" ht="12.75" hidden="1">
      <c r="A70" s="38" t="s">
        <v>42</v>
      </c>
      <c r="B70" s="38"/>
      <c r="C70" s="36" t="s">
        <v>43</v>
      </c>
      <c r="D70" s="73">
        <f t="shared" si="24"/>
        <v>0</v>
      </c>
      <c r="E70" s="73">
        <f t="shared" si="22"/>
        <v>0</v>
      </c>
      <c r="F70" s="49"/>
      <c r="G70" s="49"/>
      <c r="H70" s="24"/>
      <c r="I70" s="24"/>
      <c r="J70" s="24"/>
      <c r="K70" s="28" t="e">
        <f>J70/#REF!*100</f>
        <v>#REF!</v>
      </c>
      <c r="L70" s="28"/>
      <c r="M70" s="69"/>
      <c r="N70" s="69"/>
      <c r="O70" s="24" t="e">
        <f t="shared" si="2"/>
        <v>#DIV/0!</v>
      </c>
      <c r="P70" s="28"/>
      <c r="Q70" s="25"/>
    </row>
    <row r="71" spans="1:17" ht="12.75">
      <c r="A71" s="37" t="s">
        <v>18</v>
      </c>
      <c r="B71" s="37"/>
      <c r="C71" s="36" t="s">
        <v>15</v>
      </c>
      <c r="D71" s="73">
        <f t="shared" si="24"/>
        <v>175</v>
      </c>
      <c r="E71" s="73">
        <f t="shared" si="22"/>
        <v>43.5</v>
      </c>
      <c r="F71" s="49">
        <v>43.5</v>
      </c>
      <c r="G71" s="49">
        <v>43.5</v>
      </c>
      <c r="H71" s="24">
        <v>43.5</v>
      </c>
      <c r="I71" s="24">
        <v>44.5</v>
      </c>
      <c r="J71" s="24">
        <v>-7.9</v>
      </c>
      <c r="K71" s="28" t="e">
        <f>J71/#REF!*100</f>
        <v>#REF!</v>
      </c>
      <c r="L71" s="28">
        <f t="shared" si="23"/>
        <v>-18.160919540229887</v>
      </c>
      <c r="M71" s="69"/>
      <c r="N71" s="69"/>
      <c r="O71" s="24">
        <f t="shared" si="2"/>
        <v>-17.752808988764045</v>
      </c>
      <c r="P71" s="28">
        <f t="shared" si="3"/>
        <v>-18.160919540229884</v>
      </c>
      <c r="Q71" s="25">
        <f t="shared" si="4"/>
        <v>-4.514285714285714</v>
      </c>
    </row>
    <row r="72" spans="1:17" ht="12" customHeight="1" hidden="1">
      <c r="A72" s="29" t="s">
        <v>12</v>
      </c>
      <c r="B72" s="29"/>
      <c r="C72" s="36" t="s">
        <v>7</v>
      </c>
      <c r="D72" s="73">
        <f t="shared" si="24"/>
        <v>0</v>
      </c>
      <c r="E72" s="73">
        <f t="shared" si="22"/>
        <v>0</v>
      </c>
      <c r="F72" s="49"/>
      <c r="G72" s="49"/>
      <c r="H72" s="24"/>
      <c r="I72" s="24"/>
      <c r="J72" s="24"/>
      <c r="K72" s="28"/>
      <c r="L72" s="28"/>
      <c r="M72" s="69"/>
      <c r="N72" s="69"/>
      <c r="O72" s="24" t="e">
        <f t="shared" si="2"/>
        <v>#DIV/0!</v>
      </c>
      <c r="P72" s="28"/>
      <c r="Q72" s="25"/>
    </row>
    <row r="73" spans="1:17" ht="12.75">
      <c r="A73" s="39" t="s">
        <v>39</v>
      </c>
      <c r="B73" s="40"/>
      <c r="C73" s="23" t="s">
        <v>40</v>
      </c>
      <c r="D73" s="73">
        <f t="shared" si="24"/>
        <v>0</v>
      </c>
      <c r="E73" s="73">
        <f t="shared" si="22"/>
        <v>0</v>
      </c>
      <c r="F73" s="49"/>
      <c r="G73" s="49"/>
      <c r="H73" s="24"/>
      <c r="I73" s="24"/>
      <c r="J73" s="24">
        <v>0</v>
      </c>
      <c r="K73" s="28"/>
      <c r="L73" s="28"/>
      <c r="M73" s="69"/>
      <c r="N73" s="69"/>
      <c r="O73" s="24" t="e">
        <f t="shared" si="2"/>
        <v>#DIV/0!</v>
      </c>
      <c r="P73" s="28"/>
      <c r="Q73" s="25"/>
    </row>
    <row r="74" spans="1:17" ht="12.75">
      <c r="A74" s="33" t="s">
        <v>1</v>
      </c>
      <c r="B74" s="33"/>
      <c r="C74" s="41" t="s">
        <v>0</v>
      </c>
      <c r="D74" s="42">
        <f aca="true" t="shared" si="25" ref="D74:J74">D75+D76</f>
        <v>32142.2</v>
      </c>
      <c r="E74" s="42">
        <f t="shared" si="25"/>
        <v>15005.1</v>
      </c>
      <c r="F74" s="42">
        <f t="shared" si="25"/>
        <v>15005.1</v>
      </c>
      <c r="G74" s="42">
        <f t="shared" si="25"/>
        <v>6340.2</v>
      </c>
      <c r="H74" s="42">
        <f t="shared" si="25"/>
        <v>5775.2</v>
      </c>
      <c r="I74" s="42">
        <f t="shared" si="25"/>
        <v>5021.7</v>
      </c>
      <c r="J74" s="42">
        <f t="shared" si="25"/>
        <v>2680.5</v>
      </c>
      <c r="K74" s="35" t="e">
        <f>J74/#REF!*100</f>
        <v>#REF!</v>
      </c>
      <c r="L74" s="35">
        <f>J74/H74*100</f>
        <v>46.41397700512537</v>
      </c>
      <c r="M74" s="69"/>
      <c r="N74" s="69"/>
      <c r="O74" s="46">
        <f t="shared" si="2"/>
        <v>53.37833801302348</v>
      </c>
      <c r="P74" s="35">
        <f t="shared" si="3"/>
        <v>17.863926265069875</v>
      </c>
      <c r="Q74" s="32">
        <f t="shared" si="4"/>
        <v>8.339503829856078</v>
      </c>
    </row>
    <row r="75" spans="1:17" ht="24">
      <c r="A75" s="21" t="s">
        <v>67</v>
      </c>
      <c r="B75" s="19"/>
      <c r="C75" s="43" t="s">
        <v>20</v>
      </c>
      <c r="D75" s="73">
        <f t="shared" si="24"/>
        <v>32142.2</v>
      </c>
      <c r="E75" s="73">
        <f t="shared" si="22"/>
        <v>15005.1</v>
      </c>
      <c r="F75" s="49">
        <v>15005.1</v>
      </c>
      <c r="G75" s="49">
        <v>6340.2</v>
      </c>
      <c r="H75" s="24">
        <v>5775.2</v>
      </c>
      <c r="I75" s="25">
        <v>5021.7</v>
      </c>
      <c r="J75" s="25">
        <v>2680.5</v>
      </c>
      <c r="K75" s="28" t="e">
        <f>J75/#REF!*100</f>
        <v>#REF!</v>
      </c>
      <c r="L75" s="28">
        <f>J75/H75*100</f>
        <v>46.41397700512537</v>
      </c>
      <c r="M75" s="69"/>
      <c r="N75" s="69"/>
      <c r="O75" s="24">
        <f t="shared" si="2"/>
        <v>53.37833801302348</v>
      </c>
      <c r="P75" s="28">
        <f t="shared" si="3"/>
        <v>17.863926265069875</v>
      </c>
      <c r="Q75" s="25">
        <f t="shared" si="4"/>
        <v>8.339503829856078</v>
      </c>
    </row>
    <row r="76" spans="1:17" ht="24" hidden="1">
      <c r="A76" s="21" t="s">
        <v>66</v>
      </c>
      <c r="B76" s="26"/>
      <c r="C76" s="27" t="s">
        <v>63</v>
      </c>
      <c r="D76" s="73">
        <f t="shared" si="24"/>
        <v>0</v>
      </c>
      <c r="E76" s="73">
        <f t="shared" si="22"/>
        <v>0</v>
      </c>
      <c r="F76" s="77"/>
      <c r="G76" s="77"/>
      <c r="H76" s="24"/>
      <c r="I76" s="25"/>
      <c r="J76" s="25"/>
      <c r="K76" s="28" t="e">
        <f>J76/#REF!*100</f>
        <v>#REF!</v>
      </c>
      <c r="L76" s="28"/>
      <c r="M76" s="69"/>
      <c r="N76" s="69"/>
      <c r="O76" s="24" t="e">
        <f t="shared" si="2"/>
        <v>#DIV/0!</v>
      </c>
      <c r="P76" s="35"/>
      <c r="Q76" s="32"/>
    </row>
    <row r="77" spans="1:17" ht="12.75">
      <c r="A77" s="29"/>
      <c r="B77" s="30"/>
      <c r="C77" s="31" t="s">
        <v>4</v>
      </c>
      <c r="D77" s="32">
        <f aca="true" t="shared" si="26" ref="D77:K77">D74+D63</f>
        <v>70697.3</v>
      </c>
      <c r="E77" s="32">
        <f t="shared" si="26"/>
        <v>23828.2</v>
      </c>
      <c r="F77" s="32">
        <f t="shared" si="26"/>
        <v>23828.2</v>
      </c>
      <c r="G77" s="32">
        <f t="shared" si="26"/>
        <v>14907.400000000001</v>
      </c>
      <c r="H77" s="32">
        <f t="shared" si="26"/>
        <v>15283.7</v>
      </c>
      <c r="I77" s="32">
        <f t="shared" si="26"/>
        <v>16678</v>
      </c>
      <c r="J77" s="32">
        <f t="shared" si="26"/>
        <v>7330.3</v>
      </c>
      <c r="K77" s="32" t="e">
        <f t="shared" si="26"/>
        <v>#REF!</v>
      </c>
      <c r="L77" s="35">
        <f>J77/H77*100</f>
        <v>47.96155381223133</v>
      </c>
      <c r="M77" s="69"/>
      <c r="N77" s="70" t="e">
        <f>I77+#REF!+#REF!</f>
        <v>#REF!</v>
      </c>
      <c r="O77" s="46">
        <f t="shared" si="2"/>
        <v>43.951912699364435</v>
      </c>
      <c r="P77" s="35">
        <f t="shared" si="3"/>
        <v>30.763129401297622</v>
      </c>
      <c r="Q77" s="32">
        <f t="shared" si="4"/>
        <v>10.368571359868056</v>
      </c>
    </row>
    <row r="78" spans="1:17" ht="12.75">
      <c r="A78" s="96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8"/>
      <c r="M78" s="69"/>
      <c r="N78" s="69"/>
      <c r="O78" s="67"/>
      <c r="P78" s="35"/>
      <c r="Q78" s="32"/>
    </row>
    <row r="79" spans="1:17" ht="12.75">
      <c r="A79" s="95" t="s">
        <v>28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35"/>
      <c r="Q79" s="32"/>
    </row>
    <row r="80" spans="1:17" ht="12.75">
      <c r="A80" s="33" t="s">
        <v>3</v>
      </c>
      <c r="B80" s="33"/>
      <c r="C80" s="34" t="s">
        <v>68</v>
      </c>
      <c r="D80" s="35">
        <f aca="true" t="shared" si="27" ref="D80:J80">D81+D83+D84+D85+D86+D87+D88+D89+D90+D82</f>
        <v>33870.6</v>
      </c>
      <c r="E80" s="35">
        <f t="shared" si="27"/>
        <v>6759.9</v>
      </c>
      <c r="F80" s="35">
        <f t="shared" si="27"/>
        <v>6759.9</v>
      </c>
      <c r="G80" s="35">
        <f t="shared" si="27"/>
        <v>8012.6</v>
      </c>
      <c r="H80" s="35">
        <f t="shared" si="27"/>
        <v>8477.2</v>
      </c>
      <c r="I80" s="35">
        <f t="shared" si="27"/>
        <v>10620.9</v>
      </c>
      <c r="J80" s="35">
        <f t="shared" si="27"/>
        <v>4846.800000000001</v>
      </c>
      <c r="K80" s="35" t="e">
        <f>J80/#REF!*100</f>
        <v>#REF!</v>
      </c>
      <c r="L80" s="35">
        <f>J80/H80*100</f>
        <v>57.174538762799045</v>
      </c>
      <c r="M80" s="69"/>
      <c r="N80" s="69"/>
      <c r="O80" s="35">
        <f t="shared" si="2"/>
        <v>45.63455074428722</v>
      </c>
      <c r="P80" s="35">
        <f aca="true" t="shared" si="28" ref="P80:P147">J80*100/E80</f>
        <v>71.69928549238897</v>
      </c>
      <c r="Q80" s="32">
        <f aca="true" t="shared" si="29" ref="Q80:Q147">J80*100/D80</f>
        <v>14.309755363058231</v>
      </c>
    </row>
    <row r="81" spans="1:17" ht="13.5" customHeight="1">
      <c r="A81" s="29" t="s">
        <v>23</v>
      </c>
      <c r="B81" s="29"/>
      <c r="C81" s="36" t="s">
        <v>22</v>
      </c>
      <c r="D81" s="73">
        <f>F81+G81+H81+I81</f>
        <v>20750</v>
      </c>
      <c r="E81" s="73">
        <f aca="true" t="shared" si="30" ref="E81:E90">F81</f>
        <v>4270</v>
      </c>
      <c r="F81" s="49">
        <v>4270</v>
      </c>
      <c r="G81" s="49">
        <v>5150</v>
      </c>
      <c r="H81" s="24">
        <v>5580</v>
      </c>
      <c r="I81" s="24">
        <v>5750</v>
      </c>
      <c r="J81" s="25">
        <v>3396.4</v>
      </c>
      <c r="K81" s="28" t="e">
        <f>J81/#REF!*100</f>
        <v>#REF!</v>
      </c>
      <c r="L81" s="28">
        <f>J81/H81*100</f>
        <v>60.867383512544805</v>
      </c>
      <c r="M81" s="69"/>
      <c r="N81" s="69"/>
      <c r="O81" s="24">
        <f aca="true" t="shared" si="31" ref="O81:O152">J81*100/I81</f>
        <v>59.06782608695652</v>
      </c>
      <c r="P81" s="28">
        <f t="shared" si="28"/>
        <v>79.54098360655738</v>
      </c>
      <c r="Q81" s="25">
        <f t="shared" si="29"/>
        <v>16.36819277108434</v>
      </c>
    </row>
    <row r="82" spans="1:17" ht="15.75" customHeight="1">
      <c r="A82" s="19" t="s">
        <v>70</v>
      </c>
      <c r="B82" s="19"/>
      <c r="C82" s="36" t="s">
        <v>71</v>
      </c>
      <c r="D82" s="73">
        <f>F82+G82+H82+I82</f>
        <v>4231.6</v>
      </c>
      <c r="E82" s="73">
        <f t="shared" si="30"/>
        <v>954.9</v>
      </c>
      <c r="F82" s="49">
        <v>954.9</v>
      </c>
      <c r="G82" s="49">
        <v>985</v>
      </c>
      <c r="H82" s="24">
        <v>1155.2</v>
      </c>
      <c r="I82" s="24">
        <v>1136.5</v>
      </c>
      <c r="J82" s="25">
        <v>508.2</v>
      </c>
      <c r="K82" s="28"/>
      <c r="L82" s="28"/>
      <c r="M82" s="69"/>
      <c r="N82" s="69"/>
      <c r="O82" s="24"/>
      <c r="P82" s="28">
        <f>J82*100/E82</f>
        <v>53.22023248507697</v>
      </c>
      <c r="Q82" s="25">
        <f>J82*100/D82</f>
        <v>12.009641743075903</v>
      </c>
    </row>
    <row r="83" spans="1:17" ht="15" customHeight="1" hidden="1">
      <c r="A83" s="19" t="s">
        <v>8</v>
      </c>
      <c r="B83" s="19"/>
      <c r="C83" s="36" t="s">
        <v>5</v>
      </c>
      <c r="D83" s="73">
        <f aca="true" t="shared" si="32" ref="D83:D90">F83+G83+H83+I83</f>
        <v>0</v>
      </c>
      <c r="E83" s="73">
        <f t="shared" si="30"/>
        <v>0</v>
      </c>
      <c r="F83" s="49"/>
      <c r="G83" s="49"/>
      <c r="H83" s="24"/>
      <c r="I83" s="24"/>
      <c r="J83" s="25"/>
      <c r="K83" s="28"/>
      <c r="L83" s="28"/>
      <c r="M83" s="69"/>
      <c r="N83" s="69"/>
      <c r="O83" s="24" t="e">
        <f t="shared" si="31"/>
        <v>#DIV/0!</v>
      </c>
      <c r="P83" s="28" t="e">
        <f>J83*100/E83</f>
        <v>#DIV/0!</v>
      </c>
      <c r="Q83" s="25" t="e">
        <f>J83*100/D83</f>
        <v>#DIV/0!</v>
      </c>
    </row>
    <row r="84" spans="1:17" ht="12.75">
      <c r="A84" s="19" t="s">
        <v>9</v>
      </c>
      <c r="B84" s="19"/>
      <c r="C84" s="36" t="s">
        <v>6</v>
      </c>
      <c r="D84" s="73">
        <f t="shared" si="32"/>
        <v>2145</v>
      </c>
      <c r="E84" s="73">
        <f t="shared" si="30"/>
        <v>375</v>
      </c>
      <c r="F84" s="49">
        <v>375</v>
      </c>
      <c r="G84" s="49">
        <v>460</v>
      </c>
      <c r="H84" s="24">
        <v>219</v>
      </c>
      <c r="I84" s="24">
        <v>1091</v>
      </c>
      <c r="J84" s="25">
        <v>126.8</v>
      </c>
      <c r="K84" s="28" t="e">
        <f>J84/#REF!*100</f>
        <v>#REF!</v>
      </c>
      <c r="L84" s="28">
        <f>J84/H84*100</f>
        <v>57.89954337899543</v>
      </c>
      <c r="M84" s="69"/>
      <c r="N84" s="69"/>
      <c r="O84" s="24">
        <f t="shared" si="31"/>
        <v>11.622364802933088</v>
      </c>
      <c r="P84" s="28">
        <f t="shared" si="28"/>
        <v>33.81333333333333</v>
      </c>
      <c r="Q84" s="25">
        <f t="shared" si="29"/>
        <v>5.911421911421911</v>
      </c>
    </row>
    <row r="85" spans="1:17" ht="12.75" hidden="1">
      <c r="A85" s="19" t="s">
        <v>10</v>
      </c>
      <c r="B85" s="19"/>
      <c r="C85" s="36" t="s">
        <v>21</v>
      </c>
      <c r="D85" s="73">
        <f t="shared" si="32"/>
        <v>0</v>
      </c>
      <c r="E85" s="73">
        <f t="shared" si="30"/>
        <v>0</v>
      </c>
      <c r="F85" s="49"/>
      <c r="G85" s="49"/>
      <c r="H85" s="24"/>
      <c r="I85" s="24"/>
      <c r="J85" s="25"/>
      <c r="K85" s="28"/>
      <c r="L85" s="28"/>
      <c r="M85" s="69"/>
      <c r="N85" s="69"/>
      <c r="O85" s="24" t="e">
        <f t="shared" si="31"/>
        <v>#DIV/0!</v>
      </c>
      <c r="P85" s="28" t="e">
        <f t="shared" si="28"/>
        <v>#DIV/0!</v>
      </c>
      <c r="Q85" s="25" t="e">
        <f t="shared" si="29"/>
        <v>#DIV/0!</v>
      </c>
    </row>
    <row r="86" spans="1:17" ht="24">
      <c r="A86" s="20" t="s">
        <v>11</v>
      </c>
      <c r="B86" s="20"/>
      <c r="C86" s="36" t="s">
        <v>17</v>
      </c>
      <c r="D86" s="73">
        <f t="shared" si="32"/>
        <v>6132.5</v>
      </c>
      <c r="E86" s="73">
        <f t="shared" si="30"/>
        <v>1040</v>
      </c>
      <c r="F86" s="49">
        <v>1040</v>
      </c>
      <c r="G86" s="49">
        <v>1273.6</v>
      </c>
      <c r="H86" s="24">
        <v>1459</v>
      </c>
      <c r="I86" s="24">
        <v>2359.9</v>
      </c>
      <c r="J86" s="25">
        <v>685.5</v>
      </c>
      <c r="K86" s="28" t="e">
        <f>J86/#REF!*100</f>
        <v>#REF!</v>
      </c>
      <c r="L86" s="28">
        <f>J86/H86*100</f>
        <v>46.98423577793009</v>
      </c>
      <c r="M86" s="69"/>
      <c r="N86" s="69"/>
      <c r="O86" s="24">
        <f t="shared" si="31"/>
        <v>29.047841010212295</v>
      </c>
      <c r="P86" s="28">
        <f t="shared" si="28"/>
        <v>65.91346153846153</v>
      </c>
      <c r="Q86" s="25">
        <f t="shared" si="29"/>
        <v>11.178149205055036</v>
      </c>
    </row>
    <row r="87" spans="1:17" ht="12.75">
      <c r="A87" s="38" t="s">
        <v>42</v>
      </c>
      <c r="B87" s="38"/>
      <c r="C87" s="36" t="s">
        <v>43</v>
      </c>
      <c r="D87" s="73">
        <f t="shared" si="32"/>
        <v>479</v>
      </c>
      <c r="E87" s="73">
        <f t="shared" si="30"/>
        <v>110</v>
      </c>
      <c r="F87" s="49">
        <v>110</v>
      </c>
      <c r="G87" s="49">
        <v>119</v>
      </c>
      <c r="H87" s="24">
        <v>50</v>
      </c>
      <c r="I87" s="24">
        <v>200</v>
      </c>
      <c r="J87" s="25">
        <v>96.6</v>
      </c>
      <c r="K87" s="28" t="e">
        <f>J87/#REF!*100</f>
        <v>#REF!</v>
      </c>
      <c r="L87" s="28">
        <f>J87/H87*100</f>
        <v>193.2</v>
      </c>
      <c r="M87" s="69"/>
      <c r="N87" s="69"/>
      <c r="O87" s="24">
        <f t="shared" si="31"/>
        <v>48.3</v>
      </c>
      <c r="P87" s="28">
        <f t="shared" si="28"/>
        <v>87.81818181818181</v>
      </c>
      <c r="Q87" s="25">
        <f t="shared" si="29"/>
        <v>20.167014613778704</v>
      </c>
    </row>
    <row r="88" spans="1:17" ht="12.75">
      <c r="A88" s="37" t="s">
        <v>18</v>
      </c>
      <c r="B88" s="37"/>
      <c r="C88" s="36" t="s">
        <v>15</v>
      </c>
      <c r="D88" s="73">
        <f t="shared" si="32"/>
        <v>132.5</v>
      </c>
      <c r="E88" s="73">
        <f t="shared" si="30"/>
        <v>10</v>
      </c>
      <c r="F88" s="49">
        <v>10</v>
      </c>
      <c r="G88" s="49">
        <v>25</v>
      </c>
      <c r="H88" s="24">
        <v>14</v>
      </c>
      <c r="I88" s="24">
        <v>83.5</v>
      </c>
      <c r="J88" s="25">
        <v>33.3</v>
      </c>
      <c r="K88" s="28" t="e">
        <f>J88/#REF!*100</f>
        <v>#REF!</v>
      </c>
      <c r="L88" s="28">
        <f>J88/H88*100</f>
        <v>237.85714285714286</v>
      </c>
      <c r="M88" s="69"/>
      <c r="N88" s="69"/>
      <c r="O88" s="24">
        <f t="shared" si="31"/>
        <v>39.88023952095808</v>
      </c>
      <c r="P88" s="28">
        <f t="shared" si="28"/>
        <v>332.99999999999994</v>
      </c>
      <c r="Q88" s="25">
        <f t="shared" si="29"/>
        <v>25.13207547169811</v>
      </c>
    </row>
    <row r="89" spans="1:17" ht="12" customHeight="1" hidden="1">
      <c r="A89" s="29" t="s">
        <v>12</v>
      </c>
      <c r="B89" s="29"/>
      <c r="C89" s="36" t="s">
        <v>7</v>
      </c>
      <c r="D89" s="73">
        <f t="shared" si="32"/>
        <v>0</v>
      </c>
      <c r="E89" s="73">
        <f t="shared" si="30"/>
        <v>0</v>
      </c>
      <c r="F89" s="49"/>
      <c r="G89" s="49"/>
      <c r="H89" s="24"/>
      <c r="I89" s="24"/>
      <c r="J89" s="25"/>
      <c r="K89" s="35"/>
      <c r="L89" s="35"/>
      <c r="M89" s="69"/>
      <c r="N89" s="69"/>
      <c r="O89" s="24" t="e">
        <f t="shared" si="31"/>
        <v>#DIV/0!</v>
      </c>
      <c r="P89" s="28"/>
      <c r="Q89" s="25"/>
    </row>
    <row r="90" spans="1:17" ht="12.75">
      <c r="A90" s="39" t="s">
        <v>39</v>
      </c>
      <c r="B90" s="40"/>
      <c r="C90" s="23" t="s">
        <v>40</v>
      </c>
      <c r="D90" s="73">
        <f t="shared" si="32"/>
        <v>0</v>
      </c>
      <c r="E90" s="73">
        <f t="shared" si="30"/>
        <v>0</v>
      </c>
      <c r="F90" s="49"/>
      <c r="G90" s="49"/>
      <c r="H90" s="24"/>
      <c r="I90" s="24"/>
      <c r="J90" s="25">
        <v>0</v>
      </c>
      <c r="K90" s="35"/>
      <c r="L90" s="35"/>
      <c r="M90" s="69"/>
      <c r="N90" s="69"/>
      <c r="O90" s="24" t="e">
        <f t="shared" si="31"/>
        <v>#DIV/0!</v>
      </c>
      <c r="P90" s="28"/>
      <c r="Q90" s="25"/>
    </row>
    <row r="91" spans="1:17" ht="12.75" hidden="1">
      <c r="A91" s="39" t="s">
        <v>44</v>
      </c>
      <c r="B91" s="40"/>
      <c r="C91" s="23" t="s">
        <v>45</v>
      </c>
      <c r="D91" s="23"/>
      <c r="E91" s="23"/>
      <c r="F91" s="49"/>
      <c r="G91" s="49"/>
      <c r="H91" s="24" t="e">
        <f>I91+#REF!+#REF!+#REF!</f>
        <v>#REF!</v>
      </c>
      <c r="I91" s="24"/>
      <c r="J91" s="25"/>
      <c r="K91" s="35"/>
      <c r="L91" s="35"/>
      <c r="M91" s="69"/>
      <c r="N91" s="69"/>
      <c r="O91" s="24" t="e">
        <f t="shared" si="31"/>
        <v>#DIV/0!</v>
      </c>
      <c r="P91" s="35" t="e">
        <f t="shared" si="28"/>
        <v>#DIV/0!</v>
      </c>
      <c r="Q91" s="32" t="e">
        <f t="shared" si="29"/>
        <v>#DIV/0!</v>
      </c>
    </row>
    <row r="92" spans="1:17" ht="12.75">
      <c r="A92" s="33" t="s">
        <v>1</v>
      </c>
      <c r="B92" s="33"/>
      <c r="C92" s="41" t="s">
        <v>0</v>
      </c>
      <c r="D92" s="42">
        <f aca="true" t="shared" si="33" ref="D92:J92">D93+D94</f>
        <v>66840.3</v>
      </c>
      <c r="E92" s="79">
        <f t="shared" si="33"/>
        <v>25386.3</v>
      </c>
      <c r="F92" s="42">
        <f t="shared" si="33"/>
        <v>25386.3</v>
      </c>
      <c r="G92" s="42">
        <f t="shared" si="33"/>
        <v>16135.8</v>
      </c>
      <c r="H92" s="42">
        <f t="shared" si="33"/>
        <v>14435.1</v>
      </c>
      <c r="I92" s="42">
        <f t="shared" si="33"/>
        <v>10883.1</v>
      </c>
      <c r="J92" s="42">
        <f t="shared" si="33"/>
        <v>6605.7</v>
      </c>
      <c r="K92" s="35" t="e">
        <f>J92/#REF!*100</f>
        <v>#REF!</v>
      </c>
      <c r="L92" s="35">
        <f>J92/H92*100</f>
        <v>45.76137331920111</v>
      </c>
      <c r="M92" s="69"/>
      <c r="N92" s="69"/>
      <c r="O92" s="46">
        <f t="shared" si="31"/>
        <v>60.6968602695923</v>
      </c>
      <c r="P92" s="35">
        <f t="shared" si="28"/>
        <v>26.020727715342527</v>
      </c>
      <c r="Q92" s="32">
        <f t="shared" si="29"/>
        <v>9.882810220779978</v>
      </c>
    </row>
    <row r="93" spans="1:17" ht="24">
      <c r="A93" s="21" t="s">
        <v>67</v>
      </c>
      <c r="B93" s="19"/>
      <c r="C93" s="43" t="s">
        <v>20</v>
      </c>
      <c r="D93" s="73">
        <f>F93+G93+H93+I93</f>
        <v>66840.3</v>
      </c>
      <c r="E93" s="73">
        <f>F93</f>
        <v>25386.3</v>
      </c>
      <c r="F93" s="49">
        <v>25386.3</v>
      </c>
      <c r="G93" s="49">
        <v>16135.8</v>
      </c>
      <c r="H93" s="24">
        <v>14435.1</v>
      </c>
      <c r="I93" s="24">
        <v>10883.1</v>
      </c>
      <c r="J93" s="25">
        <v>6605.7</v>
      </c>
      <c r="K93" s="28" t="e">
        <f>J93/#REF!*100</f>
        <v>#REF!</v>
      </c>
      <c r="L93" s="28">
        <f>J93/H93*100</f>
        <v>45.76137331920111</v>
      </c>
      <c r="M93" s="69"/>
      <c r="N93" s="69"/>
      <c r="O93" s="24">
        <f t="shared" si="31"/>
        <v>60.6968602695923</v>
      </c>
      <c r="P93" s="28">
        <f t="shared" si="28"/>
        <v>26.020727715342527</v>
      </c>
      <c r="Q93" s="25">
        <f t="shared" si="29"/>
        <v>9.882810220779978</v>
      </c>
    </row>
    <row r="94" spans="1:17" ht="14.25" customHeight="1" hidden="1">
      <c r="A94" s="21" t="s">
        <v>2</v>
      </c>
      <c r="B94" s="21"/>
      <c r="C94" s="44" t="s">
        <v>19</v>
      </c>
      <c r="D94" s="73">
        <f>F94+G94+H94+I94</f>
        <v>0</v>
      </c>
      <c r="E94" s="73">
        <f>F94</f>
        <v>0</v>
      </c>
      <c r="F94" s="80"/>
      <c r="G94" s="80"/>
      <c r="H94" s="24"/>
      <c r="I94" s="24"/>
      <c r="J94" s="25"/>
      <c r="K94" s="28" t="e">
        <f>J94/#REF!*100</f>
        <v>#REF!</v>
      </c>
      <c r="L94" s="28"/>
      <c r="M94" s="69"/>
      <c r="N94" s="69"/>
      <c r="O94" s="24" t="e">
        <f t="shared" si="31"/>
        <v>#DIV/0!</v>
      </c>
      <c r="P94" s="28" t="e">
        <f>J94*100/E94</f>
        <v>#DIV/0!</v>
      </c>
      <c r="Q94" s="25" t="e">
        <f>J94*100/D94</f>
        <v>#DIV/0!</v>
      </c>
    </row>
    <row r="95" spans="1:17" ht="12.75">
      <c r="A95" s="29"/>
      <c r="B95" s="30"/>
      <c r="C95" s="31" t="s">
        <v>4</v>
      </c>
      <c r="D95" s="32">
        <f aca="true" t="shared" si="34" ref="D95:J95">D92+D80</f>
        <v>100710.9</v>
      </c>
      <c r="E95" s="32">
        <f t="shared" si="34"/>
        <v>32146.199999999997</v>
      </c>
      <c r="F95" s="32">
        <f t="shared" si="34"/>
        <v>32146.199999999997</v>
      </c>
      <c r="G95" s="32">
        <f t="shared" si="34"/>
        <v>24148.4</v>
      </c>
      <c r="H95" s="32">
        <f t="shared" si="34"/>
        <v>22912.300000000003</v>
      </c>
      <c r="I95" s="32">
        <f t="shared" si="34"/>
        <v>21504</v>
      </c>
      <c r="J95" s="32">
        <f t="shared" si="34"/>
        <v>11452.5</v>
      </c>
      <c r="K95" s="35" t="e">
        <f>J95/#REF!*100</f>
        <v>#REF!</v>
      </c>
      <c r="L95" s="35">
        <f>J95/H95*100</f>
        <v>49.98406969182491</v>
      </c>
      <c r="M95" s="69"/>
      <c r="N95" s="70" t="e">
        <f>I95+#REF!+#REF!</f>
        <v>#REF!</v>
      </c>
      <c r="O95" s="46">
        <f t="shared" si="31"/>
        <v>53.257533482142854</v>
      </c>
      <c r="P95" s="35">
        <f t="shared" si="28"/>
        <v>35.62629486533401</v>
      </c>
      <c r="Q95" s="32">
        <f t="shared" si="29"/>
        <v>11.371658877043101</v>
      </c>
    </row>
    <row r="96" spans="1:17" ht="12.75">
      <c r="A96" s="96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8"/>
      <c r="M96" s="69"/>
      <c r="N96" s="69"/>
      <c r="O96" s="67"/>
      <c r="P96" s="35"/>
      <c r="Q96" s="32"/>
    </row>
    <row r="97" spans="1:17" ht="12.75">
      <c r="A97" s="95" t="s">
        <v>29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35"/>
      <c r="Q97" s="32"/>
    </row>
    <row r="98" spans="1:17" ht="12.75">
      <c r="A98" s="33" t="s">
        <v>3</v>
      </c>
      <c r="B98" s="33"/>
      <c r="C98" s="34" t="s">
        <v>68</v>
      </c>
      <c r="D98" s="35">
        <f aca="true" t="shared" si="35" ref="D98:J98">D99+D102+D106+D103+D104+D107+D105+D101+D100</f>
        <v>2219.9</v>
      </c>
      <c r="E98" s="35">
        <f t="shared" si="35"/>
        <v>555.1</v>
      </c>
      <c r="F98" s="35">
        <f t="shared" si="35"/>
        <v>555.1</v>
      </c>
      <c r="G98" s="35">
        <f t="shared" si="35"/>
        <v>553.5</v>
      </c>
      <c r="H98" s="35">
        <f t="shared" si="35"/>
        <v>554.4000000000001</v>
      </c>
      <c r="I98" s="35">
        <f t="shared" si="35"/>
        <v>556.9000000000001</v>
      </c>
      <c r="J98" s="35">
        <f t="shared" si="35"/>
        <v>349.9</v>
      </c>
      <c r="K98" s="35" t="e">
        <f>J98/#REF!*100</f>
        <v>#REF!</v>
      </c>
      <c r="L98" s="35">
        <f>J98/H98*100</f>
        <v>63.1132756132756</v>
      </c>
      <c r="M98" s="69"/>
      <c r="N98" s="69"/>
      <c r="O98" s="35">
        <f t="shared" si="31"/>
        <v>62.829951517328055</v>
      </c>
      <c r="P98" s="35">
        <f t="shared" si="28"/>
        <v>63.033687623851556</v>
      </c>
      <c r="Q98" s="32">
        <f t="shared" si="29"/>
        <v>15.761971259966664</v>
      </c>
    </row>
    <row r="99" spans="1:17" ht="12.75">
      <c r="A99" s="29" t="s">
        <v>23</v>
      </c>
      <c r="B99" s="29"/>
      <c r="C99" s="36" t="s">
        <v>22</v>
      </c>
      <c r="D99" s="73">
        <f>F99+G99+H99+I99</f>
        <v>980</v>
      </c>
      <c r="E99" s="73">
        <f aca="true" t="shared" si="36" ref="E99:E109">F99</f>
        <v>245</v>
      </c>
      <c r="F99" s="49">
        <v>245</v>
      </c>
      <c r="G99" s="49">
        <v>245</v>
      </c>
      <c r="H99" s="24">
        <v>245</v>
      </c>
      <c r="I99" s="25">
        <v>245</v>
      </c>
      <c r="J99" s="25">
        <v>157.7</v>
      </c>
      <c r="K99" s="28"/>
      <c r="L99" s="28">
        <f>J99/H99*100</f>
        <v>64.36734693877551</v>
      </c>
      <c r="M99" s="70"/>
      <c r="N99" s="69"/>
      <c r="O99" s="24">
        <f t="shared" si="31"/>
        <v>64.3673469387755</v>
      </c>
      <c r="P99" s="28">
        <f t="shared" si="28"/>
        <v>64.3673469387755</v>
      </c>
      <c r="Q99" s="25">
        <f t="shared" si="29"/>
        <v>16.091836734693874</v>
      </c>
    </row>
    <row r="100" spans="1:17" ht="12.75">
      <c r="A100" s="19" t="s">
        <v>70</v>
      </c>
      <c r="B100" s="19"/>
      <c r="C100" s="36" t="s">
        <v>71</v>
      </c>
      <c r="D100" s="73">
        <f>F100+G100+H100+I100</f>
        <v>1110.4</v>
      </c>
      <c r="E100" s="73">
        <f t="shared" si="36"/>
        <v>277.6</v>
      </c>
      <c r="F100" s="49">
        <v>277.6</v>
      </c>
      <c r="G100" s="49">
        <v>277.6</v>
      </c>
      <c r="H100" s="24">
        <v>277.6</v>
      </c>
      <c r="I100" s="25">
        <v>277.6</v>
      </c>
      <c r="J100" s="25">
        <v>133.4</v>
      </c>
      <c r="K100" s="28"/>
      <c r="L100" s="28"/>
      <c r="M100" s="70"/>
      <c r="N100" s="69"/>
      <c r="O100" s="24"/>
      <c r="P100" s="28">
        <f>J100*100/E100</f>
        <v>48.054755043227665</v>
      </c>
      <c r="Q100" s="25">
        <f>J100*100/D100</f>
        <v>12.013688760806916</v>
      </c>
    </row>
    <row r="101" spans="1:17" ht="12.75" hidden="1">
      <c r="A101" s="19" t="s">
        <v>8</v>
      </c>
      <c r="B101" s="19"/>
      <c r="C101" s="36" t="s">
        <v>5</v>
      </c>
      <c r="D101" s="73">
        <f>F101+G101+H101+I101</f>
        <v>0</v>
      </c>
      <c r="E101" s="73">
        <f t="shared" si="36"/>
        <v>0</v>
      </c>
      <c r="F101" s="49"/>
      <c r="G101" s="49"/>
      <c r="H101" s="24"/>
      <c r="I101" s="25"/>
      <c r="J101" s="25"/>
      <c r="K101" s="28"/>
      <c r="L101" s="28"/>
      <c r="M101" s="70"/>
      <c r="N101" s="69"/>
      <c r="O101" s="24"/>
      <c r="P101" s="28" t="e">
        <f>J101*100/E101</f>
        <v>#DIV/0!</v>
      </c>
      <c r="Q101" s="25" t="e">
        <f>J101*100/D101</f>
        <v>#DIV/0!</v>
      </c>
    </row>
    <row r="102" spans="1:17" ht="12.75">
      <c r="A102" s="19" t="s">
        <v>9</v>
      </c>
      <c r="B102" s="19"/>
      <c r="C102" s="36" t="s">
        <v>6</v>
      </c>
      <c r="D102" s="73">
        <f aca="true" t="shared" si="37" ref="D102:D110">F102+G102+H102+I102</f>
        <v>70.5</v>
      </c>
      <c r="E102" s="73">
        <f t="shared" si="36"/>
        <v>18.6</v>
      </c>
      <c r="F102" s="49">
        <v>18.6</v>
      </c>
      <c r="G102" s="49">
        <v>16.7</v>
      </c>
      <c r="H102" s="24">
        <v>18.6</v>
      </c>
      <c r="I102" s="25">
        <v>16.6</v>
      </c>
      <c r="J102" s="25">
        <v>6.6</v>
      </c>
      <c r="K102" s="28"/>
      <c r="L102" s="28">
        <f aca="true" t="shared" si="38" ref="L102:L109">J102/H102*100</f>
        <v>35.48387096774193</v>
      </c>
      <c r="M102" s="70"/>
      <c r="N102" s="69"/>
      <c r="O102" s="24">
        <f t="shared" si="31"/>
        <v>39.75903614457831</v>
      </c>
      <c r="P102" s="28">
        <f t="shared" si="28"/>
        <v>35.483870967741936</v>
      </c>
      <c r="Q102" s="25">
        <f t="shared" si="29"/>
        <v>9.361702127659575</v>
      </c>
    </row>
    <row r="103" spans="1:17" ht="12.75">
      <c r="A103" s="19" t="s">
        <v>10</v>
      </c>
      <c r="B103" s="19"/>
      <c r="C103" s="36" t="s">
        <v>21</v>
      </c>
      <c r="D103" s="73">
        <f t="shared" si="37"/>
        <v>5</v>
      </c>
      <c r="E103" s="73">
        <f t="shared" si="36"/>
        <v>1.5</v>
      </c>
      <c r="F103" s="49">
        <v>1.5</v>
      </c>
      <c r="G103" s="49">
        <v>1.5</v>
      </c>
      <c r="H103" s="24">
        <v>0.5</v>
      </c>
      <c r="I103" s="25">
        <v>1.5</v>
      </c>
      <c r="J103" s="25">
        <v>0.5</v>
      </c>
      <c r="K103" s="28"/>
      <c r="L103" s="28">
        <f t="shared" si="38"/>
        <v>100</v>
      </c>
      <c r="M103" s="69"/>
      <c r="N103" s="69"/>
      <c r="O103" s="24">
        <f t="shared" si="31"/>
        <v>33.333333333333336</v>
      </c>
      <c r="P103" s="28">
        <f t="shared" si="28"/>
        <v>33.333333333333336</v>
      </c>
      <c r="Q103" s="25">
        <f t="shared" si="29"/>
        <v>10</v>
      </c>
    </row>
    <row r="104" spans="1:17" ht="24">
      <c r="A104" s="20" t="s">
        <v>11</v>
      </c>
      <c r="B104" s="20"/>
      <c r="C104" s="36" t="s">
        <v>17</v>
      </c>
      <c r="D104" s="73">
        <f t="shared" si="37"/>
        <v>19</v>
      </c>
      <c r="E104" s="73">
        <f t="shared" si="36"/>
        <v>1.9</v>
      </c>
      <c r="F104" s="49">
        <v>1.9</v>
      </c>
      <c r="G104" s="49">
        <v>5.7</v>
      </c>
      <c r="H104" s="24">
        <v>5.7</v>
      </c>
      <c r="I104" s="25">
        <v>5.7</v>
      </c>
      <c r="J104" s="25">
        <v>1.7</v>
      </c>
      <c r="K104" s="28"/>
      <c r="L104" s="28">
        <f t="shared" si="38"/>
        <v>29.82456140350877</v>
      </c>
      <c r="M104" s="69"/>
      <c r="N104" s="69"/>
      <c r="O104" s="24">
        <f t="shared" si="31"/>
        <v>29.82456140350877</v>
      </c>
      <c r="P104" s="28">
        <f t="shared" si="28"/>
        <v>89.47368421052632</v>
      </c>
      <c r="Q104" s="25">
        <f t="shared" si="29"/>
        <v>8.947368421052632</v>
      </c>
    </row>
    <row r="105" spans="1:17" ht="12.75">
      <c r="A105" s="38" t="s">
        <v>42</v>
      </c>
      <c r="B105" s="38"/>
      <c r="C105" s="36" t="s">
        <v>43</v>
      </c>
      <c r="D105" s="73">
        <f t="shared" si="37"/>
        <v>35</v>
      </c>
      <c r="E105" s="73">
        <f t="shared" si="36"/>
        <v>10.5</v>
      </c>
      <c r="F105" s="49">
        <v>10.5</v>
      </c>
      <c r="G105" s="49">
        <v>7</v>
      </c>
      <c r="H105" s="24">
        <v>7</v>
      </c>
      <c r="I105" s="25">
        <v>10.5</v>
      </c>
      <c r="J105" s="25">
        <v>0</v>
      </c>
      <c r="K105" s="28"/>
      <c r="L105" s="28">
        <f t="shared" si="38"/>
        <v>0</v>
      </c>
      <c r="M105" s="69"/>
      <c r="N105" s="69"/>
      <c r="O105" s="24">
        <f t="shared" si="31"/>
        <v>0</v>
      </c>
      <c r="P105" s="28">
        <f t="shared" si="28"/>
        <v>0</v>
      </c>
      <c r="Q105" s="25">
        <f t="shared" si="29"/>
        <v>0</v>
      </c>
    </row>
    <row r="106" spans="1:17" ht="18.75" customHeight="1">
      <c r="A106" s="29" t="s">
        <v>12</v>
      </c>
      <c r="B106" s="29"/>
      <c r="C106" s="36" t="s">
        <v>7</v>
      </c>
      <c r="D106" s="73">
        <f t="shared" si="37"/>
        <v>0</v>
      </c>
      <c r="E106" s="73">
        <f t="shared" si="36"/>
        <v>0</v>
      </c>
      <c r="F106" s="49"/>
      <c r="G106" s="49"/>
      <c r="H106" s="24"/>
      <c r="I106" s="25"/>
      <c r="J106" s="25">
        <v>50</v>
      </c>
      <c r="K106" s="28"/>
      <c r="L106" s="28" t="e">
        <f t="shared" si="38"/>
        <v>#DIV/0!</v>
      </c>
      <c r="M106" s="69"/>
      <c r="N106" s="69"/>
      <c r="O106" s="24" t="e">
        <f t="shared" si="31"/>
        <v>#DIV/0!</v>
      </c>
      <c r="P106" s="28"/>
      <c r="Q106" s="25"/>
    </row>
    <row r="107" spans="1:17" ht="16.5" customHeight="1">
      <c r="A107" s="38" t="s">
        <v>39</v>
      </c>
      <c r="B107" s="56"/>
      <c r="C107" s="23" t="s">
        <v>40</v>
      </c>
      <c r="D107" s="73">
        <f t="shared" si="37"/>
        <v>0</v>
      </c>
      <c r="E107" s="73">
        <f t="shared" si="36"/>
        <v>0</v>
      </c>
      <c r="F107" s="49"/>
      <c r="G107" s="49"/>
      <c r="H107" s="24"/>
      <c r="I107" s="25"/>
      <c r="J107" s="25">
        <v>0</v>
      </c>
      <c r="K107" s="35"/>
      <c r="L107" s="28" t="e">
        <f t="shared" si="38"/>
        <v>#DIV/0!</v>
      </c>
      <c r="M107" s="69"/>
      <c r="N107" s="69"/>
      <c r="O107" s="24" t="e">
        <f t="shared" si="31"/>
        <v>#DIV/0!</v>
      </c>
      <c r="P107" s="35"/>
      <c r="Q107" s="32"/>
    </row>
    <row r="108" spans="1:17" ht="12.75">
      <c r="A108" s="45" t="s">
        <v>1</v>
      </c>
      <c r="B108" s="45"/>
      <c r="C108" s="41" t="s">
        <v>0</v>
      </c>
      <c r="D108" s="42">
        <f aca="true" t="shared" si="39" ref="D108:K108">D109+D110</f>
        <v>21467.8</v>
      </c>
      <c r="E108" s="42">
        <f t="shared" si="39"/>
        <v>7108.9</v>
      </c>
      <c r="F108" s="42">
        <f t="shared" si="39"/>
        <v>7108.9</v>
      </c>
      <c r="G108" s="42">
        <f t="shared" si="39"/>
        <v>4796.3</v>
      </c>
      <c r="H108" s="42">
        <f t="shared" si="39"/>
        <v>4781.3</v>
      </c>
      <c r="I108" s="42">
        <f t="shared" si="39"/>
        <v>4781.3</v>
      </c>
      <c r="J108" s="42">
        <f t="shared" si="39"/>
        <v>3218.3</v>
      </c>
      <c r="K108" s="42">
        <f t="shared" si="39"/>
        <v>0</v>
      </c>
      <c r="L108" s="35">
        <f>J108/H108*100</f>
        <v>67.31014577625332</v>
      </c>
      <c r="M108" s="69"/>
      <c r="N108" s="69"/>
      <c r="O108" s="46">
        <f t="shared" si="31"/>
        <v>67.31014577625332</v>
      </c>
      <c r="P108" s="35">
        <f t="shared" si="28"/>
        <v>45.27142033225957</v>
      </c>
      <c r="Q108" s="32">
        <f t="shared" si="29"/>
        <v>14.991289279758522</v>
      </c>
    </row>
    <row r="109" spans="1:17" ht="24">
      <c r="A109" s="21" t="s">
        <v>67</v>
      </c>
      <c r="B109" s="19"/>
      <c r="C109" s="43" t="s">
        <v>20</v>
      </c>
      <c r="D109" s="73">
        <f t="shared" si="37"/>
        <v>21467.8</v>
      </c>
      <c r="E109" s="73">
        <f t="shared" si="36"/>
        <v>7108.9</v>
      </c>
      <c r="F109" s="49">
        <v>7108.9</v>
      </c>
      <c r="G109" s="49">
        <v>4796.3</v>
      </c>
      <c r="H109" s="24">
        <v>4781.3</v>
      </c>
      <c r="I109" s="25">
        <v>4781.3</v>
      </c>
      <c r="J109" s="25">
        <v>3218.3</v>
      </c>
      <c r="K109" s="28"/>
      <c r="L109" s="28">
        <f t="shared" si="38"/>
        <v>67.31014577625332</v>
      </c>
      <c r="M109" s="69"/>
      <c r="N109" s="69"/>
      <c r="O109" s="24">
        <f t="shared" si="31"/>
        <v>67.31014577625332</v>
      </c>
      <c r="P109" s="28">
        <f t="shared" si="28"/>
        <v>45.27142033225957</v>
      </c>
      <c r="Q109" s="25">
        <f t="shared" si="29"/>
        <v>14.991289279758522</v>
      </c>
    </row>
    <row r="110" spans="1:17" ht="12.75" hidden="1">
      <c r="A110" s="21" t="s">
        <v>2</v>
      </c>
      <c r="B110" s="21"/>
      <c r="C110" s="44" t="s">
        <v>19</v>
      </c>
      <c r="D110" s="73">
        <f t="shared" si="37"/>
        <v>0</v>
      </c>
      <c r="E110" s="73">
        <f>F110+G110</f>
        <v>0</v>
      </c>
      <c r="F110" s="80"/>
      <c r="G110" s="80"/>
      <c r="H110" s="24"/>
      <c r="I110" s="25"/>
      <c r="J110" s="25"/>
      <c r="K110" s="28"/>
      <c r="L110" s="28"/>
      <c r="M110" s="69"/>
      <c r="N110" s="69"/>
      <c r="O110" s="24" t="e">
        <f t="shared" si="31"/>
        <v>#DIV/0!</v>
      </c>
      <c r="P110" s="35"/>
      <c r="Q110" s="32"/>
    </row>
    <row r="111" spans="1:17" ht="12.75">
      <c r="A111" s="29"/>
      <c r="B111" s="30"/>
      <c r="C111" s="31" t="s">
        <v>4</v>
      </c>
      <c r="D111" s="32">
        <f aca="true" t="shared" si="40" ref="D111:K111">D108+D98</f>
        <v>23687.7</v>
      </c>
      <c r="E111" s="46">
        <f t="shared" si="40"/>
        <v>7664</v>
      </c>
      <c r="F111" s="46">
        <f t="shared" si="40"/>
        <v>7664</v>
      </c>
      <c r="G111" s="46">
        <f>G108+G98</f>
        <v>5349.8</v>
      </c>
      <c r="H111" s="32">
        <f t="shared" si="40"/>
        <v>5335.700000000001</v>
      </c>
      <c r="I111" s="32">
        <f t="shared" si="40"/>
        <v>5338.200000000001</v>
      </c>
      <c r="J111" s="32">
        <f t="shared" si="40"/>
        <v>3568.2000000000003</v>
      </c>
      <c r="K111" s="32" t="e">
        <f t="shared" si="40"/>
        <v>#REF!</v>
      </c>
      <c r="L111" s="35">
        <f>J111/H111*100</f>
        <v>66.8740746293832</v>
      </c>
      <c r="M111" s="69"/>
      <c r="N111" s="70" t="e">
        <f>I111+#REF!+#REF!</f>
        <v>#REF!</v>
      </c>
      <c r="O111" s="46">
        <f t="shared" si="31"/>
        <v>66.84275598516354</v>
      </c>
      <c r="P111" s="35">
        <f t="shared" si="28"/>
        <v>46.55793319415449</v>
      </c>
      <c r="Q111" s="32">
        <f t="shared" si="29"/>
        <v>15.063513975607593</v>
      </c>
    </row>
    <row r="112" spans="1:17" ht="12.75">
      <c r="A112" s="96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8"/>
      <c r="M112" s="69"/>
      <c r="N112" s="69"/>
      <c r="O112" s="67"/>
      <c r="P112" s="35"/>
      <c r="Q112" s="32"/>
    </row>
    <row r="113" spans="1:17" ht="12.75">
      <c r="A113" s="95" t="s">
        <v>30</v>
      </c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35"/>
      <c r="Q113" s="32"/>
    </row>
    <row r="114" spans="1:17" ht="12.75">
      <c r="A114" s="33" t="s">
        <v>3</v>
      </c>
      <c r="B114" s="33"/>
      <c r="C114" s="34" t="s">
        <v>68</v>
      </c>
      <c r="D114" s="35">
        <f aca="true" t="shared" si="41" ref="D114:J114">D115+D118+D122+D119+D120+D123+D121+D124+D116+D117</f>
        <v>4041</v>
      </c>
      <c r="E114" s="35">
        <f t="shared" si="41"/>
        <v>952.3</v>
      </c>
      <c r="F114" s="35">
        <f t="shared" si="41"/>
        <v>952.3</v>
      </c>
      <c r="G114" s="35">
        <f t="shared" si="41"/>
        <v>1067.9</v>
      </c>
      <c r="H114" s="35">
        <f t="shared" si="41"/>
        <v>1039.8000000000002</v>
      </c>
      <c r="I114" s="35">
        <f t="shared" si="41"/>
        <v>981</v>
      </c>
      <c r="J114" s="35">
        <f t="shared" si="41"/>
        <v>487.19999999999993</v>
      </c>
      <c r="K114" s="35" t="e">
        <f>J114/#REF!*100</f>
        <v>#REF!</v>
      </c>
      <c r="L114" s="35">
        <f aca="true" t="shared" si="42" ref="L114:L122">J114/H114*100</f>
        <v>46.855164454702816</v>
      </c>
      <c r="M114" s="69"/>
      <c r="N114" s="69"/>
      <c r="O114" s="35">
        <f t="shared" si="31"/>
        <v>49.663608562691124</v>
      </c>
      <c r="P114" s="35">
        <f t="shared" si="28"/>
        <v>51.16034862963351</v>
      </c>
      <c r="Q114" s="32">
        <f t="shared" si="29"/>
        <v>12.056421677802522</v>
      </c>
    </row>
    <row r="115" spans="1:17" ht="12.75">
      <c r="A115" s="29" t="s">
        <v>23</v>
      </c>
      <c r="B115" s="29"/>
      <c r="C115" s="36" t="s">
        <v>22</v>
      </c>
      <c r="D115" s="73">
        <f>F115+G115+H115+I115</f>
        <v>1110</v>
      </c>
      <c r="E115" s="73">
        <f aca="true" t="shared" si="43" ref="E115:E126">F115</f>
        <v>296.3</v>
      </c>
      <c r="F115" s="73">
        <v>296.3</v>
      </c>
      <c r="G115" s="73">
        <v>353.7</v>
      </c>
      <c r="H115" s="25">
        <v>225.1</v>
      </c>
      <c r="I115" s="25">
        <v>234.9</v>
      </c>
      <c r="J115" s="25">
        <v>116.4</v>
      </c>
      <c r="K115" s="28" t="e">
        <f>J115/#REF!*100</f>
        <v>#REF!</v>
      </c>
      <c r="L115" s="28">
        <f t="shared" si="42"/>
        <v>51.710350955131055</v>
      </c>
      <c r="M115" s="69"/>
      <c r="N115" s="69"/>
      <c r="O115" s="24">
        <f t="shared" si="31"/>
        <v>49.55300127713921</v>
      </c>
      <c r="P115" s="28">
        <f t="shared" si="28"/>
        <v>39.2845089436382</v>
      </c>
      <c r="Q115" s="25">
        <f t="shared" si="29"/>
        <v>10.486486486486486</v>
      </c>
    </row>
    <row r="116" spans="1:17" ht="12.75" hidden="1">
      <c r="A116" s="19" t="s">
        <v>8</v>
      </c>
      <c r="B116" s="19"/>
      <c r="C116" s="36" t="s">
        <v>5</v>
      </c>
      <c r="D116" s="73">
        <f>F116+G116+H116+I116</f>
        <v>0</v>
      </c>
      <c r="E116" s="73">
        <f t="shared" si="43"/>
        <v>0</v>
      </c>
      <c r="F116" s="73"/>
      <c r="G116" s="73"/>
      <c r="H116" s="25"/>
      <c r="I116" s="25"/>
      <c r="J116" s="25"/>
      <c r="K116" s="28"/>
      <c r="L116" s="28"/>
      <c r="M116" s="69"/>
      <c r="N116" s="69"/>
      <c r="O116" s="24"/>
      <c r="P116" s="28" t="e">
        <f>J116*100/E116</f>
        <v>#DIV/0!</v>
      </c>
      <c r="Q116" s="25" t="e">
        <f>J116*100/D116</f>
        <v>#DIV/0!</v>
      </c>
    </row>
    <row r="117" spans="1:17" ht="12.75">
      <c r="A117" s="19" t="s">
        <v>70</v>
      </c>
      <c r="B117" s="19"/>
      <c r="C117" s="36" t="s">
        <v>71</v>
      </c>
      <c r="D117" s="73">
        <f>F117+G117+H117+I117</f>
        <v>2422</v>
      </c>
      <c r="E117" s="73">
        <f t="shared" si="43"/>
        <v>463</v>
      </c>
      <c r="F117" s="73">
        <v>463</v>
      </c>
      <c r="G117" s="73">
        <v>620.2</v>
      </c>
      <c r="H117" s="25">
        <v>737.7</v>
      </c>
      <c r="I117" s="25">
        <v>601.1</v>
      </c>
      <c r="J117" s="25">
        <v>290.9</v>
      </c>
      <c r="K117" s="28"/>
      <c r="L117" s="28"/>
      <c r="M117" s="69"/>
      <c r="N117" s="69"/>
      <c r="O117" s="24"/>
      <c r="P117" s="28">
        <f>J117*100/E117</f>
        <v>62.82937365010798</v>
      </c>
      <c r="Q117" s="25">
        <f>J117*100/D117</f>
        <v>12.010734929810074</v>
      </c>
    </row>
    <row r="118" spans="1:17" ht="12.75">
      <c r="A118" s="19" t="s">
        <v>9</v>
      </c>
      <c r="B118" s="19"/>
      <c r="C118" s="36" t="s">
        <v>6</v>
      </c>
      <c r="D118" s="73">
        <f aca="true" t="shared" si="44" ref="D118:D126">F118+G118+H118+I118</f>
        <v>99</v>
      </c>
      <c r="E118" s="73">
        <f t="shared" si="43"/>
        <v>11</v>
      </c>
      <c r="F118" s="73">
        <v>11</v>
      </c>
      <c r="G118" s="73">
        <v>15</v>
      </c>
      <c r="H118" s="25">
        <v>7</v>
      </c>
      <c r="I118" s="25">
        <v>66</v>
      </c>
      <c r="J118" s="25">
        <v>30.6</v>
      </c>
      <c r="K118" s="28" t="e">
        <f>J118/#REF!*100</f>
        <v>#REF!</v>
      </c>
      <c r="L118" s="28">
        <f t="shared" si="42"/>
        <v>437.14285714285717</v>
      </c>
      <c r="M118" s="69"/>
      <c r="N118" s="69"/>
      <c r="O118" s="24">
        <f t="shared" si="31"/>
        <v>46.36363636363637</v>
      </c>
      <c r="P118" s="28">
        <f t="shared" si="28"/>
        <v>278.1818181818182</v>
      </c>
      <c r="Q118" s="25">
        <f t="shared" si="29"/>
        <v>30.90909090909091</v>
      </c>
    </row>
    <row r="119" spans="1:17" ht="12.75">
      <c r="A119" s="19" t="s">
        <v>10</v>
      </c>
      <c r="B119" s="19"/>
      <c r="C119" s="36" t="s">
        <v>21</v>
      </c>
      <c r="D119" s="73">
        <f t="shared" si="44"/>
        <v>17</v>
      </c>
      <c r="E119" s="73">
        <f t="shared" si="43"/>
        <v>6</v>
      </c>
      <c r="F119" s="73">
        <v>6</v>
      </c>
      <c r="G119" s="73">
        <v>3</v>
      </c>
      <c r="H119" s="25">
        <v>3</v>
      </c>
      <c r="I119" s="25">
        <v>5</v>
      </c>
      <c r="J119" s="25">
        <v>2.2</v>
      </c>
      <c r="K119" s="28" t="e">
        <f>J119/#REF!*100</f>
        <v>#REF!</v>
      </c>
      <c r="L119" s="28">
        <f t="shared" si="42"/>
        <v>73.33333333333334</v>
      </c>
      <c r="M119" s="69"/>
      <c r="N119" s="69"/>
      <c r="O119" s="24">
        <f t="shared" si="31"/>
        <v>44.00000000000001</v>
      </c>
      <c r="P119" s="28">
        <f t="shared" si="28"/>
        <v>36.66666666666667</v>
      </c>
      <c r="Q119" s="25">
        <f t="shared" si="29"/>
        <v>12.941176470588237</v>
      </c>
    </row>
    <row r="120" spans="1:17" ht="24">
      <c r="A120" s="20" t="s">
        <v>11</v>
      </c>
      <c r="B120" s="20"/>
      <c r="C120" s="36" t="s">
        <v>17</v>
      </c>
      <c r="D120" s="73">
        <f t="shared" si="44"/>
        <v>283</v>
      </c>
      <c r="E120" s="73">
        <f t="shared" si="43"/>
        <v>137</v>
      </c>
      <c r="F120" s="73">
        <v>137</v>
      </c>
      <c r="G120" s="73">
        <v>48</v>
      </c>
      <c r="H120" s="25">
        <v>48</v>
      </c>
      <c r="I120" s="25">
        <v>50</v>
      </c>
      <c r="J120" s="25">
        <v>34.1</v>
      </c>
      <c r="K120" s="28" t="e">
        <f>J120/#REF!*100</f>
        <v>#REF!</v>
      </c>
      <c r="L120" s="28">
        <f t="shared" si="42"/>
        <v>71.04166666666667</v>
      </c>
      <c r="M120" s="69"/>
      <c r="N120" s="69"/>
      <c r="O120" s="24">
        <f t="shared" si="31"/>
        <v>68.2</v>
      </c>
      <c r="P120" s="28">
        <f t="shared" si="28"/>
        <v>24.89051094890511</v>
      </c>
      <c r="Q120" s="25">
        <f t="shared" si="29"/>
        <v>12.049469964664311</v>
      </c>
    </row>
    <row r="121" spans="1:17" ht="12.75">
      <c r="A121" s="38" t="s">
        <v>42</v>
      </c>
      <c r="B121" s="38"/>
      <c r="C121" s="36" t="s">
        <v>43</v>
      </c>
      <c r="D121" s="73">
        <f t="shared" si="44"/>
        <v>110</v>
      </c>
      <c r="E121" s="73">
        <f t="shared" si="43"/>
        <v>39</v>
      </c>
      <c r="F121" s="73">
        <v>39</v>
      </c>
      <c r="G121" s="73">
        <v>28</v>
      </c>
      <c r="H121" s="25">
        <v>19</v>
      </c>
      <c r="I121" s="25">
        <v>24</v>
      </c>
      <c r="J121" s="25">
        <v>13</v>
      </c>
      <c r="K121" s="28" t="e">
        <f>J121/#REF!*100</f>
        <v>#REF!</v>
      </c>
      <c r="L121" s="28">
        <f t="shared" si="42"/>
        <v>68.42105263157895</v>
      </c>
      <c r="M121" s="69"/>
      <c r="N121" s="69"/>
      <c r="O121" s="24">
        <f t="shared" si="31"/>
        <v>54.166666666666664</v>
      </c>
      <c r="P121" s="28">
        <f t="shared" si="28"/>
        <v>33.333333333333336</v>
      </c>
      <c r="Q121" s="25">
        <f t="shared" si="29"/>
        <v>11.818181818181818</v>
      </c>
    </row>
    <row r="122" spans="1:17" ht="12.75" hidden="1">
      <c r="A122" s="37" t="s">
        <v>18</v>
      </c>
      <c r="B122" s="37"/>
      <c r="C122" s="36" t="s">
        <v>15</v>
      </c>
      <c r="D122" s="73">
        <f t="shared" si="44"/>
        <v>0</v>
      </c>
      <c r="E122" s="73">
        <f t="shared" si="43"/>
        <v>0</v>
      </c>
      <c r="F122" s="73"/>
      <c r="G122" s="73"/>
      <c r="H122" s="25"/>
      <c r="I122" s="25"/>
      <c r="J122" s="25"/>
      <c r="K122" s="28" t="e">
        <f>J122/#REF!*100</f>
        <v>#REF!</v>
      </c>
      <c r="L122" s="28" t="e">
        <f t="shared" si="42"/>
        <v>#DIV/0!</v>
      </c>
      <c r="M122" s="69"/>
      <c r="N122" s="69"/>
      <c r="O122" s="24" t="e">
        <f t="shared" si="31"/>
        <v>#DIV/0!</v>
      </c>
      <c r="P122" s="28"/>
      <c r="Q122" s="25"/>
    </row>
    <row r="123" spans="1:17" ht="12.75" hidden="1">
      <c r="A123" s="29" t="s">
        <v>12</v>
      </c>
      <c r="B123" s="29"/>
      <c r="C123" s="36" t="s">
        <v>7</v>
      </c>
      <c r="D123" s="73">
        <f t="shared" si="44"/>
        <v>0</v>
      </c>
      <c r="E123" s="73">
        <f t="shared" si="43"/>
        <v>0</v>
      </c>
      <c r="F123" s="73"/>
      <c r="G123" s="73"/>
      <c r="H123" s="25"/>
      <c r="I123" s="25"/>
      <c r="J123" s="25"/>
      <c r="K123" s="28"/>
      <c r="L123" s="28"/>
      <c r="M123" s="69"/>
      <c r="N123" s="69"/>
      <c r="O123" s="24" t="e">
        <f t="shared" si="31"/>
        <v>#DIV/0!</v>
      </c>
      <c r="P123" s="35" t="e">
        <f t="shared" si="28"/>
        <v>#DIV/0!</v>
      </c>
      <c r="Q123" s="32" t="e">
        <f t="shared" si="29"/>
        <v>#DIV/0!</v>
      </c>
    </row>
    <row r="124" spans="1:17" ht="11.25" customHeight="1">
      <c r="A124" s="37" t="s">
        <v>39</v>
      </c>
      <c r="B124" s="56"/>
      <c r="C124" s="23" t="s">
        <v>40</v>
      </c>
      <c r="D124" s="73">
        <f t="shared" si="44"/>
        <v>0</v>
      </c>
      <c r="E124" s="73">
        <f t="shared" si="43"/>
        <v>0</v>
      </c>
      <c r="F124" s="73"/>
      <c r="G124" s="73"/>
      <c r="H124" s="25"/>
      <c r="I124" s="25"/>
      <c r="J124" s="25">
        <v>0</v>
      </c>
      <c r="K124" s="28"/>
      <c r="L124" s="28"/>
      <c r="M124" s="69"/>
      <c r="N124" s="69"/>
      <c r="O124" s="24" t="e">
        <f t="shared" si="31"/>
        <v>#DIV/0!</v>
      </c>
      <c r="P124" s="35"/>
      <c r="Q124" s="32"/>
    </row>
    <row r="125" spans="1:17" ht="12.75">
      <c r="A125" s="33" t="s">
        <v>1</v>
      </c>
      <c r="B125" s="33"/>
      <c r="C125" s="41" t="s">
        <v>0</v>
      </c>
      <c r="D125" s="42">
        <f aca="true" t="shared" si="45" ref="D125:K125">D126</f>
        <v>29339.800000000003</v>
      </c>
      <c r="E125" s="82">
        <f t="shared" si="45"/>
        <v>5481.7</v>
      </c>
      <c r="F125" s="82">
        <f t="shared" si="45"/>
        <v>5481.7</v>
      </c>
      <c r="G125" s="82">
        <f t="shared" si="45"/>
        <v>8599.8</v>
      </c>
      <c r="H125" s="82">
        <f t="shared" si="45"/>
        <v>9130.7</v>
      </c>
      <c r="I125" s="42">
        <f t="shared" si="45"/>
        <v>6127.6</v>
      </c>
      <c r="J125" s="42">
        <f t="shared" si="45"/>
        <v>3580.3</v>
      </c>
      <c r="K125" s="42" t="e">
        <f t="shared" si="45"/>
        <v>#REF!</v>
      </c>
      <c r="L125" s="35">
        <f>J125/H125*100</f>
        <v>39.211670518142085</v>
      </c>
      <c r="M125" s="69"/>
      <c r="N125" s="69"/>
      <c r="O125" s="46">
        <f t="shared" si="31"/>
        <v>58.42907500489588</v>
      </c>
      <c r="P125" s="35">
        <f t="shared" si="28"/>
        <v>65.31368006275426</v>
      </c>
      <c r="Q125" s="32">
        <f t="shared" si="29"/>
        <v>12.202878001895035</v>
      </c>
    </row>
    <row r="126" spans="1:17" ht="24">
      <c r="A126" s="21" t="s">
        <v>67</v>
      </c>
      <c r="B126" s="19"/>
      <c r="C126" s="43" t="s">
        <v>20</v>
      </c>
      <c r="D126" s="73">
        <f t="shared" si="44"/>
        <v>29339.800000000003</v>
      </c>
      <c r="E126" s="73">
        <f t="shared" si="43"/>
        <v>5481.7</v>
      </c>
      <c r="F126" s="73">
        <v>5481.7</v>
      </c>
      <c r="G126" s="73">
        <v>8599.8</v>
      </c>
      <c r="H126" s="25">
        <v>9130.7</v>
      </c>
      <c r="I126" s="25">
        <v>6127.6</v>
      </c>
      <c r="J126" s="25">
        <v>3580.3</v>
      </c>
      <c r="K126" s="28" t="e">
        <f>J126/#REF!*100</f>
        <v>#REF!</v>
      </c>
      <c r="L126" s="28">
        <f>J126/H126*100</f>
        <v>39.211670518142085</v>
      </c>
      <c r="M126" s="69"/>
      <c r="N126" s="69"/>
      <c r="O126" s="24">
        <f t="shared" si="31"/>
        <v>58.42907500489588</v>
      </c>
      <c r="P126" s="28">
        <f t="shared" si="28"/>
        <v>65.31368006275426</v>
      </c>
      <c r="Q126" s="25">
        <f t="shared" si="29"/>
        <v>12.202878001895035</v>
      </c>
    </row>
    <row r="127" spans="1:17" ht="12.75">
      <c r="A127" s="29"/>
      <c r="B127" s="30"/>
      <c r="C127" s="31" t="s">
        <v>4</v>
      </c>
      <c r="D127" s="32">
        <f aca="true" t="shared" si="46" ref="D127:J127">D125+D114</f>
        <v>33380.8</v>
      </c>
      <c r="E127" s="32">
        <f t="shared" si="46"/>
        <v>6434</v>
      </c>
      <c r="F127" s="32">
        <f t="shared" si="46"/>
        <v>6434</v>
      </c>
      <c r="G127" s="32">
        <f t="shared" si="46"/>
        <v>9667.699999999999</v>
      </c>
      <c r="H127" s="32">
        <f t="shared" si="46"/>
        <v>10170.5</v>
      </c>
      <c r="I127" s="32">
        <f t="shared" si="46"/>
        <v>7108.6</v>
      </c>
      <c r="J127" s="32">
        <f t="shared" si="46"/>
        <v>4067.5</v>
      </c>
      <c r="K127" s="35" t="e">
        <f>J127/#REF!*100</f>
        <v>#REF!</v>
      </c>
      <c r="L127" s="35">
        <f>J127/H127*100</f>
        <v>39.993117349196204</v>
      </c>
      <c r="M127" s="69"/>
      <c r="N127" s="70" t="e">
        <f>I127+#REF!+#REF!</f>
        <v>#REF!</v>
      </c>
      <c r="O127" s="46">
        <f t="shared" si="31"/>
        <v>57.21942435922685</v>
      </c>
      <c r="P127" s="35">
        <f t="shared" si="28"/>
        <v>63.21883742617345</v>
      </c>
      <c r="Q127" s="32">
        <f t="shared" si="29"/>
        <v>12.185148348751376</v>
      </c>
    </row>
    <row r="128" spans="1:17" ht="12.75">
      <c r="A128" s="96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8"/>
      <c r="M128" s="69"/>
      <c r="N128" s="69"/>
      <c r="O128" s="67"/>
      <c r="P128" s="35"/>
      <c r="Q128" s="32"/>
    </row>
    <row r="129" spans="1:17" ht="12.75">
      <c r="A129" s="95" t="s">
        <v>31</v>
      </c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35"/>
      <c r="Q129" s="32"/>
    </row>
    <row r="130" spans="1:17" ht="12.75">
      <c r="A130" s="33" t="s">
        <v>3</v>
      </c>
      <c r="B130" s="33"/>
      <c r="C130" s="34" t="s">
        <v>68</v>
      </c>
      <c r="D130" s="35">
        <f aca="true" t="shared" si="47" ref="D130:J130">D131+D133+D134+D135+D137+D139+D136+D138+D132</f>
        <v>8150.6</v>
      </c>
      <c r="E130" s="35">
        <f t="shared" si="47"/>
        <v>1445.3</v>
      </c>
      <c r="F130" s="35">
        <f t="shared" si="47"/>
        <v>1445.3</v>
      </c>
      <c r="G130" s="35">
        <f t="shared" si="47"/>
        <v>2379.5</v>
      </c>
      <c r="H130" s="35">
        <f t="shared" si="47"/>
        <v>2153</v>
      </c>
      <c r="I130" s="35">
        <f t="shared" si="47"/>
        <v>2172.8</v>
      </c>
      <c r="J130" s="35">
        <f t="shared" si="47"/>
        <v>1013</v>
      </c>
      <c r="K130" s="35" t="e">
        <f>J130/#REF!*100</f>
        <v>#REF!</v>
      </c>
      <c r="L130" s="35">
        <f aca="true" t="shared" si="48" ref="L130:L137">J130/H130*100</f>
        <v>47.050627032048304</v>
      </c>
      <c r="M130" s="69"/>
      <c r="N130" s="69"/>
      <c r="O130" s="35">
        <f t="shared" si="31"/>
        <v>46.62187039764359</v>
      </c>
      <c r="P130" s="35">
        <f t="shared" si="28"/>
        <v>70.08925482598768</v>
      </c>
      <c r="Q130" s="32">
        <f t="shared" si="29"/>
        <v>12.428532868745858</v>
      </c>
    </row>
    <row r="131" spans="1:17" ht="12.75">
      <c r="A131" s="29" t="s">
        <v>23</v>
      </c>
      <c r="B131" s="29"/>
      <c r="C131" s="36" t="s">
        <v>22</v>
      </c>
      <c r="D131" s="73">
        <f>F131+G131+H131+I131</f>
        <v>2250</v>
      </c>
      <c r="E131" s="73">
        <f aca="true" t="shared" si="49" ref="E131:E142">F131</f>
        <v>405</v>
      </c>
      <c r="F131" s="49">
        <v>405</v>
      </c>
      <c r="G131" s="49">
        <v>697.5</v>
      </c>
      <c r="H131" s="24">
        <v>607.5</v>
      </c>
      <c r="I131" s="25">
        <v>540</v>
      </c>
      <c r="J131" s="25">
        <v>284.9</v>
      </c>
      <c r="K131" s="28" t="e">
        <f>J131/#REF!*100</f>
        <v>#REF!</v>
      </c>
      <c r="L131" s="28">
        <f t="shared" si="48"/>
        <v>46.89711934156378</v>
      </c>
      <c r="M131" s="69"/>
      <c r="N131" s="69"/>
      <c r="O131" s="24">
        <f t="shared" si="31"/>
        <v>52.75925925925925</v>
      </c>
      <c r="P131" s="28">
        <f t="shared" si="28"/>
        <v>70.34567901234567</v>
      </c>
      <c r="Q131" s="25">
        <f t="shared" si="29"/>
        <v>12.662222222222221</v>
      </c>
    </row>
    <row r="132" spans="1:17" ht="12.75">
      <c r="A132" s="19" t="s">
        <v>70</v>
      </c>
      <c r="B132" s="19"/>
      <c r="C132" s="36" t="s">
        <v>71</v>
      </c>
      <c r="D132" s="73">
        <f>F132+G132+H132+I132</f>
        <v>5246.2</v>
      </c>
      <c r="E132" s="73">
        <f t="shared" si="49"/>
        <v>944.3</v>
      </c>
      <c r="F132" s="49">
        <v>944.3</v>
      </c>
      <c r="G132" s="49">
        <v>1387.6</v>
      </c>
      <c r="H132" s="24">
        <v>1416.5</v>
      </c>
      <c r="I132" s="25">
        <v>1497.8</v>
      </c>
      <c r="J132" s="25">
        <v>630.1</v>
      </c>
      <c r="K132" s="28"/>
      <c r="L132" s="28"/>
      <c r="M132" s="69"/>
      <c r="N132" s="69"/>
      <c r="O132" s="24"/>
      <c r="P132" s="28">
        <f>J132*100/E132</f>
        <v>66.72667584454094</v>
      </c>
      <c r="Q132" s="25">
        <f>J132*100/D132</f>
        <v>12.010598147230377</v>
      </c>
    </row>
    <row r="133" spans="1:17" ht="12.75">
      <c r="A133" s="19" t="s">
        <v>9</v>
      </c>
      <c r="B133" s="19"/>
      <c r="C133" s="36" t="s">
        <v>6</v>
      </c>
      <c r="D133" s="73">
        <f aca="true" t="shared" si="50" ref="D133:D142">F133+G133+H133+I133</f>
        <v>298</v>
      </c>
      <c r="E133" s="73">
        <f t="shared" si="49"/>
        <v>53.6</v>
      </c>
      <c r="F133" s="49">
        <v>53.6</v>
      </c>
      <c r="G133" s="49">
        <v>89.4</v>
      </c>
      <c r="H133" s="24">
        <v>75.1</v>
      </c>
      <c r="I133" s="25">
        <v>79.9</v>
      </c>
      <c r="J133" s="25">
        <v>67.7</v>
      </c>
      <c r="K133" s="28" t="e">
        <f>J133/#REF!*100</f>
        <v>#REF!</v>
      </c>
      <c r="L133" s="28">
        <f t="shared" si="48"/>
        <v>90.14647137150466</v>
      </c>
      <c r="M133" s="69"/>
      <c r="N133" s="69"/>
      <c r="O133" s="24">
        <f t="shared" si="31"/>
        <v>84.73091364205256</v>
      </c>
      <c r="P133" s="28">
        <f t="shared" si="28"/>
        <v>126.30597014925372</v>
      </c>
      <c r="Q133" s="25">
        <f t="shared" si="29"/>
        <v>22.71812080536913</v>
      </c>
    </row>
    <row r="134" spans="1:17" ht="12.75">
      <c r="A134" s="19" t="s">
        <v>10</v>
      </c>
      <c r="B134" s="19"/>
      <c r="C134" s="36" t="s">
        <v>21</v>
      </c>
      <c r="D134" s="73">
        <f t="shared" si="50"/>
        <v>56.4</v>
      </c>
      <c r="E134" s="73">
        <f t="shared" si="49"/>
        <v>10.2</v>
      </c>
      <c r="F134" s="49">
        <v>10.2</v>
      </c>
      <c r="G134" s="49">
        <v>17.5</v>
      </c>
      <c r="H134" s="24">
        <v>15.2</v>
      </c>
      <c r="I134" s="25">
        <v>13.5</v>
      </c>
      <c r="J134" s="25">
        <v>1.2</v>
      </c>
      <c r="K134" s="28" t="e">
        <f>J134/#REF!*100</f>
        <v>#REF!</v>
      </c>
      <c r="L134" s="28">
        <f t="shared" si="48"/>
        <v>7.894736842105263</v>
      </c>
      <c r="M134" s="69"/>
      <c r="N134" s="69"/>
      <c r="O134" s="24">
        <f t="shared" si="31"/>
        <v>8.88888888888889</v>
      </c>
      <c r="P134" s="28">
        <f t="shared" si="28"/>
        <v>11.764705882352942</v>
      </c>
      <c r="Q134" s="25">
        <f t="shared" si="29"/>
        <v>2.127659574468085</v>
      </c>
    </row>
    <row r="135" spans="1:17" ht="24">
      <c r="A135" s="20" t="s">
        <v>11</v>
      </c>
      <c r="B135" s="20"/>
      <c r="C135" s="36" t="s">
        <v>17</v>
      </c>
      <c r="D135" s="73">
        <f t="shared" si="50"/>
        <v>220</v>
      </c>
      <c r="E135" s="73">
        <f t="shared" si="49"/>
        <v>12.6</v>
      </c>
      <c r="F135" s="49">
        <v>12.6</v>
      </c>
      <c r="G135" s="49">
        <v>166.8</v>
      </c>
      <c r="H135" s="24">
        <v>18.9</v>
      </c>
      <c r="I135" s="25">
        <v>21.7</v>
      </c>
      <c r="J135" s="25">
        <v>29.1</v>
      </c>
      <c r="K135" s="28" t="e">
        <f>J135/#REF!*100</f>
        <v>#REF!</v>
      </c>
      <c r="L135" s="28">
        <f t="shared" si="48"/>
        <v>153.96825396825398</v>
      </c>
      <c r="M135" s="69"/>
      <c r="N135" s="69"/>
      <c r="O135" s="24">
        <f t="shared" si="31"/>
        <v>134.10138248847926</v>
      </c>
      <c r="P135" s="28">
        <f t="shared" si="28"/>
        <v>230.95238095238096</v>
      </c>
      <c r="Q135" s="25">
        <f t="shared" si="29"/>
        <v>13.227272727272727</v>
      </c>
    </row>
    <row r="136" spans="1:17" ht="12.75">
      <c r="A136" s="38" t="s">
        <v>42</v>
      </c>
      <c r="B136" s="38"/>
      <c r="C136" s="36" t="s">
        <v>43</v>
      </c>
      <c r="D136" s="73">
        <f t="shared" si="50"/>
        <v>80</v>
      </c>
      <c r="E136" s="73">
        <f t="shared" si="49"/>
        <v>19.6</v>
      </c>
      <c r="F136" s="49">
        <v>19.6</v>
      </c>
      <c r="G136" s="49">
        <v>20.7</v>
      </c>
      <c r="H136" s="24">
        <v>19.8</v>
      </c>
      <c r="I136" s="25">
        <v>19.9</v>
      </c>
      <c r="J136" s="25">
        <v>0</v>
      </c>
      <c r="K136" s="28" t="e">
        <f>J136/#REF!*100</f>
        <v>#REF!</v>
      </c>
      <c r="L136" s="28">
        <f t="shared" si="48"/>
        <v>0</v>
      </c>
      <c r="M136" s="69"/>
      <c r="N136" s="69"/>
      <c r="O136" s="24">
        <f t="shared" si="31"/>
        <v>0</v>
      </c>
      <c r="P136" s="28">
        <f t="shared" si="28"/>
        <v>0</v>
      </c>
      <c r="Q136" s="25">
        <f t="shared" si="29"/>
        <v>0</v>
      </c>
    </row>
    <row r="137" spans="1:17" ht="13.5" customHeight="1" hidden="1">
      <c r="A137" s="38" t="s">
        <v>18</v>
      </c>
      <c r="B137" s="38"/>
      <c r="C137" s="36" t="s">
        <v>15</v>
      </c>
      <c r="D137" s="73">
        <f t="shared" si="50"/>
        <v>0</v>
      </c>
      <c r="E137" s="73">
        <f t="shared" si="49"/>
        <v>0</v>
      </c>
      <c r="F137" s="49"/>
      <c r="G137" s="49"/>
      <c r="H137" s="24"/>
      <c r="I137" s="25"/>
      <c r="J137" s="25"/>
      <c r="K137" s="28" t="e">
        <f>J137/#REF!*100</f>
        <v>#REF!</v>
      </c>
      <c r="L137" s="28" t="e">
        <f t="shared" si="48"/>
        <v>#DIV/0!</v>
      </c>
      <c r="M137" s="69"/>
      <c r="N137" s="69"/>
      <c r="O137" s="24" t="e">
        <f t="shared" si="31"/>
        <v>#DIV/0!</v>
      </c>
      <c r="P137" s="28"/>
      <c r="Q137" s="25"/>
    </row>
    <row r="138" spans="1:17" ht="14.25" customHeight="1" hidden="1">
      <c r="A138" s="29" t="s">
        <v>12</v>
      </c>
      <c r="B138" s="29"/>
      <c r="C138" s="36" t="s">
        <v>7</v>
      </c>
      <c r="D138" s="73">
        <f t="shared" si="50"/>
        <v>0</v>
      </c>
      <c r="E138" s="73">
        <f t="shared" si="49"/>
        <v>0</v>
      </c>
      <c r="F138" s="49"/>
      <c r="G138" s="49"/>
      <c r="H138" s="24"/>
      <c r="I138" s="25"/>
      <c r="J138" s="25"/>
      <c r="K138" s="28"/>
      <c r="L138" s="28"/>
      <c r="M138" s="69"/>
      <c r="N138" s="69"/>
      <c r="O138" s="24"/>
      <c r="P138" s="28"/>
      <c r="Q138" s="25"/>
    </row>
    <row r="139" spans="1:17" ht="12.75">
      <c r="A139" s="38" t="s">
        <v>39</v>
      </c>
      <c r="B139" s="56"/>
      <c r="C139" s="23" t="s">
        <v>40</v>
      </c>
      <c r="D139" s="73">
        <f t="shared" si="50"/>
        <v>0</v>
      </c>
      <c r="E139" s="73">
        <f t="shared" si="49"/>
        <v>0</v>
      </c>
      <c r="F139" s="49"/>
      <c r="G139" s="49"/>
      <c r="H139" s="24"/>
      <c r="I139" s="25"/>
      <c r="J139" s="24">
        <v>0</v>
      </c>
      <c r="K139" s="28"/>
      <c r="L139" s="28"/>
      <c r="M139" s="69"/>
      <c r="N139" s="69"/>
      <c r="O139" s="24"/>
      <c r="P139" s="28"/>
      <c r="Q139" s="25"/>
    </row>
    <row r="140" spans="1:17" ht="12.75">
      <c r="A140" s="45" t="s">
        <v>1</v>
      </c>
      <c r="B140" s="45"/>
      <c r="C140" s="41" t="s">
        <v>0</v>
      </c>
      <c r="D140" s="42">
        <f aca="true" t="shared" si="51" ref="D140:J140">D141+D142</f>
        <v>45682.6</v>
      </c>
      <c r="E140" s="42">
        <f t="shared" si="51"/>
        <v>13239.5</v>
      </c>
      <c r="F140" s="42">
        <f t="shared" si="51"/>
        <v>13239.5</v>
      </c>
      <c r="G140" s="42">
        <f t="shared" si="51"/>
        <v>10270.8</v>
      </c>
      <c r="H140" s="42">
        <f t="shared" si="51"/>
        <v>10300.8</v>
      </c>
      <c r="I140" s="42">
        <f t="shared" si="51"/>
        <v>11871.5</v>
      </c>
      <c r="J140" s="42">
        <f t="shared" si="51"/>
        <v>6838.9</v>
      </c>
      <c r="K140" s="35" t="e">
        <f>J140/#REF!*100</f>
        <v>#REF!</v>
      </c>
      <c r="L140" s="35">
        <f>J140/H140*100</f>
        <v>66.39193072382727</v>
      </c>
      <c r="M140" s="69"/>
      <c r="N140" s="69"/>
      <c r="O140" s="46">
        <f t="shared" si="31"/>
        <v>57.607715958387736</v>
      </c>
      <c r="P140" s="35">
        <f t="shared" si="28"/>
        <v>51.65527399070962</v>
      </c>
      <c r="Q140" s="32">
        <f t="shared" si="29"/>
        <v>14.970470157127659</v>
      </c>
    </row>
    <row r="141" spans="1:17" ht="24">
      <c r="A141" s="21" t="s">
        <v>67</v>
      </c>
      <c r="B141" s="19"/>
      <c r="C141" s="43" t="s">
        <v>20</v>
      </c>
      <c r="D141" s="73">
        <f t="shared" si="50"/>
        <v>45682.6</v>
      </c>
      <c r="E141" s="73">
        <f t="shared" si="49"/>
        <v>13239.5</v>
      </c>
      <c r="F141" s="49">
        <v>13239.5</v>
      </c>
      <c r="G141" s="49">
        <v>10270.8</v>
      </c>
      <c r="H141" s="24">
        <v>10300.8</v>
      </c>
      <c r="I141" s="25">
        <v>11871.5</v>
      </c>
      <c r="J141" s="25">
        <v>6838.9</v>
      </c>
      <c r="K141" s="28" t="e">
        <f>J141/#REF!*100</f>
        <v>#REF!</v>
      </c>
      <c r="L141" s="28">
        <f>J141/H141*100</f>
        <v>66.39193072382727</v>
      </c>
      <c r="M141" s="69"/>
      <c r="N141" s="69"/>
      <c r="O141" s="24">
        <f t="shared" si="31"/>
        <v>57.607715958387736</v>
      </c>
      <c r="P141" s="28">
        <f t="shared" si="28"/>
        <v>51.65527399070962</v>
      </c>
      <c r="Q141" s="25">
        <f t="shared" si="29"/>
        <v>14.970470157127659</v>
      </c>
    </row>
    <row r="142" spans="1:17" ht="12.75" hidden="1">
      <c r="A142" s="21" t="s">
        <v>2</v>
      </c>
      <c r="B142" s="21"/>
      <c r="C142" s="44" t="s">
        <v>19</v>
      </c>
      <c r="D142" s="73">
        <f t="shared" si="50"/>
        <v>0</v>
      </c>
      <c r="E142" s="73">
        <f t="shared" si="49"/>
        <v>0</v>
      </c>
      <c r="F142" s="80"/>
      <c r="G142" s="80"/>
      <c r="H142" s="24"/>
      <c r="I142" s="25"/>
      <c r="J142" s="25"/>
      <c r="K142" s="28"/>
      <c r="L142" s="28"/>
      <c r="M142" s="69"/>
      <c r="N142" s="69"/>
      <c r="O142" s="24" t="e">
        <f t="shared" si="31"/>
        <v>#DIV/0!</v>
      </c>
      <c r="P142" s="28"/>
      <c r="Q142" s="25"/>
    </row>
    <row r="143" spans="1:17" ht="12.75">
      <c r="A143" s="29"/>
      <c r="B143" s="30"/>
      <c r="C143" s="31" t="s">
        <v>4</v>
      </c>
      <c r="D143" s="32">
        <f aca="true" t="shared" si="52" ref="D143:J143">D140+D130</f>
        <v>53833.2</v>
      </c>
      <c r="E143" s="32">
        <f t="shared" si="52"/>
        <v>14684.8</v>
      </c>
      <c r="F143" s="46">
        <f t="shared" si="52"/>
        <v>14684.8</v>
      </c>
      <c r="G143" s="46">
        <f t="shared" si="52"/>
        <v>12650.3</v>
      </c>
      <c r="H143" s="46">
        <f t="shared" si="52"/>
        <v>12453.8</v>
      </c>
      <c r="I143" s="32">
        <f t="shared" si="52"/>
        <v>14044.3</v>
      </c>
      <c r="J143" s="32">
        <f t="shared" si="52"/>
        <v>7851.9</v>
      </c>
      <c r="K143" s="35" t="e">
        <f>J143/#REF!*100</f>
        <v>#REF!</v>
      </c>
      <c r="L143" s="35">
        <f>J143/H143*100</f>
        <v>63.04822624419856</v>
      </c>
      <c r="M143" s="69"/>
      <c r="N143" s="70" t="e">
        <f>I143+#REF!+#REF!</f>
        <v>#REF!</v>
      </c>
      <c r="O143" s="46">
        <f t="shared" si="31"/>
        <v>55.90809082688351</v>
      </c>
      <c r="P143" s="35">
        <f t="shared" si="28"/>
        <v>53.469573981259536</v>
      </c>
      <c r="Q143" s="32">
        <f t="shared" si="29"/>
        <v>14.585608880765031</v>
      </c>
    </row>
    <row r="144" spans="1:17" ht="12.75">
      <c r="A144" s="101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3"/>
      <c r="M144" s="69"/>
      <c r="N144" s="69"/>
      <c r="O144" s="67"/>
      <c r="P144" s="35"/>
      <c r="Q144" s="32"/>
    </row>
    <row r="145" spans="1:17" ht="12.75">
      <c r="A145" s="95" t="s">
        <v>32</v>
      </c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35"/>
      <c r="Q145" s="32"/>
    </row>
    <row r="146" spans="1:17" ht="12.75">
      <c r="A146" s="33" t="s">
        <v>3</v>
      </c>
      <c r="B146" s="33"/>
      <c r="C146" s="34" t="s">
        <v>68</v>
      </c>
      <c r="D146" s="35">
        <f aca="true" t="shared" si="53" ref="D146:J146">D147+D150+D152+D154+D151+D155+D153+D156+D149+D148</f>
        <v>18388.7</v>
      </c>
      <c r="E146" s="35">
        <f t="shared" si="53"/>
        <v>4398.4</v>
      </c>
      <c r="F146" s="35">
        <f t="shared" si="53"/>
        <v>4398.4</v>
      </c>
      <c r="G146" s="35">
        <f t="shared" si="53"/>
        <v>5217.5</v>
      </c>
      <c r="H146" s="35">
        <f t="shared" si="53"/>
        <v>4290.5</v>
      </c>
      <c r="I146" s="35">
        <f t="shared" si="53"/>
        <v>4482.3</v>
      </c>
      <c r="J146" s="35">
        <f t="shared" si="53"/>
        <v>3341.1</v>
      </c>
      <c r="K146" s="35" t="e">
        <f>J146/#REF!*100</f>
        <v>#REF!</v>
      </c>
      <c r="L146" s="35">
        <f>J146/H146*100</f>
        <v>77.87204288544459</v>
      </c>
      <c r="M146" s="69"/>
      <c r="N146" s="69"/>
      <c r="O146" s="35">
        <f t="shared" si="31"/>
        <v>74.53985676996184</v>
      </c>
      <c r="P146" s="35">
        <f t="shared" si="28"/>
        <v>75.96171335030921</v>
      </c>
      <c r="Q146" s="32">
        <f t="shared" si="29"/>
        <v>18.169310500470395</v>
      </c>
    </row>
    <row r="147" spans="1:17" ht="12.75">
      <c r="A147" s="29" t="s">
        <v>23</v>
      </c>
      <c r="B147" s="29"/>
      <c r="C147" s="36" t="s">
        <v>22</v>
      </c>
      <c r="D147" s="49">
        <f>F147+G147+H147+I147</f>
        <v>13000</v>
      </c>
      <c r="E147" s="73">
        <f aca="true" t="shared" si="54" ref="E147:E159">F147</f>
        <v>3030</v>
      </c>
      <c r="F147" s="49">
        <v>3030</v>
      </c>
      <c r="G147" s="49">
        <v>4080</v>
      </c>
      <c r="H147" s="24">
        <v>3090</v>
      </c>
      <c r="I147" s="25">
        <v>2800</v>
      </c>
      <c r="J147" s="25">
        <v>2249.1</v>
      </c>
      <c r="K147" s="28" t="e">
        <f>J147/#REF!*100</f>
        <v>#REF!</v>
      </c>
      <c r="L147" s="28">
        <f>J147/H147*100</f>
        <v>72.7864077669903</v>
      </c>
      <c r="M147" s="69"/>
      <c r="N147" s="69"/>
      <c r="O147" s="24">
        <f t="shared" si="31"/>
        <v>80.325</v>
      </c>
      <c r="P147" s="28">
        <f t="shared" si="28"/>
        <v>74.22772277227723</v>
      </c>
      <c r="Q147" s="25">
        <f t="shared" si="29"/>
        <v>17.30076923076923</v>
      </c>
    </row>
    <row r="148" spans="1:17" ht="12.75">
      <c r="A148" s="19" t="s">
        <v>70</v>
      </c>
      <c r="B148" s="19"/>
      <c r="C148" s="36" t="s">
        <v>71</v>
      </c>
      <c r="D148" s="49">
        <f>F148+G148+H148+I148</f>
        <v>3943.7</v>
      </c>
      <c r="E148" s="73">
        <f t="shared" si="54"/>
        <v>1110.9</v>
      </c>
      <c r="F148" s="49">
        <v>1110.9</v>
      </c>
      <c r="G148" s="49">
        <v>933.8</v>
      </c>
      <c r="H148" s="24">
        <v>1019</v>
      </c>
      <c r="I148" s="25">
        <v>880</v>
      </c>
      <c r="J148" s="25">
        <v>473.6</v>
      </c>
      <c r="K148" s="28"/>
      <c r="L148" s="28"/>
      <c r="M148" s="69"/>
      <c r="N148" s="69"/>
      <c r="O148" s="24"/>
      <c r="P148" s="28">
        <f>J148*100/E148</f>
        <v>42.63210009901881</v>
      </c>
      <c r="Q148" s="25">
        <f>J148*100/D148</f>
        <v>12.009027055810535</v>
      </c>
    </row>
    <row r="149" spans="1:17" ht="12.75" customHeight="1">
      <c r="A149" s="19" t="s">
        <v>8</v>
      </c>
      <c r="B149" s="19"/>
      <c r="C149" s="36" t="s">
        <v>5</v>
      </c>
      <c r="D149" s="49">
        <f aca="true" t="shared" si="55" ref="D149:D158">F149+G149+H149+I149</f>
        <v>16</v>
      </c>
      <c r="E149" s="73">
        <f t="shared" si="54"/>
        <v>5</v>
      </c>
      <c r="F149" s="49">
        <v>5</v>
      </c>
      <c r="G149" s="49">
        <v>3.2</v>
      </c>
      <c r="H149" s="24">
        <v>3</v>
      </c>
      <c r="I149" s="25">
        <v>4.8</v>
      </c>
      <c r="J149" s="25">
        <v>0.4</v>
      </c>
      <c r="K149" s="28"/>
      <c r="L149" s="28"/>
      <c r="M149" s="69"/>
      <c r="N149" s="69"/>
      <c r="O149" s="24">
        <f t="shared" si="31"/>
        <v>8.333333333333334</v>
      </c>
      <c r="P149" s="28">
        <f>J149*100/E149</f>
        <v>8</v>
      </c>
      <c r="Q149" s="25">
        <f>J149*100/D149</f>
        <v>2.5</v>
      </c>
    </row>
    <row r="150" spans="1:17" ht="12.75">
      <c r="A150" s="19" t="s">
        <v>9</v>
      </c>
      <c r="B150" s="19"/>
      <c r="C150" s="36" t="s">
        <v>6</v>
      </c>
      <c r="D150" s="49">
        <f t="shared" si="55"/>
        <v>1137</v>
      </c>
      <c r="E150" s="73">
        <f t="shared" si="54"/>
        <v>170</v>
      </c>
      <c r="F150" s="49">
        <v>170</v>
      </c>
      <c r="G150" s="49">
        <v>129</v>
      </c>
      <c r="H150" s="24">
        <v>121</v>
      </c>
      <c r="I150" s="25">
        <v>717</v>
      </c>
      <c r="J150" s="25">
        <v>548.7</v>
      </c>
      <c r="K150" s="28" t="e">
        <f>J150/#REF!*100</f>
        <v>#REF!</v>
      </c>
      <c r="L150" s="28">
        <f>J150/H150*100</f>
        <v>453.47107438016536</v>
      </c>
      <c r="M150" s="69"/>
      <c r="N150" s="69"/>
      <c r="O150" s="24">
        <f t="shared" si="31"/>
        <v>76.52719665271968</v>
      </c>
      <c r="P150" s="28">
        <f aca="true" t="shared" si="56" ref="P150:P216">J150*100/E150</f>
        <v>322.764705882353</v>
      </c>
      <c r="Q150" s="25">
        <f aca="true" t="shared" si="57" ref="Q150:Q216">J150*100/D150</f>
        <v>48.258575197889186</v>
      </c>
    </row>
    <row r="151" spans="1:17" ht="12.75">
      <c r="A151" s="19" t="s">
        <v>10</v>
      </c>
      <c r="B151" s="19"/>
      <c r="C151" s="36" t="s">
        <v>21</v>
      </c>
      <c r="D151" s="49">
        <f t="shared" si="55"/>
        <v>132</v>
      </c>
      <c r="E151" s="73">
        <f t="shared" si="54"/>
        <v>43</v>
      </c>
      <c r="F151" s="49">
        <v>43</v>
      </c>
      <c r="G151" s="49">
        <v>34</v>
      </c>
      <c r="H151" s="24">
        <v>17</v>
      </c>
      <c r="I151" s="25">
        <v>38</v>
      </c>
      <c r="J151" s="25">
        <v>20.1</v>
      </c>
      <c r="K151" s="28" t="e">
        <f>J151/#REF!*100</f>
        <v>#REF!</v>
      </c>
      <c r="L151" s="28">
        <f>J151/H151*100</f>
        <v>118.23529411764706</v>
      </c>
      <c r="M151" s="69"/>
      <c r="N151" s="69"/>
      <c r="O151" s="24">
        <f t="shared" si="31"/>
        <v>52.89473684210527</v>
      </c>
      <c r="P151" s="28">
        <f t="shared" si="56"/>
        <v>46.744186046511636</v>
      </c>
      <c r="Q151" s="25">
        <f t="shared" si="57"/>
        <v>15.227272727272728</v>
      </c>
    </row>
    <row r="152" spans="1:17" ht="24">
      <c r="A152" s="20" t="s">
        <v>11</v>
      </c>
      <c r="B152" s="20"/>
      <c r="C152" s="36" t="s">
        <v>17</v>
      </c>
      <c r="D152" s="49">
        <f t="shared" si="55"/>
        <v>160</v>
      </c>
      <c r="E152" s="73">
        <f t="shared" si="54"/>
        <v>39.5</v>
      </c>
      <c r="F152" s="49">
        <v>39.5</v>
      </c>
      <c r="G152" s="49">
        <v>37.5</v>
      </c>
      <c r="H152" s="24">
        <v>40.5</v>
      </c>
      <c r="I152" s="25">
        <v>42.5</v>
      </c>
      <c r="J152" s="25">
        <v>49.2</v>
      </c>
      <c r="K152" s="28" t="e">
        <f>J152/#REF!*100</f>
        <v>#REF!</v>
      </c>
      <c r="L152" s="28">
        <f>J152/H152*100</f>
        <v>121.48148148148148</v>
      </c>
      <c r="M152" s="69"/>
      <c r="N152" s="69"/>
      <c r="O152" s="24">
        <f t="shared" si="31"/>
        <v>115.76470588235294</v>
      </c>
      <c r="P152" s="28">
        <f t="shared" si="56"/>
        <v>124.55696202531645</v>
      </c>
      <c r="Q152" s="25">
        <f t="shared" si="57"/>
        <v>30.75</v>
      </c>
    </row>
    <row r="153" spans="1:17" ht="12.75" hidden="1">
      <c r="A153" s="38" t="s">
        <v>42</v>
      </c>
      <c r="B153" s="38"/>
      <c r="C153" s="36" t="s">
        <v>43</v>
      </c>
      <c r="D153" s="49">
        <f t="shared" si="55"/>
        <v>0</v>
      </c>
      <c r="E153" s="73">
        <f t="shared" si="54"/>
        <v>0</v>
      </c>
      <c r="F153" s="49"/>
      <c r="G153" s="49"/>
      <c r="H153" s="24"/>
      <c r="I153" s="25"/>
      <c r="J153" s="25"/>
      <c r="K153" s="28"/>
      <c r="L153" s="28"/>
      <c r="M153" s="69"/>
      <c r="N153" s="69"/>
      <c r="O153" s="24" t="e">
        <f aca="true" t="shared" si="58" ref="O153:O219">J153*100/I153</f>
        <v>#DIV/0!</v>
      </c>
      <c r="P153" s="28" t="e">
        <f t="shared" si="56"/>
        <v>#DIV/0!</v>
      </c>
      <c r="Q153" s="25" t="e">
        <f t="shared" si="57"/>
        <v>#DIV/0!</v>
      </c>
    </row>
    <row r="154" spans="1:17" ht="12.75" hidden="1">
      <c r="A154" s="37" t="s">
        <v>18</v>
      </c>
      <c r="B154" s="37"/>
      <c r="C154" s="36" t="s">
        <v>15</v>
      </c>
      <c r="D154" s="49">
        <f t="shared" si="55"/>
        <v>0</v>
      </c>
      <c r="E154" s="73">
        <f t="shared" si="54"/>
        <v>0</v>
      </c>
      <c r="F154" s="49"/>
      <c r="G154" s="49"/>
      <c r="H154" s="24"/>
      <c r="I154" s="25"/>
      <c r="J154" s="25"/>
      <c r="K154" s="28" t="e">
        <f>J154/#REF!*100</f>
        <v>#REF!</v>
      </c>
      <c r="L154" s="28" t="e">
        <f>J154/H154*100</f>
        <v>#DIV/0!</v>
      </c>
      <c r="M154" s="69"/>
      <c r="N154" s="69"/>
      <c r="O154" s="24" t="e">
        <f t="shared" si="58"/>
        <v>#DIV/0!</v>
      </c>
      <c r="P154" s="28"/>
      <c r="Q154" s="25"/>
    </row>
    <row r="155" spans="1:17" ht="14.25" customHeight="1" hidden="1">
      <c r="A155" s="29" t="s">
        <v>12</v>
      </c>
      <c r="B155" s="29"/>
      <c r="C155" s="36" t="s">
        <v>7</v>
      </c>
      <c r="D155" s="49">
        <f t="shared" si="55"/>
        <v>0</v>
      </c>
      <c r="E155" s="73">
        <f t="shared" si="54"/>
        <v>0</v>
      </c>
      <c r="F155" s="49"/>
      <c r="G155" s="49"/>
      <c r="H155" s="24"/>
      <c r="I155" s="25"/>
      <c r="J155" s="25"/>
      <c r="K155" s="28" t="e">
        <f>J155/#REF!*100</f>
        <v>#REF!</v>
      </c>
      <c r="L155" s="28"/>
      <c r="M155" s="69"/>
      <c r="N155" s="69"/>
      <c r="O155" s="24" t="e">
        <f t="shared" si="58"/>
        <v>#DIV/0!</v>
      </c>
      <c r="P155" s="28"/>
      <c r="Q155" s="25"/>
    </row>
    <row r="156" spans="1:17" ht="16.5" customHeight="1">
      <c r="A156" s="37" t="s">
        <v>39</v>
      </c>
      <c r="B156" s="57"/>
      <c r="C156" s="23" t="s">
        <v>40</v>
      </c>
      <c r="D156" s="49">
        <f t="shared" si="55"/>
        <v>0</v>
      </c>
      <c r="E156" s="73">
        <f t="shared" si="54"/>
        <v>0</v>
      </c>
      <c r="F156" s="49"/>
      <c r="G156" s="49"/>
      <c r="H156" s="24"/>
      <c r="I156" s="25"/>
      <c r="J156" s="25">
        <v>0</v>
      </c>
      <c r="K156" s="28"/>
      <c r="L156" s="28"/>
      <c r="M156" s="69"/>
      <c r="N156" s="69"/>
      <c r="O156" s="24" t="e">
        <f t="shared" si="58"/>
        <v>#DIV/0!</v>
      </c>
      <c r="P156" s="35"/>
      <c r="Q156" s="32"/>
    </row>
    <row r="157" spans="1:17" ht="12.75">
      <c r="A157" s="33" t="s">
        <v>1</v>
      </c>
      <c r="B157" s="33"/>
      <c r="C157" s="41" t="s">
        <v>0</v>
      </c>
      <c r="D157" s="42">
        <f>D158+D159</f>
        <v>35936.2</v>
      </c>
      <c r="E157" s="42">
        <f aca="true" t="shared" si="59" ref="E157:J157">E158+E159</f>
        <v>13869.3</v>
      </c>
      <c r="F157" s="42">
        <f t="shared" si="59"/>
        <v>13869.3</v>
      </c>
      <c r="G157" s="42">
        <f t="shared" si="59"/>
        <v>7023.2</v>
      </c>
      <c r="H157" s="42">
        <f t="shared" si="59"/>
        <v>8123.2</v>
      </c>
      <c r="I157" s="42">
        <f t="shared" si="59"/>
        <v>6920.5</v>
      </c>
      <c r="J157" s="42">
        <f t="shared" si="59"/>
        <v>3768.1</v>
      </c>
      <c r="K157" s="35" t="e">
        <f>J157/#REF!*100</f>
        <v>#REF!</v>
      </c>
      <c r="L157" s="35">
        <f>J157/H157*100</f>
        <v>46.38689186527477</v>
      </c>
      <c r="M157" s="69"/>
      <c r="N157" s="69"/>
      <c r="O157" s="46">
        <f t="shared" si="58"/>
        <v>54.448378007369406</v>
      </c>
      <c r="P157" s="35">
        <f t="shared" si="56"/>
        <v>27.16863864794907</v>
      </c>
      <c r="Q157" s="32">
        <f t="shared" si="57"/>
        <v>10.485527128633523</v>
      </c>
    </row>
    <row r="158" spans="1:17" ht="24">
      <c r="A158" s="21" t="s">
        <v>67</v>
      </c>
      <c r="B158" s="19"/>
      <c r="C158" s="43" t="s">
        <v>20</v>
      </c>
      <c r="D158" s="49">
        <f t="shared" si="55"/>
        <v>35936.2</v>
      </c>
      <c r="E158" s="73">
        <f t="shared" si="54"/>
        <v>13869.3</v>
      </c>
      <c r="F158" s="49">
        <v>13869.3</v>
      </c>
      <c r="G158" s="49">
        <v>7023.2</v>
      </c>
      <c r="H158" s="24">
        <v>8123.2</v>
      </c>
      <c r="I158" s="25">
        <v>6920.5</v>
      </c>
      <c r="J158" s="25">
        <v>3768.1</v>
      </c>
      <c r="K158" s="28" t="e">
        <f>J158/#REF!*100</f>
        <v>#REF!</v>
      </c>
      <c r="L158" s="28">
        <f>J158/H158*100</f>
        <v>46.38689186527477</v>
      </c>
      <c r="M158" s="69"/>
      <c r="N158" s="69"/>
      <c r="O158" s="24">
        <f t="shared" si="58"/>
        <v>54.448378007369406</v>
      </c>
      <c r="P158" s="28">
        <f t="shared" si="56"/>
        <v>27.16863864794907</v>
      </c>
      <c r="Q158" s="25">
        <f t="shared" si="57"/>
        <v>10.485527128633523</v>
      </c>
    </row>
    <row r="159" spans="1:17" ht="12.75" hidden="1">
      <c r="A159" s="21" t="s">
        <v>2</v>
      </c>
      <c r="B159" s="21"/>
      <c r="C159" s="44" t="s">
        <v>19</v>
      </c>
      <c r="D159" s="49">
        <f>F159+G159+H159+I159</f>
        <v>0</v>
      </c>
      <c r="E159" s="73">
        <f t="shared" si="54"/>
        <v>0</v>
      </c>
      <c r="F159" s="49"/>
      <c r="G159" s="49"/>
      <c r="H159" s="24"/>
      <c r="I159" s="25"/>
      <c r="J159" s="25"/>
      <c r="K159" s="28"/>
      <c r="L159" s="28"/>
      <c r="M159" s="69"/>
      <c r="N159" s="69"/>
      <c r="O159" s="24"/>
      <c r="P159" s="28"/>
      <c r="Q159" s="25"/>
    </row>
    <row r="160" spans="1:17" ht="12.75">
      <c r="A160" s="29"/>
      <c r="B160" s="30"/>
      <c r="C160" s="31" t="s">
        <v>4</v>
      </c>
      <c r="D160" s="32">
        <f aca="true" t="shared" si="60" ref="D160:J160">D157+D146</f>
        <v>54324.899999999994</v>
      </c>
      <c r="E160" s="32">
        <f t="shared" si="60"/>
        <v>18267.699999999997</v>
      </c>
      <c r="F160" s="32">
        <f t="shared" si="60"/>
        <v>18267.699999999997</v>
      </c>
      <c r="G160" s="32">
        <f t="shared" si="60"/>
        <v>12240.7</v>
      </c>
      <c r="H160" s="32">
        <f t="shared" si="60"/>
        <v>12413.7</v>
      </c>
      <c r="I160" s="32">
        <f t="shared" si="60"/>
        <v>11402.8</v>
      </c>
      <c r="J160" s="32">
        <f t="shared" si="60"/>
        <v>7109.2</v>
      </c>
      <c r="K160" s="35" t="e">
        <f>J160/#REF!*100</f>
        <v>#REF!</v>
      </c>
      <c r="L160" s="35">
        <f>J160/H160*100</f>
        <v>57.2689850729436</v>
      </c>
      <c r="M160" s="69"/>
      <c r="N160" s="70" t="e">
        <f>I160+#REF!+#REF!</f>
        <v>#REF!</v>
      </c>
      <c r="O160" s="46">
        <f t="shared" si="58"/>
        <v>62.34609043392851</v>
      </c>
      <c r="P160" s="35">
        <f t="shared" si="56"/>
        <v>38.91677660570297</v>
      </c>
      <c r="Q160" s="32">
        <f t="shared" si="57"/>
        <v>13.086448387387737</v>
      </c>
    </row>
    <row r="161" spans="1:17" ht="12.75">
      <c r="A161" s="96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8"/>
      <c r="M161" s="69"/>
      <c r="N161" s="69"/>
      <c r="O161" s="67"/>
      <c r="P161" s="35"/>
      <c r="Q161" s="32"/>
    </row>
    <row r="162" spans="1:17" ht="12.75">
      <c r="A162" s="95" t="s">
        <v>33</v>
      </c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35"/>
      <c r="Q162" s="32"/>
    </row>
    <row r="163" spans="1:17" ht="12.75">
      <c r="A163" s="33" t="s">
        <v>3</v>
      </c>
      <c r="B163" s="33"/>
      <c r="C163" s="34" t="s">
        <v>68</v>
      </c>
      <c r="D163" s="35">
        <f>D164+D167+D168+D169+D171+D172+D173+D170+D165+D166</f>
        <v>6153.8</v>
      </c>
      <c r="E163" s="35">
        <f aca="true" t="shared" si="61" ref="E163:O163">E164+E167+E168+E169+E171+E172+E173+E170+E165+E166</f>
        <v>1297</v>
      </c>
      <c r="F163" s="35">
        <f t="shared" si="61"/>
        <v>1297</v>
      </c>
      <c r="G163" s="35">
        <f t="shared" si="61"/>
        <v>1608</v>
      </c>
      <c r="H163" s="35">
        <f t="shared" si="61"/>
        <v>1413</v>
      </c>
      <c r="I163" s="35">
        <f t="shared" si="61"/>
        <v>1835.8</v>
      </c>
      <c r="J163" s="35">
        <f t="shared" si="61"/>
        <v>935.9</v>
      </c>
      <c r="K163" s="35" t="e">
        <f t="shared" si="61"/>
        <v>#REF!</v>
      </c>
      <c r="L163" s="35" t="e">
        <f t="shared" si="61"/>
        <v>#DIV/0!</v>
      </c>
      <c r="M163" s="35">
        <f t="shared" si="61"/>
        <v>0</v>
      </c>
      <c r="N163" s="35">
        <f t="shared" si="61"/>
        <v>0</v>
      </c>
      <c r="O163" s="35" t="e">
        <f t="shared" si="61"/>
        <v>#DIV/0!</v>
      </c>
      <c r="P163" s="35">
        <f t="shared" si="56"/>
        <v>72.15882806476485</v>
      </c>
      <c r="Q163" s="32">
        <f t="shared" si="57"/>
        <v>15.208489063667978</v>
      </c>
    </row>
    <row r="164" spans="1:17" ht="12.75">
      <c r="A164" s="29" t="s">
        <v>23</v>
      </c>
      <c r="B164" s="29"/>
      <c r="C164" s="36" t="s">
        <v>22</v>
      </c>
      <c r="D164" s="49">
        <f>F164+G164+H164+I164</f>
        <v>3305</v>
      </c>
      <c r="E164" s="73">
        <f aca="true" t="shared" si="62" ref="E164:E176">F164</f>
        <v>690</v>
      </c>
      <c r="F164" s="73">
        <v>690</v>
      </c>
      <c r="G164" s="73">
        <v>990</v>
      </c>
      <c r="H164" s="24">
        <v>740</v>
      </c>
      <c r="I164" s="25">
        <v>885</v>
      </c>
      <c r="J164" s="25">
        <v>458.2</v>
      </c>
      <c r="K164" s="28" t="e">
        <f>J164/#REF!*100</f>
        <v>#REF!</v>
      </c>
      <c r="L164" s="28">
        <f aca="true" t="shared" si="63" ref="L164:L172">J164/H164*100</f>
        <v>61.91891891891892</v>
      </c>
      <c r="M164" s="69"/>
      <c r="N164" s="69"/>
      <c r="O164" s="24">
        <f t="shared" si="58"/>
        <v>51.77401129943503</v>
      </c>
      <c r="P164" s="28">
        <f>J164*100/E164</f>
        <v>66.40579710144928</v>
      </c>
      <c r="Q164" s="25">
        <f>J164*100/D164</f>
        <v>13.863842662632376</v>
      </c>
    </row>
    <row r="165" spans="1:17" ht="12.75">
      <c r="A165" s="19" t="s">
        <v>70</v>
      </c>
      <c r="B165" s="19"/>
      <c r="C165" s="36" t="s">
        <v>71</v>
      </c>
      <c r="D165" s="49">
        <f>F165+G165+H165+I165</f>
        <v>2147.8</v>
      </c>
      <c r="E165" s="73">
        <f t="shared" si="62"/>
        <v>482</v>
      </c>
      <c r="F165" s="73">
        <v>482</v>
      </c>
      <c r="G165" s="73">
        <v>483</v>
      </c>
      <c r="H165" s="24">
        <v>543</v>
      </c>
      <c r="I165" s="25">
        <v>639.8</v>
      </c>
      <c r="J165" s="25">
        <v>257.9</v>
      </c>
      <c r="K165" s="28"/>
      <c r="L165" s="28"/>
      <c r="M165" s="69"/>
      <c r="N165" s="69"/>
      <c r="O165" s="24"/>
      <c r="P165" s="28">
        <f>J165*100/E165</f>
        <v>53.50622406639003</v>
      </c>
      <c r="Q165" s="25">
        <f>J165*100/D165</f>
        <v>12.007635720271903</v>
      </c>
    </row>
    <row r="166" spans="1:17" ht="15" customHeight="1">
      <c r="A166" s="19" t="s">
        <v>8</v>
      </c>
      <c r="B166" s="19"/>
      <c r="C166" s="36" t="s">
        <v>5</v>
      </c>
      <c r="D166" s="49">
        <f>F166+G166+H166+I166</f>
        <v>0</v>
      </c>
      <c r="E166" s="73">
        <f t="shared" si="62"/>
        <v>0</v>
      </c>
      <c r="F166" s="73"/>
      <c r="G166" s="73"/>
      <c r="H166" s="24"/>
      <c r="I166" s="25"/>
      <c r="J166" s="25">
        <v>6.7</v>
      </c>
      <c r="K166" s="28"/>
      <c r="L166" s="28"/>
      <c r="M166" s="69"/>
      <c r="N166" s="69"/>
      <c r="O166" s="24"/>
      <c r="P166" s="28"/>
      <c r="Q166" s="25"/>
    </row>
    <row r="167" spans="1:17" ht="12.75">
      <c r="A167" s="19" t="s">
        <v>9</v>
      </c>
      <c r="B167" s="19"/>
      <c r="C167" s="36" t="s">
        <v>6</v>
      </c>
      <c r="D167" s="49">
        <f>F167+G167+H167+I167</f>
        <v>502</v>
      </c>
      <c r="E167" s="73">
        <f t="shared" si="62"/>
        <v>90</v>
      </c>
      <c r="F167" s="73">
        <v>90</v>
      </c>
      <c r="G167" s="73">
        <v>90</v>
      </c>
      <c r="H167" s="24">
        <v>90</v>
      </c>
      <c r="I167" s="25">
        <v>232</v>
      </c>
      <c r="J167" s="25">
        <v>145.4</v>
      </c>
      <c r="K167" s="28" t="e">
        <f>J167/#REF!*100</f>
        <v>#REF!</v>
      </c>
      <c r="L167" s="28">
        <f t="shared" si="63"/>
        <v>161.55555555555557</v>
      </c>
      <c r="M167" s="69"/>
      <c r="N167" s="69"/>
      <c r="O167" s="24">
        <f t="shared" si="58"/>
        <v>62.672413793103445</v>
      </c>
      <c r="P167" s="28">
        <f t="shared" si="56"/>
        <v>161.55555555555554</v>
      </c>
      <c r="Q167" s="25">
        <f t="shared" si="57"/>
        <v>28.96414342629482</v>
      </c>
    </row>
    <row r="168" spans="1:17" ht="12.75">
      <c r="A168" s="19" t="s">
        <v>10</v>
      </c>
      <c r="B168" s="19"/>
      <c r="C168" s="36" t="s">
        <v>21</v>
      </c>
      <c r="D168" s="49">
        <f aca="true" t="shared" si="64" ref="D168:D175">F168+G168+H168+I168</f>
        <v>35</v>
      </c>
      <c r="E168" s="73">
        <f t="shared" si="62"/>
        <v>3</v>
      </c>
      <c r="F168" s="73">
        <v>3</v>
      </c>
      <c r="G168" s="73">
        <v>8</v>
      </c>
      <c r="H168" s="24">
        <v>8</v>
      </c>
      <c r="I168" s="25">
        <v>16</v>
      </c>
      <c r="J168" s="25">
        <v>2.4</v>
      </c>
      <c r="K168" s="28" t="e">
        <f>J168/#REF!*100</f>
        <v>#REF!</v>
      </c>
      <c r="L168" s="28">
        <f t="shared" si="63"/>
        <v>30</v>
      </c>
      <c r="M168" s="69"/>
      <c r="N168" s="69"/>
      <c r="O168" s="24">
        <f t="shared" si="58"/>
        <v>15</v>
      </c>
      <c r="P168" s="28">
        <f t="shared" si="56"/>
        <v>80</v>
      </c>
      <c r="Q168" s="25">
        <f t="shared" si="57"/>
        <v>6.857142857142857</v>
      </c>
    </row>
    <row r="169" spans="1:17" ht="24">
      <c r="A169" s="20" t="s">
        <v>11</v>
      </c>
      <c r="B169" s="20"/>
      <c r="C169" s="36" t="s">
        <v>17</v>
      </c>
      <c r="D169" s="49">
        <f t="shared" si="64"/>
        <v>69</v>
      </c>
      <c r="E169" s="73">
        <f t="shared" si="62"/>
        <v>12</v>
      </c>
      <c r="F169" s="73">
        <v>12</v>
      </c>
      <c r="G169" s="73">
        <v>17</v>
      </c>
      <c r="H169" s="24">
        <v>12</v>
      </c>
      <c r="I169" s="25">
        <v>28</v>
      </c>
      <c r="J169" s="25">
        <v>26.4</v>
      </c>
      <c r="K169" s="28" t="e">
        <f>J169/#REF!*100</f>
        <v>#REF!</v>
      </c>
      <c r="L169" s="28">
        <f t="shared" si="63"/>
        <v>219.99999999999997</v>
      </c>
      <c r="M169" s="69"/>
      <c r="N169" s="69"/>
      <c r="O169" s="24">
        <f t="shared" si="58"/>
        <v>94.28571428571429</v>
      </c>
      <c r="P169" s="28">
        <f t="shared" si="56"/>
        <v>220</v>
      </c>
      <c r="Q169" s="25">
        <f t="shared" si="57"/>
        <v>38.26086956521739</v>
      </c>
    </row>
    <row r="170" spans="1:17" ht="12.75">
      <c r="A170" s="38" t="s">
        <v>42</v>
      </c>
      <c r="B170" s="38"/>
      <c r="C170" s="36" t="s">
        <v>43</v>
      </c>
      <c r="D170" s="49">
        <f t="shared" si="64"/>
        <v>95</v>
      </c>
      <c r="E170" s="73">
        <f t="shared" si="62"/>
        <v>20</v>
      </c>
      <c r="F170" s="73">
        <v>20</v>
      </c>
      <c r="G170" s="73">
        <v>20</v>
      </c>
      <c r="H170" s="24">
        <v>20</v>
      </c>
      <c r="I170" s="25">
        <v>35</v>
      </c>
      <c r="J170" s="25">
        <v>30.8</v>
      </c>
      <c r="K170" s="28" t="e">
        <f>J170/#REF!*100</f>
        <v>#REF!</v>
      </c>
      <c r="L170" s="28">
        <f t="shared" si="63"/>
        <v>154</v>
      </c>
      <c r="M170" s="69"/>
      <c r="N170" s="69"/>
      <c r="O170" s="24">
        <f t="shared" si="58"/>
        <v>88</v>
      </c>
      <c r="P170" s="28">
        <f t="shared" si="56"/>
        <v>154</v>
      </c>
      <c r="Q170" s="25">
        <f t="shared" si="57"/>
        <v>32.421052631578945</v>
      </c>
    </row>
    <row r="171" spans="1:17" ht="12.75">
      <c r="A171" s="37" t="s">
        <v>18</v>
      </c>
      <c r="B171" s="37"/>
      <c r="C171" s="36" t="s">
        <v>15</v>
      </c>
      <c r="D171" s="49">
        <f t="shared" si="64"/>
        <v>0</v>
      </c>
      <c r="E171" s="73">
        <f t="shared" si="62"/>
        <v>0</v>
      </c>
      <c r="F171" s="73"/>
      <c r="G171" s="73"/>
      <c r="H171" s="24"/>
      <c r="I171" s="25"/>
      <c r="J171" s="25">
        <v>0</v>
      </c>
      <c r="K171" s="28" t="e">
        <f>J171/#REF!*100</f>
        <v>#REF!</v>
      </c>
      <c r="L171" s="28" t="e">
        <f t="shared" si="63"/>
        <v>#DIV/0!</v>
      </c>
      <c r="M171" s="69"/>
      <c r="N171" s="69"/>
      <c r="O171" s="24" t="e">
        <f t="shared" si="58"/>
        <v>#DIV/0!</v>
      </c>
      <c r="P171" s="28"/>
      <c r="Q171" s="25"/>
    </row>
    <row r="172" spans="1:17" ht="17.25" customHeight="1">
      <c r="A172" s="29" t="s">
        <v>12</v>
      </c>
      <c r="B172" s="29"/>
      <c r="C172" s="36" t="s">
        <v>7</v>
      </c>
      <c r="D172" s="49">
        <f t="shared" si="64"/>
        <v>0</v>
      </c>
      <c r="E172" s="73">
        <f t="shared" si="62"/>
        <v>0</v>
      </c>
      <c r="F172" s="73"/>
      <c r="G172" s="73"/>
      <c r="H172" s="24"/>
      <c r="I172" s="25"/>
      <c r="J172" s="25">
        <v>8.1</v>
      </c>
      <c r="K172" s="28"/>
      <c r="L172" s="28" t="e">
        <f t="shared" si="63"/>
        <v>#DIV/0!</v>
      </c>
      <c r="M172" s="69"/>
      <c r="N172" s="69"/>
      <c r="O172" s="24" t="e">
        <f t="shared" si="58"/>
        <v>#DIV/0!</v>
      </c>
      <c r="P172" s="35"/>
      <c r="Q172" s="32"/>
    </row>
    <row r="173" spans="1:17" ht="14.25" customHeight="1">
      <c r="A173" s="52" t="s">
        <v>39</v>
      </c>
      <c r="B173" s="40"/>
      <c r="C173" s="23" t="s">
        <v>40</v>
      </c>
      <c r="D173" s="49">
        <f t="shared" si="64"/>
        <v>0</v>
      </c>
      <c r="E173" s="73">
        <f t="shared" si="62"/>
        <v>0</v>
      </c>
      <c r="F173" s="73"/>
      <c r="G173" s="73"/>
      <c r="H173" s="24"/>
      <c r="I173" s="25"/>
      <c r="J173" s="25">
        <v>0</v>
      </c>
      <c r="K173" s="28"/>
      <c r="L173" s="28"/>
      <c r="M173" s="69"/>
      <c r="N173" s="69"/>
      <c r="O173" s="24" t="e">
        <f t="shared" si="58"/>
        <v>#DIV/0!</v>
      </c>
      <c r="P173" s="35"/>
      <c r="Q173" s="32"/>
    </row>
    <row r="174" spans="1:17" ht="12.75">
      <c r="A174" s="33" t="s">
        <v>1</v>
      </c>
      <c r="B174" s="33"/>
      <c r="C174" s="41" t="s">
        <v>0</v>
      </c>
      <c r="D174" s="42">
        <f aca="true" t="shared" si="65" ref="D174:J174">D175+D176</f>
        <v>28472.300000000003</v>
      </c>
      <c r="E174" s="82">
        <f t="shared" si="65"/>
        <v>11398.7</v>
      </c>
      <c r="F174" s="82">
        <f t="shared" si="65"/>
        <v>11398.7</v>
      </c>
      <c r="G174" s="82">
        <f t="shared" si="65"/>
        <v>6905.7</v>
      </c>
      <c r="H174" s="42">
        <f t="shared" si="65"/>
        <v>7555.4</v>
      </c>
      <c r="I174" s="42">
        <f t="shared" si="65"/>
        <v>2612.5</v>
      </c>
      <c r="J174" s="42">
        <f t="shared" si="65"/>
        <v>6183.8</v>
      </c>
      <c r="K174" s="35" t="e">
        <f>J174/#REF!*100</f>
        <v>#REF!</v>
      </c>
      <c r="L174" s="35">
        <f>J174/H174*100</f>
        <v>81.84609683140536</v>
      </c>
      <c r="M174" s="69"/>
      <c r="N174" s="69"/>
      <c r="O174" s="46">
        <f t="shared" si="58"/>
        <v>236.70047846889952</v>
      </c>
      <c r="P174" s="35">
        <f t="shared" si="56"/>
        <v>54.25004605788379</v>
      </c>
      <c r="Q174" s="32">
        <f t="shared" si="57"/>
        <v>21.718652866118997</v>
      </c>
    </row>
    <row r="175" spans="1:17" ht="24">
      <c r="A175" s="21" t="s">
        <v>67</v>
      </c>
      <c r="B175" s="19"/>
      <c r="C175" s="43" t="s">
        <v>20</v>
      </c>
      <c r="D175" s="49">
        <f t="shared" si="64"/>
        <v>28472.300000000003</v>
      </c>
      <c r="E175" s="73">
        <f t="shared" si="62"/>
        <v>11398.7</v>
      </c>
      <c r="F175" s="73">
        <v>11398.7</v>
      </c>
      <c r="G175" s="73">
        <v>6905.7</v>
      </c>
      <c r="H175" s="24">
        <v>7555.4</v>
      </c>
      <c r="I175" s="25">
        <v>2612.5</v>
      </c>
      <c r="J175" s="25">
        <v>6183.8</v>
      </c>
      <c r="K175" s="28" t="e">
        <f>J175/#REF!*100</f>
        <v>#REF!</v>
      </c>
      <c r="L175" s="28">
        <f>J175/H175*100</f>
        <v>81.84609683140536</v>
      </c>
      <c r="M175" s="69"/>
      <c r="N175" s="69"/>
      <c r="O175" s="24">
        <f t="shared" si="58"/>
        <v>236.70047846889952</v>
      </c>
      <c r="P175" s="28">
        <f t="shared" si="56"/>
        <v>54.25004605788379</v>
      </c>
      <c r="Q175" s="25">
        <f t="shared" si="57"/>
        <v>21.718652866118997</v>
      </c>
    </row>
    <row r="176" spans="1:17" ht="12.75" hidden="1">
      <c r="A176" s="21" t="s">
        <v>2</v>
      </c>
      <c r="B176" s="21"/>
      <c r="C176" s="44" t="s">
        <v>19</v>
      </c>
      <c r="D176" s="49">
        <f>F176+G176+H176+I176</f>
        <v>0</v>
      </c>
      <c r="E176" s="73">
        <f t="shared" si="62"/>
        <v>0</v>
      </c>
      <c r="F176" s="74"/>
      <c r="G176" s="74"/>
      <c r="H176" s="24"/>
      <c r="I176" s="25"/>
      <c r="J176" s="25"/>
      <c r="K176" s="28" t="e">
        <f>J176/#REF!*100</f>
        <v>#REF!</v>
      </c>
      <c r="L176" s="28"/>
      <c r="M176" s="69"/>
      <c r="N176" s="69"/>
      <c r="O176" s="24" t="e">
        <f t="shared" si="58"/>
        <v>#DIV/0!</v>
      </c>
      <c r="P176" s="28"/>
      <c r="Q176" s="25"/>
    </row>
    <row r="177" spans="1:17" ht="12.75">
      <c r="A177" s="29"/>
      <c r="B177" s="30"/>
      <c r="C177" s="31" t="s">
        <v>4</v>
      </c>
      <c r="D177" s="32">
        <f aca="true" t="shared" si="66" ref="D177:J177">D174+D163</f>
        <v>34626.100000000006</v>
      </c>
      <c r="E177" s="32">
        <f t="shared" si="66"/>
        <v>12695.7</v>
      </c>
      <c r="F177" s="32">
        <f t="shared" si="66"/>
        <v>12695.7</v>
      </c>
      <c r="G177" s="32">
        <f t="shared" si="66"/>
        <v>8513.7</v>
      </c>
      <c r="H177" s="32">
        <f t="shared" si="66"/>
        <v>8968.4</v>
      </c>
      <c r="I177" s="32">
        <f t="shared" si="66"/>
        <v>4448.3</v>
      </c>
      <c r="J177" s="32">
        <f t="shared" si="66"/>
        <v>7119.7</v>
      </c>
      <c r="K177" s="35" t="e">
        <f>J177/#REF!*100</f>
        <v>#REF!</v>
      </c>
      <c r="L177" s="35">
        <f>J177/H177*100</f>
        <v>79.38651264439588</v>
      </c>
      <c r="M177" s="69"/>
      <c r="N177" s="70" t="e">
        <f>I177+#REF!+#REF!</f>
        <v>#REF!</v>
      </c>
      <c r="O177" s="46">
        <f t="shared" si="58"/>
        <v>160.05440280556616</v>
      </c>
      <c r="P177" s="35">
        <f t="shared" si="56"/>
        <v>56.079617508290205</v>
      </c>
      <c r="Q177" s="32">
        <f t="shared" si="57"/>
        <v>20.561657246989984</v>
      </c>
    </row>
    <row r="178" spans="1:17" ht="12.75">
      <c r="A178" s="96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8"/>
      <c r="M178" s="69"/>
      <c r="N178" s="69"/>
      <c r="O178" s="67"/>
      <c r="P178" s="35"/>
      <c r="Q178" s="32"/>
    </row>
    <row r="179" spans="1:17" ht="12.75">
      <c r="A179" s="95" t="s">
        <v>34</v>
      </c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35"/>
      <c r="Q179" s="32"/>
    </row>
    <row r="180" spans="1:17" ht="12.75">
      <c r="A180" s="33" t="s">
        <v>3</v>
      </c>
      <c r="B180" s="33"/>
      <c r="C180" s="34" t="s">
        <v>68</v>
      </c>
      <c r="D180" s="35">
        <f aca="true" t="shared" si="67" ref="D180:J180">D181+D183+D184+D185+D186+D188+D190+D189+D187+D182</f>
        <v>22444.4</v>
      </c>
      <c r="E180" s="35">
        <f t="shared" si="67"/>
        <v>5212</v>
      </c>
      <c r="F180" s="35">
        <f t="shared" si="67"/>
        <v>5212</v>
      </c>
      <c r="G180" s="35">
        <f t="shared" si="67"/>
        <v>5288</v>
      </c>
      <c r="H180" s="35">
        <f t="shared" si="67"/>
        <v>5284</v>
      </c>
      <c r="I180" s="35">
        <f t="shared" si="67"/>
        <v>6660.4</v>
      </c>
      <c r="J180" s="35">
        <f t="shared" si="67"/>
        <v>4043.4</v>
      </c>
      <c r="K180" s="35" t="e">
        <f>J180/#REF!*100</f>
        <v>#REF!</v>
      </c>
      <c r="L180" s="35">
        <f>J180/H180*100</f>
        <v>76.5215745647237</v>
      </c>
      <c r="M180" s="69"/>
      <c r="N180" s="69"/>
      <c r="O180" s="35">
        <f t="shared" si="58"/>
        <v>60.70806558164675</v>
      </c>
      <c r="P180" s="35">
        <f t="shared" si="56"/>
        <v>77.57866462010745</v>
      </c>
      <c r="Q180" s="32">
        <f t="shared" si="57"/>
        <v>18.01518418848354</v>
      </c>
    </row>
    <row r="181" spans="1:17" ht="12.75">
      <c r="A181" s="29" t="s">
        <v>23</v>
      </c>
      <c r="B181" s="29"/>
      <c r="C181" s="36" t="s">
        <v>22</v>
      </c>
      <c r="D181" s="49">
        <f>F181+G181+H181+I181</f>
        <v>16400</v>
      </c>
      <c r="E181" s="73">
        <f aca="true" t="shared" si="68" ref="E181:E188">F181</f>
        <v>3760</v>
      </c>
      <c r="F181" s="49">
        <v>3760</v>
      </c>
      <c r="G181" s="49">
        <v>4165</v>
      </c>
      <c r="H181" s="24">
        <v>4175</v>
      </c>
      <c r="I181" s="25">
        <v>4300</v>
      </c>
      <c r="J181" s="25">
        <v>2989.7</v>
      </c>
      <c r="K181" s="28" t="e">
        <f>J181/#REF!*100</f>
        <v>#REF!</v>
      </c>
      <c r="L181" s="28">
        <f>J181/H181*100</f>
        <v>71.60958083832335</v>
      </c>
      <c r="M181" s="69"/>
      <c r="N181" s="69"/>
      <c r="O181" s="24">
        <f t="shared" si="58"/>
        <v>69.52790697674419</v>
      </c>
      <c r="P181" s="28">
        <f t="shared" si="56"/>
        <v>79.51329787234043</v>
      </c>
      <c r="Q181" s="25">
        <f t="shared" si="57"/>
        <v>18.22987804878049</v>
      </c>
    </row>
    <row r="182" spans="1:17" ht="12.75">
      <c r="A182" s="19" t="s">
        <v>70</v>
      </c>
      <c r="B182" s="19"/>
      <c r="C182" s="36" t="s">
        <v>71</v>
      </c>
      <c r="D182" s="49">
        <f>F182+G182+H182+I182</f>
        <v>2714.4</v>
      </c>
      <c r="E182" s="73">
        <f t="shared" si="68"/>
        <v>673</v>
      </c>
      <c r="F182" s="49">
        <v>673</v>
      </c>
      <c r="G182" s="49">
        <v>675</v>
      </c>
      <c r="H182" s="24">
        <v>675</v>
      </c>
      <c r="I182" s="25">
        <v>691.4</v>
      </c>
      <c r="J182" s="25">
        <v>326</v>
      </c>
      <c r="K182" s="28"/>
      <c r="L182" s="28"/>
      <c r="M182" s="69"/>
      <c r="N182" s="69"/>
      <c r="O182" s="24"/>
      <c r="P182" s="28">
        <f>J182*100/E182</f>
        <v>48.439821693907874</v>
      </c>
      <c r="Q182" s="25">
        <f>J182*100/D182</f>
        <v>12.010020630710285</v>
      </c>
    </row>
    <row r="183" spans="1:17" ht="13.5" customHeight="1" hidden="1">
      <c r="A183" s="19" t="s">
        <v>8</v>
      </c>
      <c r="B183" s="19"/>
      <c r="C183" s="36" t="s">
        <v>5</v>
      </c>
      <c r="D183" s="49">
        <f aca="true" t="shared" si="69" ref="D183:D192">F183+G183+H183+I183</f>
        <v>0</v>
      </c>
      <c r="E183" s="73">
        <f t="shared" si="68"/>
        <v>0</v>
      </c>
      <c r="F183" s="49"/>
      <c r="G183" s="49"/>
      <c r="H183" s="24"/>
      <c r="I183" s="25"/>
      <c r="J183" s="25"/>
      <c r="K183" s="28"/>
      <c r="L183" s="28"/>
      <c r="M183" s="69"/>
      <c r="N183" s="69"/>
      <c r="O183" s="24" t="e">
        <f t="shared" si="58"/>
        <v>#DIV/0!</v>
      </c>
      <c r="P183" s="28" t="e">
        <f>J183*100/E183</f>
        <v>#DIV/0!</v>
      </c>
      <c r="Q183" s="25" t="e">
        <f>J183*100/D183</f>
        <v>#DIV/0!</v>
      </c>
    </row>
    <row r="184" spans="1:17" ht="12.75">
      <c r="A184" s="19" t="s">
        <v>9</v>
      </c>
      <c r="B184" s="19"/>
      <c r="C184" s="36" t="s">
        <v>6</v>
      </c>
      <c r="D184" s="49">
        <f t="shared" si="69"/>
        <v>2320</v>
      </c>
      <c r="E184" s="73">
        <f t="shared" si="68"/>
        <v>532</v>
      </c>
      <c r="F184" s="49">
        <v>532</v>
      </c>
      <c r="G184" s="49">
        <v>265</v>
      </c>
      <c r="H184" s="24">
        <v>265</v>
      </c>
      <c r="I184" s="25">
        <v>1258</v>
      </c>
      <c r="J184" s="25">
        <v>551.3</v>
      </c>
      <c r="K184" s="28" t="e">
        <f>J184/#REF!*100</f>
        <v>#REF!</v>
      </c>
      <c r="L184" s="28">
        <f>J184/H184*100</f>
        <v>208.03773584905662</v>
      </c>
      <c r="M184" s="69"/>
      <c r="N184" s="69"/>
      <c r="O184" s="24">
        <f t="shared" si="58"/>
        <v>43.8235294117647</v>
      </c>
      <c r="P184" s="28">
        <f t="shared" si="56"/>
        <v>103.62781954887217</v>
      </c>
      <c r="Q184" s="25">
        <f t="shared" si="57"/>
        <v>23.762931034482754</v>
      </c>
    </row>
    <row r="185" spans="1:17" ht="12.75">
      <c r="A185" s="19" t="s">
        <v>10</v>
      </c>
      <c r="B185" s="19"/>
      <c r="C185" s="36" t="s">
        <v>21</v>
      </c>
      <c r="D185" s="49">
        <f t="shared" si="69"/>
        <v>156</v>
      </c>
      <c r="E185" s="73">
        <f t="shared" si="68"/>
        <v>42</v>
      </c>
      <c r="F185" s="49">
        <v>42</v>
      </c>
      <c r="G185" s="49">
        <v>42</v>
      </c>
      <c r="H185" s="24">
        <v>28</v>
      </c>
      <c r="I185" s="25">
        <v>44</v>
      </c>
      <c r="J185" s="25">
        <v>35.3</v>
      </c>
      <c r="K185" s="28" t="e">
        <f>J185/#REF!*100</f>
        <v>#REF!</v>
      </c>
      <c r="L185" s="28">
        <f>J185/H185*100</f>
        <v>126.07142857142857</v>
      </c>
      <c r="M185" s="69"/>
      <c r="N185" s="69"/>
      <c r="O185" s="24">
        <f t="shared" si="58"/>
        <v>80.22727272727272</v>
      </c>
      <c r="P185" s="28">
        <f t="shared" si="56"/>
        <v>84.04761904761904</v>
      </c>
      <c r="Q185" s="25">
        <f t="shared" si="57"/>
        <v>22.628205128205124</v>
      </c>
    </row>
    <row r="186" spans="1:17" ht="24">
      <c r="A186" s="20" t="s">
        <v>11</v>
      </c>
      <c r="B186" s="20"/>
      <c r="C186" s="36" t="s">
        <v>17</v>
      </c>
      <c r="D186" s="49">
        <f t="shared" si="69"/>
        <v>694</v>
      </c>
      <c r="E186" s="73">
        <f t="shared" si="68"/>
        <v>169</v>
      </c>
      <c r="F186" s="49">
        <v>169</v>
      </c>
      <c r="G186" s="49">
        <v>105</v>
      </c>
      <c r="H186" s="24">
        <v>105</v>
      </c>
      <c r="I186" s="25">
        <v>315</v>
      </c>
      <c r="J186" s="25">
        <v>92.2</v>
      </c>
      <c r="K186" s="28" t="e">
        <f>J186/#REF!*100</f>
        <v>#REF!</v>
      </c>
      <c r="L186" s="28">
        <f>J186/H186*100</f>
        <v>87.80952380952381</v>
      </c>
      <c r="M186" s="69"/>
      <c r="N186" s="69"/>
      <c r="O186" s="24">
        <f t="shared" si="58"/>
        <v>29.26984126984127</v>
      </c>
      <c r="P186" s="28">
        <f t="shared" si="56"/>
        <v>54.55621301775148</v>
      </c>
      <c r="Q186" s="25">
        <f t="shared" si="57"/>
        <v>13.285302593659942</v>
      </c>
    </row>
    <row r="187" spans="1:17" ht="12.75">
      <c r="A187" s="37" t="s">
        <v>42</v>
      </c>
      <c r="B187" s="38"/>
      <c r="C187" s="36" t="s">
        <v>43</v>
      </c>
      <c r="D187" s="49">
        <f t="shared" si="69"/>
        <v>160</v>
      </c>
      <c r="E187" s="73">
        <f t="shared" si="68"/>
        <v>36</v>
      </c>
      <c r="F187" s="49">
        <v>36</v>
      </c>
      <c r="G187" s="49">
        <v>36</v>
      </c>
      <c r="H187" s="24">
        <v>36</v>
      </c>
      <c r="I187" s="25">
        <v>52</v>
      </c>
      <c r="J187" s="25">
        <v>45.9</v>
      </c>
      <c r="K187" s="28" t="e">
        <f>J187/#REF!*100</f>
        <v>#REF!</v>
      </c>
      <c r="L187" s="28">
        <f>J187/H187*100</f>
        <v>127.49999999999999</v>
      </c>
      <c r="M187" s="69"/>
      <c r="N187" s="69"/>
      <c r="O187" s="24">
        <f t="shared" si="58"/>
        <v>88.26923076923077</v>
      </c>
      <c r="P187" s="28">
        <f t="shared" si="56"/>
        <v>127.5</v>
      </c>
      <c r="Q187" s="25">
        <f t="shared" si="57"/>
        <v>28.6875</v>
      </c>
    </row>
    <row r="188" spans="1:17" ht="12.75" hidden="1">
      <c r="A188" s="37" t="s">
        <v>18</v>
      </c>
      <c r="B188" s="38"/>
      <c r="C188" s="36" t="s">
        <v>15</v>
      </c>
      <c r="D188" s="49">
        <f t="shared" si="69"/>
        <v>0</v>
      </c>
      <c r="E188" s="73">
        <f t="shared" si="68"/>
        <v>0</v>
      </c>
      <c r="F188" s="49"/>
      <c r="G188" s="49"/>
      <c r="H188" s="24"/>
      <c r="I188" s="25"/>
      <c r="J188" s="25">
        <v>0</v>
      </c>
      <c r="K188" s="28" t="e">
        <f>J188/#REF!*100</f>
        <v>#REF!</v>
      </c>
      <c r="L188" s="28" t="e">
        <f>J188/H188*100</f>
        <v>#DIV/0!</v>
      </c>
      <c r="M188" s="69"/>
      <c r="N188" s="69"/>
      <c r="O188" s="24" t="e">
        <f t="shared" si="58"/>
        <v>#DIV/0!</v>
      </c>
      <c r="P188" s="28"/>
      <c r="Q188" s="25"/>
    </row>
    <row r="189" spans="1:17" ht="12.75" hidden="1">
      <c r="A189" s="29" t="s">
        <v>12</v>
      </c>
      <c r="B189" s="29"/>
      <c r="C189" s="36" t="s">
        <v>7</v>
      </c>
      <c r="D189" s="49">
        <f t="shared" si="69"/>
        <v>0</v>
      </c>
      <c r="E189" s="73">
        <f>F189+G189</f>
        <v>0</v>
      </c>
      <c r="F189" s="49"/>
      <c r="G189" s="49"/>
      <c r="H189" s="24"/>
      <c r="I189" s="25"/>
      <c r="J189" s="25"/>
      <c r="K189" s="28" t="e">
        <f>J189/#REF!*100</f>
        <v>#REF!</v>
      </c>
      <c r="L189" s="28"/>
      <c r="M189" s="69"/>
      <c r="N189" s="69"/>
      <c r="O189" s="24" t="e">
        <f t="shared" si="58"/>
        <v>#DIV/0!</v>
      </c>
      <c r="P189" s="28"/>
      <c r="Q189" s="25"/>
    </row>
    <row r="190" spans="1:17" ht="15" customHeight="1">
      <c r="A190" s="52" t="s">
        <v>39</v>
      </c>
      <c r="B190" s="40"/>
      <c r="C190" s="23" t="s">
        <v>40</v>
      </c>
      <c r="D190" s="49">
        <f t="shared" si="69"/>
        <v>0</v>
      </c>
      <c r="E190" s="73">
        <f>F190+G190</f>
        <v>0</v>
      </c>
      <c r="F190" s="81"/>
      <c r="G190" s="81"/>
      <c r="H190" s="24"/>
      <c r="I190" s="25"/>
      <c r="J190" s="25">
        <v>3</v>
      </c>
      <c r="K190" s="28" t="e">
        <f>J190/#REF!*100</f>
        <v>#REF!</v>
      </c>
      <c r="L190" s="28"/>
      <c r="M190" s="69"/>
      <c r="N190" s="69"/>
      <c r="O190" s="24" t="e">
        <f t="shared" si="58"/>
        <v>#DIV/0!</v>
      </c>
      <c r="P190" s="35"/>
      <c r="Q190" s="32"/>
    </row>
    <row r="191" spans="1:17" ht="12.75">
      <c r="A191" s="45" t="s">
        <v>1</v>
      </c>
      <c r="B191" s="33"/>
      <c r="C191" s="41" t="s">
        <v>0</v>
      </c>
      <c r="D191" s="46">
        <f aca="true" t="shared" si="70" ref="D191:J191">D192</f>
        <v>37081.4</v>
      </c>
      <c r="E191" s="46">
        <f t="shared" si="70"/>
        <v>16161.6</v>
      </c>
      <c r="F191" s="46">
        <f t="shared" si="70"/>
        <v>16161.6</v>
      </c>
      <c r="G191" s="46">
        <f t="shared" si="70"/>
        <v>6697.9</v>
      </c>
      <c r="H191" s="46">
        <f t="shared" si="70"/>
        <v>7523.8</v>
      </c>
      <c r="I191" s="46">
        <f t="shared" si="70"/>
        <v>6698.1</v>
      </c>
      <c r="J191" s="46">
        <f t="shared" si="70"/>
        <v>3972.9</v>
      </c>
      <c r="K191" s="35" t="e">
        <f>J191/#REF!*100</f>
        <v>#REF!</v>
      </c>
      <c r="L191" s="35">
        <f>J191/H191*100</f>
        <v>52.8044339296632</v>
      </c>
      <c r="M191" s="69"/>
      <c r="N191" s="69"/>
      <c r="O191" s="46">
        <f t="shared" si="58"/>
        <v>59.313835266717426</v>
      </c>
      <c r="P191" s="35">
        <f t="shared" si="56"/>
        <v>24.58234333234333</v>
      </c>
      <c r="Q191" s="32">
        <f t="shared" si="57"/>
        <v>10.713996774663308</v>
      </c>
    </row>
    <row r="192" spans="1:17" ht="24">
      <c r="A192" s="84" t="s">
        <v>67</v>
      </c>
      <c r="B192" s="19"/>
      <c r="C192" s="43" t="s">
        <v>20</v>
      </c>
      <c r="D192" s="49">
        <f t="shared" si="69"/>
        <v>37081.4</v>
      </c>
      <c r="E192" s="73">
        <f>F192</f>
        <v>16161.6</v>
      </c>
      <c r="F192" s="49">
        <v>16161.6</v>
      </c>
      <c r="G192" s="49">
        <v>6697.9</v>
      </c>
      <c r="H192" s="24">
        <v>7523.8</v>
      </c>
      <c r="I192" s="25">
        <v>6698.1</v>
      </c>
      <c r="J192" s="25">
        <v>3972.9</v>
      </c>
      <c r="K192" s="28" t="e">
        <f>J192/#REF!*100</f>
        <v>#REF!</v>
      </c>
      <c r="L192" s="28">
        <f>J192/H192*100</f>
        <v>52.8044339296632</v>
      </c>
      <c r="M192" s="69"/>
      <c r="N192" s="69"/>
      <c r="O192" s="24">
        <f t="shared" si="58"/>
        <v>59.313835266717426</v>
      </c>
      <c r="P192" s="28">
        <f t="shared" si="56"/>
        <v>24.58234333234333</v>
      </c>
      <c r="Q192" s="25">
        <f t="shared" si="57"/>
        <v>10.713996774663308</v>
      </c>
    </row>
    <row r="193" spans="1:17" ht="12.75">
      <c r="A193" s="29"/>
      <c r="B193" s="30"/>
      <c r="C193" s="31" t="s">
        <v>4</v>
      </c>
      <c r="D193" s="32">
        <f aca="true" t="shared" si="71" ref="D193:J193">D191+D180</f>
        <v>59525.8</v>
      </c>
      <c r="E193" s="32">
        <f t="shared" si="71"/>
        <v>21373.6</v>
      </c>
      <c r="F193" s="32">
        <f t="shared" si="71"/>
        <v>21373.6</v>
      </c>
      <c r="G193" s="32">
        <f t="shared" si="71"/>
        <v>11985.9</v>
      </c>
      <c r="H193" s="32">
        <f t="shared" si="71"/>
        <v>12807.8</v>
      </c>
      <c r="I193" s="32">
        <f t="shared" si="71"/>
        <v>13358.5</v>
      </c>
      <c r="J193" s="32">
        <f t="shared" si="71"/>
        <v>8016.3</v>
      </c>
      <c r="K193" s="35" t="e">
        <f>J193/#REF!*100</f>
        <v>#REF!</v>
      </c>
      <c r="L193" s="35">
        <f>J193/H193*100</f>
        <v>62.589203454145135</v>
      </c>
      <c r="M193" s="69"/>
      <c r="N193" s="70" t="e">
        <f>I193+#REF!+#REF!</f>
        <v>#REF!</v>
      </c>
      <c r="O193" s="46">
        <f t="shared" si="58"/>
        <v>60.0089830445035</v>
      </c>
      <c r="P193" s="35">
        <f t="shared" si="56"/>
        <v>37.50561440281469</v>
      </c>
      <c r="Q193" s="32">
        <f t="shared" si="57"/>
        <v>13.466933665738217</v>
      </c>
    </row>
    <row r="194" spans="1:17" ht="12.75">
      <c r="A194" s="96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8"/>
      <c r="M194" s="69"/>
      <c r="N194" s="69"/>
      <c r="O194" s="67"/>
      <c r="P194" s="35"/>
      <c r="Q194" s="32"/>
    </row>
    <row r="195" spans="1:17" ht="12.75">
      <c r="A195" s="95" t="s">
        <v>35</v>
      </c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35"/>
      <c r="Q195" s="32"/>
    </row>
    <row r="196" spans="1:17" ht="12.75">
      <c r="A196" s="33" t="s">
        <v>3</v>
      </c>
      <c r="B196" s="33"/>
      <c r="C196" s="34" t="s">
        <v>68</v>
      </c>
      <c r="D196" s="35">
        <f>D197+D200+D202+D203+D201+D204+D205+D199+D198</f>
        <v>4141.5</v>
      </c>
      <c r="E196" s="35">
        <f>E197+E200+E202+E203+E201+E204+E205+E199+E198</f>
        <v>855.2</v>
      </c>
      <c r="F196" s="35">
        <f aca="true" t="shared" si="72" ref="F196:O196">F197+F200+F202+F203+F201+F204+F205+F199+F198</f>
        <v>855.2</v>
      </c>
      <c r="G196" s="35">
        <f t="shared" si="72"/>
        <v>1082.4</v>
      </c>
      <c r="H196" s="35">
        <f t="shared" si="72"/>
        <v>1172.4</v>
      </c>
      <c r="I196" s="35">
        <f t="shared" si="72"/>
        <v>1031.5</v>
      </c>
      <c r="J196" s="35">
        <f t="shared" si="72"/>
        <v>551.5</v>
      </c>
      <c r="K196" s="35" t="e">
        <f t="shared" si="72"/>
        <v>#REF!</v>
      </c>
      <c r="L196" s="35" t="e">
        <f t="shared" si="72"/>
        <v>#DIV/0!</v>
      </c>
      <c r="M196" s="35">
        <f t="shared" si="72"/>
        <v>0</v>
      </c>
      <c r="N196" s="35">
        <f t="shared" si="72"/>
        <v>0</v>
      </c>
      <c r="O196" s="35" t="e">
        <f t="shared" si="72"/>
        <v>#DIV/0!</v>
      </c>
      <c r="P196" s="35">
        <f t="shared" si="56"/>
        <v>64.48783910196445</v>
      </c>
      <c r="Q196" s="32">
        <f t="shared" si="57"/>
        <v>13.316431244718098</v>
      </c>
    </row>
    <row r="197" spans="1:17" ht="12.75">
      <c r="A197" s="29" t="s">
        <v>23</v>
      </c>
      <c r="B197" s="29"/>
      <c r="C197" s="36" t="s">
        <v>22</v>
      </c>
      <c r="D197" s="49">
        <f>F197+G197+H197+I197</f>
        <v>1055</v>
      </c>
      <c r="E197" s="73">
        <f aca="true" t="shared" si="73" ref="E197:E204">F197</f>
        <v>172</v>
      </c>
      <c r="F197" s="49">
        <v>172</v>
      </c>
      <c r="G197" s="49">
        <v>345</v>
      </c>
      <c r="H197" s="24">
        <v>250</v>
      </c>
      <c r="I197" s="24">
        <v>288</v>
      </c>
      <c r="J197" s="25">
        <v>114.2</v>
      </c>
      <c r="K197" s="28" t="e">
        <f>J197/#REF!*100</f>
        <v>#REF!</v>
      </c>
      <c r="L197" s="28">
        <f aca="true" t="shared" si="74" ref="L197:L203">J197/H197*100</f>
        <v>45.68</v>
      </c>
      <c r="M197" s="69"/>
      <c r="N197" s="69"/>
      <c r="O197" s="24">
        <f t="shared" si="58"/>
        <v>39.65277777777778</v>
      </c>
      <c r="P197" s="28">
        <f t="shared" si="56"/>
        <v>66.3953488372093</v>
      </c>
      <c r="Q197" s="25">
        <f t="shared" si="57"/>
        <v>10.824644549763033</v>
      </c>
    </row>
    <row r="198" spans="1:17" ht="12.75">
      <c r="A198" s="19" t="s">
        <v>70</v>
      </c>
      <c r="B198" s="19"/>
      <c r="C198" s="36" t="s">
        <v>71</v>
      </c>
      <c r="D198" s="49">
        <f>F198+G198+H198+I198</f>
        <v>2819.5</v>
      </c>
      <c r="E198" s="73">
        <f t="shared" si="73"/>
        <v>632.2</v>
      </c>
      <c r="F198" s="49">
        <v>632.2</v>
      </c>
      <c r="G198" s="49">
        <v>678.4</v>
      </c>
      <c r="H198" s="24">
        <v>849.4</v>
      </c>
      <c r="I198" s="24">
        <v>659.5</v>
      </c>
      <c r="J198" s="25">
        <v>338.6</v>
      </c>
      <c r="K198" s="28"/>
      <c r="L198" s="28"/>
      <c r="M198" s="69"/>
      <c r="N198" s="69"/>
      <c r="O198" s="24"/>
      <c r="P198" s="28">
        <f>J198*100/E198</f>
        <v>53.55900031635558</v>
      </c>
      <c r="Q198" s="25">
        <f>J198*100/D198</f>
        <v>12.009221493172548</v>
      </c>
    </row>
    <row r="199" spans="1:17" ht="12.75">
      <c r="A199" s="19" t="s">
        <v>8</v>
      </c>
      <c r="B199" s="58" t="s">
        <v>55</v>
      </c>
      <c r="C199" s="36" t="s">
        <v>5</v>
      </c>
      <c r="D199" s="49">
        <f aca="true" t="shared" si="75" ref="D199:D207">F199+G199+H199+I199</f>
        <v>7</v>
      </c>
      <c r="E199" s="73">
        <f t="shared" si="73"/>
        <v>0</v>
      </c>
      <c r="F199" s="49"/>
      <c r="G199" s="49">
        <v>7</v>
      </c>
      <c r="H199" s="24"/>
      <c r="I199" s="24"/>
      <c r="J199" s="25">
        <v>0</v>
      </c>
      <c r="K199" s="28" t="e">
        <f>J199/#REF!*100</f>
        <v>#REF!</v>
      </c>
      <c r="L199" s="28"/>
      <c r="M199" s="69"/>
      <c r="N199" s="69"/>
      <c r="O199" s="24" t="e">
        <f t="shared" si="58"/>
        <v>#DIV/0!</v>
      </c>
      <c r="P199" s="28"/>
      <c r="Q199" s="25">
        <f t="shared" si="57"/>
        <v>0</v>
      </c>
    </row>
    <row r="200" spans="1:17" ht="12.75">
      <c r="A200" s="19" t="s">
        <v>9</v>
      </c>
      <c r="B200" s="19"/>
      <c r="C200" s="36" t="s">
        <v>6</v>
      </c>
      <c r="D200" s="49">
        <f t="shared" si="75"/>
        <v>178</v>
      </c>
      <c r="E200" s="73">
        <f t="shared" si="73"/>
        <v>31</v>
      </c>
      <c r="F200" s="49">
        <v>31</v>
      </c>
      <c r="G200" s="49">
        <v>31</v>
      </c>
      <c r="H200" s="24">
        <v>53</v>
      </c>
      <c r="I200" s="24">
        <v>63</v>
      </c>
      <c r="J200" s="25">
        <v>60.1</v>
      </c>
      <c r="K200" s="28" t="e">
        <f>J200/#REF!*100</f>
        <v>#REF!</v>
      </c>
      <c r="L200" s="28">
        <f t="shared" si="74"/>
        <v>113.39622641509435</v>
      </c>
      <c r="M200" s="69"/>
      <c r="N200" s="69"/>
      <c r="O200" s="24">
        <f t="shared" si="58"/>
        <v>95.39682539682539</v>
      </c>
      <c r="P200" s="28">
        <f t="shared" si="56"/>
        <v>193.8709677419355</v>
      </c>
      <c r="Q200" s="25">
        <f t="shared" si="57"/>
        <v>33.764044943820224</v>
      </c>
    </row>
    <row r="201" spans="1:17" ht="12.75">
      <c r="A201" s="19" t="s">
        <v>10</v>
      </c>
      <c r="B201" s="19"/>
      <c r="C201" s="36" t="s">
        <v>21</v>
      </c>
      <c r="D201" s="49">
        <f t="shared" si="75"/>
        <v>17</v>
      </c>
      <c r="E201" s="73">
        <f t="shared" si="73"/>
        <v>4</v>
      </c>
      <c r="F201" s="49">
        <v>4</v>
      </c>
      <c r="G201" s="49">
        <v>5</v>
      </c>
      <c r="H201" s="24">
        <v>4</v>
      </c>
      <c r="I201" s="24">
        <v>4</v>
      </c>
      <c r="J201" s="25">
        <v>5.1</v>
      </c>
      <c r="K201" s="28" t="e">
        <f>J201/#REF!*100</f>
        <v>#REF!</v>
      </c>
      <c r="L201" s="28">
        <f t="shared" si="74"/>
        <v>127.49999999999999</v>
      </c>
      <c r="M201" s="69"/>
      <c r="N201" s="69"/>
      <c r="O201" s="24">
        <f t="shared" si="58"/>
        <v>127.49999999999999</v>
      </c>
      <c r="P201" s="28">
        <f t="shared" si="56"/>
        <v>127.49999999999999</v>
      </c>
      <c r="Q201" s="25">
        <f t="shared" si="57"/>
        <v>29.999999999999996</v>
      </c>
    </row>
    <row r="202" spans="1:17" ht="24">
      <c r="A202" s="20" t="s">
        <v>11</v>
      </c>
      <c r="B202" s="20"/>
      <c r="C202" s="36" t="s">
        <v>17</v>
      </c>
      <c r="D202" s="49">
        <f t="shared" si="75"/>
        <v>65</v>
      </c>
      <c r="E202" s="73">
        <f t="shared" si="73"/>
        <v>16</v>
      </c>
      <c r="F202" s="49">
        <v>16</v>
      </c>
      <c r="G202" s="49">
        <v>16</v>
      </c>
      <c r="H202" s="24">
        <v>16</v>
      </c>
      <c r="I202" s="24">
        <v>17</v>
      </c>
      <c r="J202" s="25">
        <v>39.3</v>
      </c>
      <c r="K202" s="28" t="e">
        <f>J202/#REF!*100</f>
        <v>#REF!</v>
      </c>
      <c r="L202" s="28">
        <f t="shared" si="74"/>
        <v>245.62499999999997</v>
      </c>
      <c r="M202" s="69"/>
      <c r="N202" s="69"/>
      <c r="O202" s="24">
        <f t="shared" si="58"/>
        <v>231.17647058823528</v>
      </c>
      <c r="P202" s="28">
        <f t="shared" si="56"/>
        <v>245.62499999999997</v>
      </c>
      <c r="Q202" s="25">
        <f t="shared" si="57"/>
        <v>60.46153846153845</v>
      </c>
    </row>
    <row r="203" spans="1:17" ht="12.75" hidden="1">
      <c r="A203" s="37" t="s">
        <v>18</v>
      </c>
      <c r="B203" s="37"/>
      <c r="C203" s="36" t="s">
        <v>15</v>
      </c>
      <c r="D203" s="49">
        <f t="shared" si="75"/>
        <v>0</v>
      </c>
      <c r="E203" s="73">
        <f t="shared" si="73"/>
        <v>0</v>
      </c>
      <c r="F203" s="49"/>
      <c r="G203" s="49"/>
      <c r="H203" s="24"/>
      <c r="I203" s="24"/>
      <c r="J203" s="25"/>
      <c r="K203" s="28" t="e">
        <f>J203/#REF!*100</f>
        <v>#REF!</v>
      </c>
      <c r="L203" s="28" t="e">
        <f t="shared" si="74"/>
        <v>#DIV/0!</v>
      </c>
      <c r="M203" s="69"/>
      <c r="N203" s="69"/>
      <c r="O203" s="24" t="e">
        <f t="shared" si="58"/>
        <v>#DIV/0!</v>
      </c>
      <c r="P203" s="28"/>
      <c r="Q203" s="25"/>
    </row>
    <row r="204" spans="1:17" ht="15.75" customHeight="1" hidden="1">
      <c r="A204" s="37" t="s">
        <v>12</v>
      </c>
      <c r="B204" s="57"/>
      <c r="C204" s="36" t="s">
        <v>7</v>
      </c>
      <c r="D204" s="49">
        <f t="shared" si="75"/>
        <v>0</v>
      </c>
      <c r="E204" s="73">
        <f t="shared" si="73"/>
        <v>0</v>
      </c>
      <c r="F204" s="49"/>
      <c r="G204" s="49"/>
      <c r="H204" s="24"/>
      <c r="I204" s="24"/>
      <c r="J204" s="25"/>
      <c r="K204" s="28" t="e">
        <f>J204/#REF!*100</f>
        <v>#REF!</v>
      </c>
      <c r="L204" s="28"/>
      <c r="M204" s="69"/>
      <c r="N204" s="69"/>
      <c r="O204" s="24" t="e">
        <f t="shared" si="58"/>
        <v>#DIV/0!</v>
      </c>
      <c r="P204" s="28"/>
      <c r="Q204" s="25"/>
    </row>
    <row r="205" spans="1:17" ht="13.5" customHeight="1">
      <c r="A205" s="52" t="s">
        <v>39</v>
      </c>
      <c r="B205" s="40"/>
      <c r="C205" s="23" t="s">
        <v>40</v>
      </c>
      <c r="D205" s="49">
        <f t="shared" si="75"/>
        <v>0</v>
      </c>
      <c r="E205" s="73">
        <f>F205+G205</f>
        <v>0</v>
      </c>
      <c r="F205" s="49"/>
      <c r="G205" s="49"/>
      <c r="H205" s="24"/>
      <c r="I205" s="24"/>
      <c r="J205" s="25">
        <v>-5.8</v>
      </c>
      <c r="K205" s="28" t="e">
        <f>J205/#REF!*100</f>
        <v>#REF!</v>
      </c>
      <c r="L205" s="28"/>
      <c r="M205" s="69"/>
      <c r="N205" s="69"/>
      <c r="O205" s="24"/>
      <c r="P205" s="28"/>
      <c r="Q205" s="25"/>
    </row>
    <row r="206" spans="1:17" ht="12.75">
      <c r="A206" s="33" t="s">
        <v>1</v>
      </c>
      <c r="B206" s="33"/>
      <c r="C206" s="41" t="s">
        <v>0</v>
      </c>
      <c r="D206" s="42">
        <f aca="true" t="shared" si="76" ref="D206:J206">D207</f>
        <v>24420.5</v>
      </c>
      <c r="E206" s="42">
        <f t="shared" si="76"/>
        <v>6570</v>
      </c>
      <c r="F206" s="42">
        <f t="shared" si="76"/>
        <v>6570</v>
      </c>
      <c r="G206" s="42">
        <f t="shared" si="76"/>
        <v>6142.9</v>
      </c>
      <c r="H206" s="42">
        <f t="shared" si="76"/>
        <v>6450.9</v>
      </c>
      <c r="I206" s="42">
        <f t="shared" si="76"/>
        <v>5256.7</v>
      </c>
      <c r="J206" s="42">
        <f t="shared" si="76"/>
        <v>2936.2</v>
      </c>
      <c r="K206" s="35" t="e">
        <f>J206/#REF!*100</f>
        <v>#REF!</v>
      </c>
      <c r="L206" s="35">
        <f>J206/H206*100</f>
        <v>45.51612953231332</v>
      </c>
      <c r="M206" s="69"/>
      <c r="N206" s="69"/>
      <c r="O206" s="46">
        <f t="shared" si="58"/>
        <v>55.85633572393327</v>
      </c>
      <c r="P206" s="35">
        <f t="shared" si="56"/>
        <v>44.691019786910196</v>
      </c>
      <c r="Q206" s="32">
        <f t="shared" si="57"/>
        <v>12.023504842243197</v>
      </c>
    </row>
    <row r="207" spans="1:17" ht="24">
      <c r="A207" s="21" t="s">
        <v>67</v>
      </c>
      <c r="B207" s="19"/>
      <c r="C207" s="43" t="s">
        <v>20</v>
      </c>
      <c r="D207" s="49">
        <f t="shared" si="75"/>
        <v>24420.5</v>
      </c>
      <c r="E207" s="73">
        <f>F207</f>
        <v>6570</v>
      </c>
      <c r="F207" s="49">
        <v>6570</v>
      </c>
      <c r="G207" s="49">
        <v>6142.9</v>
      </c>
      <c r="H207" s="24">
        <v>6450.9</v>
      </c>
      <c r="I207" s="24">
        <v>5256.7</v>
      </c>
      <c r="J207" s="25">
        <v>2936.2</v>
      </c>
      <c r="K207" s="28" t="e">
        <f>J207/#REF!*100</f>
        <v>#REF!</v>
      </c>
      <c r="L207" s="28">
        <f>J207/H207*100</f>
        <v>45.51612953231332</v>
      </c>
      <c r="M207" s="69"/>
      <c r="N207" s="69"/>
      <c r="O207" s="24">
        <f t="shared" si="58"/>
        <v>55.85633572393327</v>
      </c>
      <c r="P207" s="28">
        <f t="shared" si="56"/>
        <v>44.691019786910196</v>
      </c>
      <c r="Q207" s="25">
        <f t="shared" si="57"/>
        <v>12.023504842243197</v>
      </c>
    </row>
    <row r="208" spans="1:17" ht="12.75">
      <c r="A208" s="29"/>
      <c r="B208" s="30"/>
      <c r="C208" s="31" t="s">
        <v>4</v>
      </c>
      <c r="D208" s="32">
        <f aca="true" t="shared" si="77" ref="D208:J208">D206+D196</f>
        <v>28562</v>
      </c>
      <c r="E208" s="32">
        <f t="shared" si="77"/>
        <v>7425.2</v>
      </c>
      <c r="F208" s="46">
        <f t="shared" si="77"/>
        <v>7425.2</v>
      </c>
      <c r="G208" s="46">
        <f t="shared" si="77"/>
        <v>7225.299999999999</v>
      </c>
      <c r="H208" s="46">
        <f t="shared" si="77"/>
        <v>7623.299999999999</v>
      </c>
      <c r="I208" s="46">
        <f t="shared" si="77"/>
        <v>6288.2</v>
      </c>
      <c r="J208" s="32">
        <f t="shared" si="77"/>
        <v>3487.7</v>
      </c>
      <c r="K208" s="35" t="e">
        <f>J208/#REF!*100</f>
        <v>#REF!</v>
      </c>
      <c r="L208" s="35">
        <f>J208/H208*100</f>
        <v>45.7505279865675</v>
      </c>
      <c r="M208" s="69"/>
      <c r="N208" s="70" t="e">
        <f>I208+#REF!+#REF!</f>
        <v>#REF!</v>
      </c>
      <c r="O208" s="46">
        <f t="shared" si="58"/>
        <v>55.46420279253205</v>
      </c>
      <c r="P208" s="35">
        <f t="shared" si="56"/>
        <v>46.97112535689274</v>
      </c>
      <c r="Q208" s="32">
        <f t="shared" si="57"/>
        <v>12.210979623275682</v>
      </c>
    </row>
    <row r="209" spans="1:17" ht="12.75">
      <c r="A209" s="96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8"/>
      <c r="M209" s="69"/>
      <c r="N209" s="69"/>
      <c r="O209" s="67"/>
      <c r="P209" s="35"/>
      <c r="Q209" s="32"/>
    </row>
    <row r="210" spans="1:17" ht="12.75">
      <c r="A210" s="86" t="s">
        <v>36</v>
      </c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8"/>
    </row>
    <row r="211" spans="1:17" ht="12.75">
      <c r="A211" s="33" t="s">
        <v>3</v>
      </c>
      <c r="B211" s="59"/>
      <c r="C211" s="34" t="s">
        <v>68</v>
      </c>
      <c r="D211" s="35">
        <f aca="true" t="shared" si="78" ref="D211:J211">D212+D214+D215+D216+D218+D219+D221+D223+D220+D217+D224+D222+D213</f>
        <v>939794.6</v>
      </c>
      <c r="E211" s="35">
        <f t="shared" si="78"/>
        <v>219354.09999999998</v>
      </c>
      <c r="F211" s="35">
        <f t="shared" si="78"/>
        <v>219354.09999999998</v>
      </c>
      <c r="G211" s="35">
        <f t="shared" si="78"/>
        <v>253425.10000000006</v>
      </c>
      <c r="H211" s="35">
        <f t="shared" si="78"/>
        <v>219682.10000000003</v>
      </c>
      <c r="I211" s="35">
        <f t="shared" si="78"/>
        <v>247333.29999999996</v>
      </c>
      <c r="J211" s="35">
        <f t="shared" si="78"/>
        <v>160231.79999999993</v>
      </c>
      <c r="K211" s="35" t="e">
        <f>J211/#REF!*100</f>
        <v>#REF!</v>
      </c>
      <c r="L211" s="35">
        <f aca="true" t="shared" si="79" ref="L211:L222">J211/H211*100</f>
        <v>72.93803181961567</v>
      </c>
      <c r="M211" s="69"/>
      <c r="N211" s="69"/>
      <c r="O211" s="35">
        <f t="shared" si="58"/>
        <v>64.78375536169207</v>
      </c>
      <c r="P211" s="35">
        <f t="shared" si="56"/>
        <v>73.04709599683797</v>
      </c>
      <c r="Q211" s="32">
        <f t="shared" si="57"/>
        <v>17.04966170267417</v>
      </c>
    </row>
    <row r="212" spans="1:17" ht="12.75">
      <c r="A212" s="29" t="s">
        <v>23</v>
      </c>
      <c r="B212" s="60" t="s">
        <v>54</v>
      </c>
      <c r="C212" s="36" t="s">
        <v>22</v>
      </c>
      <c r="D212" s="49">
        <f>F212+G212+H212+I212</f>
        <v>685973.2</v>
      </c>
      <c r="E212" s="73">
        <f aca="true" t="shared" si="80" ref="E212:E228">F212</f>
        <v>159336</v>
      </c>
      <c r="F212" s="25">
        <f>F9+F31+F46+F64+F81+F99+F115+F131+F147+F164+F181+F197</f>
        <v>159336</v>
      </c>
      <c r="G212" s="25">
        <f>G9+G31+G46+G64+G81+G99+G115+G131+G147+G164+G181+G197</f>
        <v>189025.00000000003</v>
      </c>
      <c r="H212" s="25">
        <f>H9+H31+H46+H64+H81+H99+H115+H131+H147+H164+H181+H197</f>
        <v>157942.90000000002</v>
      </c>
      <c r="I212" s="25">
        <f>I9+I31+I46+I64+I81+I99+I115+I131+I147+I164+I181+I197</f>
        <v>179669.3</v>
      </c>
      <c r="J212" s="25">
        <f>J9+J31+J46+J64+J81+J99+J115+J131+J147+J164+J181+J197</f>
        <v>121697.39999999997</v>
      </c>
      <c r="K212" s="28" t="e">
        <f>J212/#REF!*100</f>
        <v>#REF!</v>
      </c>
      <c r="L212" s="28">
        <f t="shared" si="79"/>
        <v>77.05151671901677</v>
      </c>
      <c r="M212" s="69"/>
      <c r="N212" s="69"/>
      <c r="O212" s="24">
        <f t="shared" si="58"/>
        <v>67.73410927743357</v>
      </c>
      <c r="P212" s="28">
        <f t="shared" si="56"/>
        <v>76.37784304865188</v>
      </c>
      <c r="Q212" s="25">
        <f t="shared" si="57"/>
        <v>17.740838854929024</v>
      </c>
    </row>
    <row r="213" spans="1:17" ht="12.75">
      <c r="A213" s="19" t="s">
        <v>70</v>
      </c>
      <c r="B213" s="19"/>
      <c r="C213" s="36" t="s">
        <v>71</v>
      </c>
      <c r="D213" s="49">
        <f aca="true" t="shared" si="81" ref="D213:D228">F213+G213+H213+I213</f>
        <v>38564.4</v>
      </c>
      <c r="E213" s="73">
        <f t="shared" si="80"/>
        <v>9035.800000000001</v>
      </c>
      <c r="F213" s="25">
        <f>F10+F32+F47+F65+F82+F100+F117+F132+F148+F165+F182+F198</f>
        <v>9035.800000000001</v>
      </c>
      <c r="G213" s="25">
        <f>G10+G32+G47+G65+G82+G100+G117+G132+G148+G165+G182+G198</f>
        <v>9459.699999999999</v>
      </c>
      <c r="H213" s="25">
        <f>H10+H32+H47+H65+H82+H100+H117+H132+H148+H165+H182+H198</f>
        <v>10173.6</v>
      </c>
      <c r="I213" s="25">
        <f>I10+I32+I47+I65+I82+I100+I117+I132+I148+I165+I182+I198</f>
        <v>9895.300000000001</v>
      </c>
      <c r="J213" s="25">
        <f>J10+J32+J47+J65+J82+J100+J117+J132+J148+J165+J182+J198+0.1</f>
        <v>4631.700000000001</v>
      </c>
      <c r="K213" s="25">
        <f>K10</f>
        <v>0</v>
      </c>
      <c r="L213" s="25">
        <f>L10</f>
        <v>0</v>
      </c>
      <c r="M213" s="25">
        <f>M10</f>
        <v>0</v>
      </c>
      <c r="N213" s="25">
        <f>N10</f>
        <v>0</v>
      </c>
      <c r="O213" s="25">
        <f>O10</f>
        <v>0</v>
      </c>
      <c r="P213" s="28">
        <f t="shared" si="56"/>
        <v>51.25943469310963</v>
      </c>
      <c r="Q213" s="25">
        <f t="shared" si="57"/>
        <v>12.01029965460373</v>
      </c>
    </row>
    <row r="214" spans="1:17" ht="12.75">
      <c r="A214" s="19" t="s">
        <v>8</v>
      </c>
      <c r="B214" s="58" t="s">
        <v>55</v>
      </c>
      <c r="C214" s="36" t="s">
        <v>5</v>
      </c>
      <c r="D214" s="49">
        <f t="shared" si="81"/>
        <v>38556</v>
      </c>
      <c r="E214" s="73">
        <f t="shared" si="80"/>
        <v>8908.1</v>
      </c>
      <c r="F214" s="25">
        <f>F11+F48+F66+F199+F149+F116+F183+F83+F101+F166</f>
        <v>8908.1</v>
      </c>
      <c r="G214" s="25">
        <f>G11+G48+G66+G199+G149+G116+G183+G83+G101+G166</f>
        <v>12380.4</v>
      </c>
      <c r="H214" s="25">
        <f>H11+H48+H66+H199+H149+H116+H183+H83+H101+H166</f>
        <v>8838.1</v>
      </c>
      <c r="I214" s="25">
        <f>I11+I48+I66+I199+I149+I116+I183+I83+I101+I166</f>
        <v>8429.399999999998</v>
      </c>
      <c r="J214" s="25">
        <f>J11+J48+J66+J199+J149+J116+J183+J83+J101+J166</f>
        <v>8073.999999999999</v>
      </c>
      <c r="K214" s="28" t="e">
        <f>J214/#REF!*100</f>
        <v>#REF!</v>
      </c>
      <c r="L214" s="28">
        <f t="shared" si="79"/>
        <v>91.35447664090697</v>
      </c>
      <c r="M214" s="69"/>
      <c r="N214" s="69"/>
      <c r="O214" s="24">
        <f t="shared" si="58"/>
        <v>95.78380430398369</v>
      </c>
      <c r="P214" s="28">
        <f t="shared" si="56"/>
        <v>90.6366116231295</v>
      </c>
      <c r="Q214" s="25">
        <f t="shared" si="57"/>
        <v>20.940968980184664</v>
      </c>
    </row>
    <row r="215" spans="1:17" ht="12.75">
      <c r="A215" s="19" t="s">
        <v>9</v>
      </c>
      <c r="B215" s="58" t="s">
        <v>56</v>
      </c>
      <c r="C215" s="36" t="s">
        <v>6</v>
      </c>
      <c r="D215" s="49">
        <f t="shared" si="81"/>
        <v>20925.8</v>
      </c>
      <c r="E215" s="73">
        <f t="shared" si="80"/>
        <v>4495.5</v>
      </c>
      <c r="F215" s="25">
        <f>F12+F33+F49+F67+F84+F102+F118+F133+F150+F167+F184+F200</f>
        <v>4495.5</v>
      </c>
      <c r="G215" s="25">
        <f>G12+G33+G49+G67+G84+G102+G118+G133+G150+G167+G184+G200</f>
        <v>3459.6</v>
      </c>
      <c r="H215" s="25">
        <f>H12+H33+H49+H67+H84+H102+H118+H133+H150+H167+H184+H200</f>
        <v>3902.2</v>
      </c>
      <c r="I215" s="25">
        <f>I12+I33+I49+I67+I84+I102+I118+I133+I150+I167+I184+I200</f>
        <v>9068.5</v>
      </c>
      <c r="J215" s="25">
        <f>J12+J33+J49+J67+J84+J102+J118+J133+J150+J167+J184+J200+0.1</f>
        <v>2482.5999999999995</v>
      </c>
      <c r="K215" s="28" t="e">
        <f>J215/#REF!*100</f>
        <v>#REF!</v>
      </c>
      <c r="L215" s="28">
        <f t="shared" si="79"/>
        <v>63.6205217569576</v>
      </c>
      <c r="M215" s="69"/>
      <c r="N215" s="69"/>
      <c r="O215" s="24">
        <f t="shared" si="58"/>
        <v>27.3760820422341</v>
      </c>
      <c r="P215" s="28">
        <f t="shared" si="56"/>
        <v>55.224113001890764</v>
      </c>
      <c r="Q215" s="25">
        <f t="shared" si="57"/>
        <v>11.86382360531019</v>
      </c>
    </row>
    <row r="216" spans="1:17" ht="12.75">
      <c r="A216" s="19" t="s">
        <v>10</v>
      </c>
      <c r="B216" s="58" t="s">
        <v>49</v>
      </c>
      <c r="C216" s="36" t="s">
        <v>21</v>
      </c>
      <c r="D216" s="49">
        <f t="shared" si="81"/>
        <v>4252.400000000001</v>
      </c>
      <c r="E216" s="73">
        <f t="shared" si="80"/>
        <v>1064.8000000000002</v>
      </c>
      <c r="F216" s="25">
        <f>F13+F34+F68+F85+F103+F119+F134+F151+F168+F185+F201</f>
        <v>1064.8000000000002</v>
      </c>
      <c r="G216" s="25">
        <f>G13+G34+G68+G85+G103+G119+G134+G151+G168+G185+G201</f>
        <v>1071.1</v>
      </c>
      <c r="H216" s="25">
        <f>H13+H34+H68+H85+H103+H119+H134+H151+H168+H185+H201</f>
        <v>1038.8000000000002</v>
      </c>
      <c r="I216" s="25">
        <f>I13+I34+I68+I85+I103+I119+I134+I151+I168+I185+I201</f>
        <v>1077.7</v>
      </c>
      <c r="J216" s="25">
        <f>J13+J34+J50+J68+J85+J103+J119+J134+J151+J168+J185+J201-0.1</f>
        <v>659</v>
      </c>
      <c r="K216" s="28" t="e">
        <f>J216/#REF!*100</f>
        <v>#REF!</v>
      </c>
      <c r="L216" s="28">
        <f t="shared" si="79"/>
        <v>63.43858298036194</v>
      </c>
      <c r="M216" s="69"/>
      <c r="N216" s="69"/>
      <c r="O216" s="24">
        <f t="shared" si="58"/>
        <v>61.14874269277164</v>
      </c>
      <c r="P216" s="28">
        <f t="shared" si="56"/>
        <v>61.88955672426746</v>
      </c>
      <c r="Q216" s="25">
        <f t="shared" si="57"/>
        <v>15.497131031887873</v>
      </c>
    </row>
    <row r="217" spans="1:17" ht="24" hidden="1">
      <c r="A217" s="19" t="s">
        <v>37</v>
      </c>
      <c r="B217" s="58" t="s">
        <v>57</v>
      </c>
      <c r="C217" s="36" t="s">
        <v>38</v>
      </c>
      <c r="D217" s="49">
        <f t="shared" si="81"/>
        <v>0</v>
      </c>
      <c r="E217" s="73">
        <f t="shared" si="80"/>
        <v>0</v>
      </c>
      <c r="F217" s="61">
        <f>F14</f>
        <v>0</v>
      </c>
      <c r="G217" s="61">
        <f>G14</f>
        <v>0</v>
      </c>
      <c r="H217" s="61">
        <f>H14</f>
        <v>0</v>
      </c>
      <c r="I217" s="61">
        <f>I14</f>
        <v>0</v>
      </c>
      <c r="J217" s="61">
        <f>J14</f>
        <v>0</v>
      </c>
      <c r="K217" s="28" t="e">
        <f>J217/#REF!*100</f>
        <v>#REF!</v>
      </c>
      <c r="L217" s="28"/>
      <c r="M217" s="69"/>
      <c r="N217" s="69"/>
      <c r="O217" s="24" t="e">
        <f t="shared" si="58"/>
        <v>#DIV/0!</v>
      </c>
      <c r="P217" s="28"/>
      <c r="Q217" s="25"/>
    </row>
    <row r="218" spans="1:17" ht="24">
      <c r="A218" s="20" t="s">
        <v>11</v>
      </c>
      <c r="B218" s="62" t="s">
        <v>48</v>
      </c>
      <c r="C218" s="36" t="s">
        <v>17</v>
      </c>
      <c r="D218" s="49">
        <f t="shared" si="81"/>
        <v>112300.7</v>
      </c>
      <c r="E218" s="73">
        <f t="shared" si="80"/>
        <v>27314.5</v>
      </c>
      <c r="F218" s="25">
        <f>F15+F35+F51+F69+F86+F104+F120+F135+F152+F169+F186+F202</f>
        <v>27314.5</v>
      </c>
      <c r="G218" s="25">
        <f>G15+G35+G51+G69+G86+G104+G120+G135+G152+G169+G186+G202</f>
        <v>27712.7</v>
      </c>
      <c r="H218" s="25">
        <f>H15+H35+H51+H69+H86+H104+H120+H135+H152+H169+H186+H202</f>
        <v>28063.500000000004</v>
      </c>
      <c r="I218" s="25">
        <f>I15+I35+I51+I69+I86+I104+I120+I135+I152+I169+I186+I202</f>
        <v>29210</v>
      </c>
      <c r="J218" s="25">
        <f>J15+J35+J51+J69+J86+J104+J120+J135+J152+J169+J186+J202+0.1</f>
        <v>6241</v>
      </c>
      <c r="K218" s="28" t="e">
        <f>J218/#REF!*100</f>
        <v>#REF!</v>
      </c>
      <c r="L218" s="28">
        <f t="shared" si="79"/>
        <v>22.238851176795478</v>
      </c>
      <c r="M218" s="69"/>
      <c r="N218" s="69"/>
      <c r="O218" s="24">
        <f t="shared" si="58"/>
        <v>21.365970558028074</v>
      </c>
      <c r="P218" s="28">
        <f aca="true" t="shared" si="82" ref="P218:P229">J218*100/E218</f>
        <v>22.848670120265794</v>
      </c>
      <c r="Q218" s="25">
        <f aca="true" t="shared" si="83" ref="Q218:Q229">J218*100/D218</f>
        <v>5.557400799816921</v>
      </c>
    </row>
    <row r="219" spans="1:17" ht="12.75">
      <c r="A219" s="37" t="s">
        <v>14</v>
      </c>
      <c r="B219" s="63" t="s">
        <v>47</v>
      </c>
      <c r="C219" s="36" t="s">
        <v>13</v>
      </c>
      <c r="D219" s="49">
        <f t="shared" si="81"/>
        <v>5108.6</v>
      </c>
      <c r="E219" s="73">
        <f t="shared" si="80"/>
        <v>1277</v>
      </c>
      <c r="F219" s="25">
        <f>F16</f>
        <v>1277</v>
      </c>
      <c r="G219" s="25">
        <f>G16</f>
        <v>1277.1</v>
      </c>
      <c r="H219" s="25">
        <f>H16</f>
        <v>1277.1</v>
      </c>
      <c r="I219" s="25">
        <f>I16</f>
        <v>1277.4</v>
      </c>
      <c r="J219" s="25">
        <f>J16</f>
        <v>2582.8</v>
      </c>
      <c r="K219" s="28" t="e">
        <f>J219/#REF!*100</f>
        <v>#REF!</v>
      </c>
      <c r="L219" s="28">
        <f t="shared" si="79"/>
        <v>202.23944875107668</v>
      </c>
      <c r="M219" s="69"/>
      <c r="N219" s="69"/>
      <c r="O219" s="24">
        <f t="shared" si="58"/>
        <v>202.19195240331925</v>
      </c>
      <c r="P219" s="28">
        <f t="shared" si="82"/>
        <v>202.25528582615507</v>
      </c>
      <c r="Q219" s="25">
        <f t="shared" si="83"/>
        <v>50.55788278589046</v>
      </c>
    </row>
    <row r="220" spans="1:17" ht="12.75">
      <c r="A220" s="38" t="s">
        <v>42</v>
      </c>
      <c r="B220" s="64" t="s">
        <v>58</v>
      </c>
      <c r="C220" s="36" t="s">
        <v>43</v>
      </c>
      <c r="D220" s="49">
        <f t="shared" si="81"/>
        <v>15702.1</v>
      </c>
      <c r="E220" s="73">
        <f t="shared" si="80"/>
        <v>3496.5</v>
      </c>
      <c r="F220" s="65">
        <f>F17+F87+F52+F105+F136+F153+F170+F187+F121+F70+F36</f>
        <v>3496.5</v>
      </c>
      <c r="G220" s="65">
        <f>G17+G87+G52+G105+G136+G153+G170+G187+G121+G70+G36</f>
        <v>4064.8999999999996</v>
      </c>
      <c r="H220" s="65">
        <f>H17+H87+H52+H105+H136+H153+H170+H187+H121+H70+H36</f>
        <v>3983.3</v>
      </c>
      <c r="I220" s="65">
        <f>I17+I87+I52+I105+I136+I153+I170+I187+I121+I70+I36</f>
        <v>4157.4</v>
      </c>
      <c r="J220" s="65">
        <f aca="true" t="shared" si="84" ref="J220:O220">J17+J87+J52+J105+J136+J153+J170+J187+J121+J70+J36</f>
        <v>2754.3</v>
      </c>
      <c r="K220" s="65" t="e">
        <f t="shared" si="84"/>
        <v>#REF!</v>
      </c>
      <c r="L220" s="65">
        <f t="shared" si="84"/>
        <v>689.9257706871467</v>
      </c>
      <c r="M220" s="65">
        <f t="shared" si="84"/>
        <v>0</v>
      </c>
      <c r="N220" s="65">
        <f t="shared" si="84"/>
        <v>0</v>
      </c>
      <c r="O220" s="65" t="e">
        <f t="shared" si="84"/>
        <v>#DIV/0!</v>
      </c>
      <c r="P220" s="28">
        <f t="shared" si="82"/>
        <v>78.77305877305878</v>
      </c>
      <c r="Q220" s="25">
        <f t="shared" si="83"/>
        <v>17.54096585806994</v>
      </c>
    </row>
    <row r="221" spans="1:17" ht="12.75">
      <c r="A221" s="38" t="s">
        <v>18</v>
      </c>
      <c r="B221" s="64" t="s">
        <v>53</v>
      </c>
      <c r="C221" s="36" t="s">
        <v>15</v>
      </c>
      <c r="D221" s="49">
        <f t="shared" si="81"/>
        <v>13944</v>
      </c>
      <c r="E221" s="73">
        <f t="shared" si="80"/>
        <v>3314.9</v>
      </c>
      <c r="F221" s="25">
        <f>F18+F37+F53+F71+F88+F106+F122+F154+F171+F188+F203+F137</f>
        <v>3314.9</v>
      </c>
      <c r="G221" s="25">
        <f>G18+G37+G53+G71+G88+G106+G122+G154+G171+G188+G203+G137</f>
        <v>3859.9</v>
      </c>
      <c r="H221" s="25">
        <f>H18+H37+H53+H71+H88+H106+H122+H154+H171+H188+H203+H137</f>
        <v>3348.9</v>
      </c>
      <c r="I221" s="25">
        <f>I18+I37+I53+I71+I88+I106+I122+I154+I171+I188+I203+I137</f>
        <v>3420.3</v>
      </c>
      <c r="J221" s="25">
        <f>J18+J37+J53+J71+J88+J122+J154+J171+J188+J203+J137</f>
        <v>3463.8</v>
      </c>
      <c r="K221" s="28" t="e">
        <f>J221/#REF!*100</f>
        <v>#REF!</v>
      </c>
      <c r="L221" s="28">
        <f t="shared" si="79"/>
        <v>103.43097733584162</v>
      </c>
      <c r="M221" s="69"/>
      <c r="N221" s="69"/>
      <c r="O221" s="24">
        <f aca="true" t="shared" si="85" ref="O221:O229">J221*100/I221</f>
        <v>101.27181826155599</v>
      </c>
      <c r="P221" s="28">
        <f t="shared" si="82"/>
        <v>104.49183987450601</v>
      </c>
      <c r="Q221" s="25">
        <f t="shared" si="83"/>
        <v>24.8407917383821</v>
      </c>
    </row>
    <row r="222" spans="1:17" ht="12.75">
      <c r="A222" s="38" t="s">
        <v>60</v>
      </c>
      <c r="B222" s="38"/>
      <c r="C222" s="36" t="s">
        <v>61</v>
      </c>
      <c r="D222" s="49">
        <f t="shared" si="81"/>
        <v>6</v>
      </c>
      <c r="E222" s="73">
        <f t="shared" si="80"/>
        <v>1</v>
      </c>
      <c r="F222" s="25">
        <f>F19</f>
        <v>1</v>
      </c>
      <c r="G222" s="25">
        <f>G19</f>
        <v>2</v>
      </c>
      <c r="H222" s="25">
        <f>H19</f>
        <v>1</v>
      </c>
      <c r="I222" s="25">
        <f>I19</f>
        <v>2</v>
      </c>
      <c r="J222" s="25">
        <f>J19</f>
        <v>6</v>
      </c>
      <c r="K222" s="28" t="e">
        <f>J222/#REF!*100</f>
        <v>#REF!</v>
      </c>
      <c r="L222" s="28">
        <f t="shared" si="79"/>
        <v>600</v>
      </c>
      <c r="M222" s="69"/>
      <c r="N222" s="69"/>
      <c r="O222" s="24">
        <f t="shared" si="85"/>
        <v>300</v>
      </c>
      <c r="P222" s="28">
        <f t="shared" si="82"/>
        <v>600</v>
      </c>
      <c r="Q222" s="25">
        <f t="shared" si="83"/>
        <v>100</v>
      </c>
    </row>
    <row r="223" spans="1:17" ht="12.75">
      <c r="A223" s="29" t="s">
        <v>12</v>
      </c>
      <c r="B223" s="60" t="s">
        <v>50</v>
      </c>
      <c r="C223" s="36" t="s">
        <v>7</v>
      </c>
      <c r="D223" s="49">
        <f t="shared" si="81"/>
        <v>4461.4</v>
      </c>
      <c r="E223" s="73">
        <f t="shared" si="80"/>
        <v>1110</v>
      </c>
      <c r="F223" s="25">
        <f aca="true" t="shared" si="86" ref="F223:O223">F20+F189+F204+F72+F138+F54+F155+F89</f>
        <v>1110</v>
      </c>
      <c r="G223" s="25">
        <f t="shared" si="86"/>
        <v>1112.7</v>
      </c>
      <c r="H223" s="25">
        <f t="shared" si="86"/>
        <v>1112.7</v>
      </c>
      <c r="I223" s="25">
        <f t="shared" si="86"/>
        <v>1126</v>
      </c>
      <c r="J223" s="25">
        <f>J20+J189+J204+J72+J138+J54+J155+J89+J172+J106</f>
        <v>7413.8</v>
      </c>
      <c r="K223" s="25" t="e">
        <f t="shared" si="86"/>
        <v>#REF!</v>
      </c>
      <c r="L223" s="25">
        <f t="shared" si="86"/>
        <v>661.0676732272849</v>
      </c>
      <c r="M223" s="25">
        <f t="shared" si="86"/>
        <v>0</v>
      </c>
      <c r="N223" s="25">
        <f t="shared" si="86"/>
        <v>0</v>
      </c>
      <c r="O223" s="25" t="e">
        <f t="shared" si="86"/>
        <v>#DIV/0!</v>
      </c>
      <c r="P223" s="28">
        <f t="shared" si="82"/>
        <v>667.9099099099099</v>
      </c>
      <c r="Q223" s="25">
        <f t="shared" si="83"/>
        <v>166.17653651320214</v>
      </c>
    </row>
    <row r="224" spans="1:17" ht="12.75">
      <c r="A224" s="39" t="s">
        <v>39</v>
      </c>
      <c r="B224" s="66" t="s">
        <v>57</v>
      </c>
      <c r="C224" s="23" t="s">
        <v>40</v>
      </c>
      <c r="D224" s="49">
        <f t="shared" si="81"/>
        <v>0</v>
      </c>
      <c r="E224" s="73">
        <f t="shared" si="80"/>
        <v>0</v>
      </c>
      <c r="F224" s="25">
        <f>F21+F38+F55+F73+F90+F107+F124+F139+F156+F173+F190+F205</f>
        <v>0</v>
      </c>
      <c r="G224" s="25">
        <f>G21+G38+G55+G73+G90+G107+G124+G139+G156+G173+G190+G205</f>
        <v>0</v>
      </c>
      <c r="H224" s="25">
        <f>H21+H38+H55+H73+H90+H107+H124+H139+H156+H173+H190+H205</f>
        <v>0</v>
      </c>
      <c r="I224" s="25">
        <f>I21+I38+I55+I73+I90+I107+I124+I139+I156+I173+I190+I205</f>
        <v>0</v>
      </c>
      <c r="J224" s="25">
        <f>J21+J38+J55+J73+J90+J107+J124+J139+J156+J173+J190+J205-0.1</f>
        <v>225.4</v>
      </c>
      <c r="K224" s="28"/>
      <c r="L224" s="28"/>
      <c r="M224" s="69"/>
      <c r="N224" s="69"/>
      <c r="O224" s="24" t="e">
        <f t="shared" si="85"/>
        <v>#DIV/0!</v>
      </c>
      <c r="P224" s="28"/>
      <c r="Q224" s="25"/>
    </row>
    <row r="225" spans="1:17" ht="12.75">
      <c r="A225" s="33" t="s">
        <v>1</v>
      </c>
      <c r="B225" s="59"/>
      <c r="C225" s="41" t="s">
        <v>0</v>
      </c>
      <c r="D225" s="42">
        <f aca="true" t="shared" si="87" ref="D225:I225">D226+D227+D228</f>
        <v>2393197</v>
      </c>
      <c r="E225" s="42">
        <f t="shared" si="87"/>
        <v>561083.4</v>
      </c>
      <c r="F225" s="42">
        <f t="shared" si="87"/>
        <v>561083.4</v>
      </c>
      <c r="G225" s="42">
        <f t="shared" si="87"/>
        <v>697793.4</v>
      </c>
      <c r="H225" s="42">
        <f t="shared" si="87"/>
        <v>524527.6</v>
      </c>
      <c r="I225" s="42">
        <f t="shared" si="87"/>
        <v>609792.6</v>
      </c>
      <c r="J225" s="42">
        <f>J226+J227+J228+0.1</f>
        <v>285099.39999999997</v>
      </c>
      <c r="K225" s="35" t="e">
        <f>J225/#REF!*100</f>
        <v>#REF!</v>
      </c>
      <c r="L225" s="35">
        <f>J225/H225*100</f>
        <v>54.353555465908755</v>
      </c>
      <c r="M225" s="69"/>
      <c r="N225" s="69"/>
      <c r="O225" s="46">
        <f t="shared" si="85"/>
        <v>46.75350274831147</v>
      </c>
      <c r="P225" s="35">
        <f t="shared" si="82"/>
        <v>50.81230348286903</v>
      </c>
      <c r="Q225" s="32">
        <f t="shared" si="83"/>
        <v>11.912909802243608</v>
      </c>
    </row>
    <row r="226" spans="1:17" ht="24">
      <c r="A226" s="21" t="s">
        <v>67</v>
      </c>
      <c r="B226" s="58" t="s">
        <v>51</v>
      </c>
      <c r="C226" s="43" t="s">
        <v>20</v>
      </c>
      <c r="D226" s="49">
        <f t="shared" si="81"/>
        <v>2387517.5</v>
      </c>
      <c r="E226" s="73">
        <f>F226</f>
        <v>562903.9</v>
      </c>
      <c r="F226" s="24">
        <f>F23</f>
        <v>562903.9</v>
      </c>
      <c r="G226" s="24">
        <f>G23</f>
        <v>695293.4</v>
      </c>
      <c r="H226" s="24">
        <f>H23</f>
        <v>522027.6</v>
      </c>
      <c r="I226" s="24">
        <f>I23-112</f>
        <v>607292.6</v>
      </c>
      <c r="J226" s="24">
        <f>J23</f>
        <v>288369.8</v>
      </c>
      <c r="K226" s="28" t="e">
        <f>J226/#REF!*100</f>
        <v>#REF!</v>
      </c>
      <c r="L226" s="28">
        <f>J226/H226*100</f>
        <v>55.240335951585706</v>
      </c>
      <c r="M226" s="69"/>
      <c r="N226" s="69"/>
      <c r="O226" s="24">
        <f t="shared" si="85"/>
        <v>47.48449100153699</v>
      </c>
      <c r="P226" s="28">
        <f t="shared" si="82"/>
        <v>51.22895755385599</v>
      </c>
      <c r="Q226" s="25">
        <f t="shared" si="83"/>
        <v>12.078227698854564</v>
      </c>
    </row>
    <row r="227" spans="1:17" ht="12.75">
      <c r="A227" s="21" t="s">
        <v>2</v>
      </c>
      <c r="B227" s="21" t="s">
        <v>52</v>
      </c>
      <c r="C227" s="44" t="s">
        <v>19</v>
      </c>
      <c r="D227" s="49">
        <f t="shared" si="81"/>
        <v>10000</v>
      </c>
      <c r="E227" s="73">
        <f t="shared" si="80"/>
        <v>2500</v>
      </c>
      <c r="F227" s="25">
        <f>F24+F94+F110+F176+F142+F58+F41+F159</f>
        <v>2500</v>
      </c>
      <c r="G227" s="25">
        <f>G24+G94+G110+G176+G142+G58+G41+G159</f>
        <v>2500</v>
      </c>
      <c r="H227" s="25">
        <f>H24+H94+H110+H176+H142+H58+H41+H159</f>
        <v>2500</v>
      </c>
      <c r="I227" s="25">
        <f>I24+I94+I110+I176+I142+I58+I41+I159</f>
        <v>2500</v>
      </c>
      <c r="J227" s="25">
        <f>J24+J94+J110+J176+J142+J58+J159</f>
        <v>1050</v>
      </c>
      <c r="K227" s="28" t="e">
        <f>J227/#REF!*100</f>
        <v>#REF!</v>
      </c>
      <c r="L227" s="28">
        <f>J227/H227*100</f>
        <v>42</v>
      </c>
      <c r="M227" s="69"/>
      <c r="N227" s="69"/>
      <c r="O227" s="24">
        <f t="shared" si="85"/>
        <v>42</v>
      </c>
      <c r="P227" s="28">
        <f t="shared" si="82"/>
        <v>42</v>
      </c>
      <c r="Q227" s="25">
        <f t="shared" si="83"/>
        <v>10.5</v>
      </c>
    </row>
    <row r="228" spans="1:17" ht="24">
      <c r="A228" s="21" t="s">
        <v>66</v>
      </c>
      <c r="B228" s="22"/>
      <c r="C228" s="27" t="s">
        <v>63</v>
      </c>
      <c r="D228" s="49">
        <f t="shared" si="81"/>
        <v>-4320.5</v>
      </c>
      <c r="E228" s="73">
        <f t="shared" si="80"/>
        <v>-4320.5</v>
      </c>
      <c r="F228" s="25">
        <f>F26</f>
        <v>-4320.5</v>
      </c>
      <c r="G228" s="25">
        <f>G26</f>
        <v>0</v>
      </c>
      <c r="H228" s="25">
        <f>H26</f>
        <v>0</v>
      </c>
      <c r="I228" s="25">
        <f>I26</f>
        <v>0</v>
      </c>
      <c r="J228" s="25">
        <f>J26</f>
        <v>-4320.5</v>
      </c>
      <c r="K228" s="28" t="e">
        <f>J228/#REF!*100</f>
        <v>#REF!</v>
      </c>
      <c r="L228" s="28"/>
      <c r="M228" s="69"/>
      <c r="N228" s="69"/>
      <c r="O228" s="24" t="e">
        <f t="shared" si="85"/>
        <v>#DIV/0!</v>
      </c>
      <c r="P228" s="28">
        <f>J228*100/E228</f>
        <v>100</v>
      </c>
      <c r="Q228" s="25">
        <f>J228*100/D228</f>
        <v>100</v>
      </c>
    </row>
    <row r="229" spans="1:17" ht="12.75">
      <c r="A229" s="29"/>
      <c r="B229" s="30"/>
      <c r="C229" s="31" t="s">
        <v>4</v>
      </c>
      <c r="D229" s="32">
        <f aca="true" t="shared" si="88" ref="D229:J229">D225+D211</f>
        <v>3332991.6</v>
      </c>
      <c r="E229" s="32">
        <f t="shared" si="88"/>
        <v>780437.5</v>
      </c>
      <c r="F229" s="32">
        <f t="shared" si="88"/>
        <v>780437.5</v>
      </c>
      <c r="G229" s="32">
        <f t="shared" si="88"/>
        <v>951218.5000000001</v>
      </c>
      <c r="H229" s="32">
        <f t="shared" si="88"/>
        <v>744209.7</v>
      </c>
      <c r="I229" s="32">
        <f t="shared" si="88"/>
        <v>857125.8999999999</v>
      </c>
      <c r="J229" s="32">
        <f t="shared" si="88"/>
        <v>445331.1999999999</v>
      </c>
      <c r="K229" s="35" t="e">
        <f>J229/#REF!*100</f>
        <v>#REF!</v>
      </c>
      <c r="L229" s="35">
        <f>J229/H229*100</f>
        <v>59.839478039590176</v>
      </c>
      <c r="M229" s="69"/>
      <c r="N229" s="70" t="e">
        <f>I229+#REF!+#REF!</f>
        <v>#REF!</v>
      </c>
      <c r="O229" s="46">
        <f t="shared" si="85"/>
        <v>51.95633453615157</v>
      </c>
      <c r="P229" s="35">
        <f t="shared" si="82"/>
        <v>57.0617378073196</v>
      </c>
      <c r="Q229" s="32">
        <f t="shared" si="83"/>
        <v>13.361305801070722</v>
      </c>
    </row>
    <row r="230" spans="3:8" ht="12.75">
      <c r="C230" s="8"/>
      <c r="D230" s="8"/>
      <c r="E230" s="8"/>
      <c r="F230" s="8"/>
      <c r="G230" s="8"/>
      <c r="H230" s="2"/>
    </row>
    <row r="231" spans="3:11" ht="12.75">
      <c r="C231" s="9" t="s">
        <v>59</v>
      </c>
      <c r="D231" s="9"/>
      <c r="E231" s="9"/>
      <c r="F231" s="9"/>
      <c r="G231" s="9"/>
      <c r="H231" s="3"/>
      <c r="I231" s="3"/>
      <c r="J231" s="5"/>
      <c r="K231" s="5"/>
    </row>
    <row r="232" spans="3:12" ht="12.75" hidden="1">
      <c r="C232" s="9"/>
      <c r="D232" s="9"/>
      <c r="E232" s="9"/>
      <c r="F232" s="9"/>
      <c r="G232" s="9"/>
      <c r="H232" s="3" t="s">
        <v>62</v>
      </c>
      <c r="I232" s="3">
        <f>I231-I211</f>
        <v>-247333.29999999996</v>
      </c>
      <c r="J232" s="4"/>
      <c r="K232" s="5"/>
      <c r="L232" s="2" t="e">
        <f>N27+N42+N60+N77+N95+N111+N127+N143+N160+N177+N193+N208-#REF!-#REF!-#REF!-#REF!-#REF!-#REF!-#REF!-#REF!-#REF!-#REF!-#REF!-#REF!-5301.3-7951.9-535.1-7243.1</f>
        <v>#REF!</v>
      </c>
    </row>
    <row r="233" spans="1:12" ht="12.75" hidden="1">
      <c r="A233" s="2"/>
      <c r="C233" s="9"/>
      <c r="D233" s="9"/>
      <c r="E233" s="9"/>
      <c r="F233" s="9"/>
      <c r="G233" s="9"/>
      <c r="H233" s="6"/>
      <c r="I233" s="3"/>
      <c r="J233" s="5"/>
      <c r="K233" s="5"/>
      <c r="L233" s="2" t="e">
        <f>N229-L232</f>
        <v>#REF!</v>
      </c>
    </row>
    <row r="234" spans="3:11" ht="12.75" hidden="1">
      <c r="C234" s="10"/>
      <c r="D234" s="10"/>
      <c r="E234" s="10"/>
      <c r="F234" s="10"/>
      <c r="G234" s="10"/>
      <c r="H234" s="3"/>
      <c r="I234" s="3">
        <f>I233-I225</f>
        <v>-609792.6</v>
      </c>
      <c r="J234" s="5"/>
      <c r="K234" s="5"/>
    </row>
    <row r="235" spans="3:11" ht="12.75" hidden="1">
      <c r="C235" s="10"/>
      <c r="D235" s="10"/>
      <c r="E235" s="10"/>
      <c r="F235" s="10"/>
      <c r="G235" s="10"/>
      <c r="H235" s="6"/>
      <c r="I235" s="3" t="e">
        <f>#REF!+#REF!+#REF!+#REF!+#REF!+#REF!+#REF!+#REF!+#REF!+#REF!</f>
        <v>#REF!</v>
      </c>
      <c r="J235" s="5"/>
      <c r="K235" s="5"/>
    </row>
    <row r="236" spans="1:11" ht="12.75" hidden="1">
      <c r="A236" s="2">
        <f>I211+I225</f>
        <v>857125.8999999999</v>
      </c>
      <c r="C236" s="18"/>
      <c r="D236" s="18"/>
      <c r="E236" s="18"/>
      <c r="F236" s="18"/>
      <c r="G236" s="18"/>
      <c r="H236" s="6"/>
      <c r="I236" s="3" t="e">
        <f>I235-#REF!</f>
        <v>#REF!</v>
      </c>
      <c r="J236" s="5"/>
      <c r="K236" s="5"/>
    </row>
    <row r="237" spans="1:11" ht="12.75" hidden="1">
      <c r="A237" s="2" t="e">
        <f>#REF!+#REF!</f>
        <v>#REF!</v>
      </c>
      <c r="C237" s="10"/>
      <c r="D237" s="10"/>
      <c r="E237" s="10"/>
      <c r="F237" s="10"/>
      <c r="G237" s="10"/>
      <c r="H237" s="6"/>
      <c r="I237" s="3" t="e">
        <f>I231+I233+I235</f>
        <v>#REF!</v>
      </c>
      <c r="J237" s="5"/>
      <c r="K237" s="5"/>
    </row>
    <row r="238" spans="1:11" ht="12.75" hidden="1">
      <c r="A238" s="2" t="e">
        <f>I211+#REF!</f>
        <v>#REF!</v>
      </c>
      <c r="C238" s="9"/>
      <c r="D238" s="9"/>
      <c r="E238" s="9"/>
      <c r="F238" s="9"/>
      <c r="G238" s="9"/>
      <c r="H238" s="6"/>
      <c r="I238" s="3">
        <f>I27+I42+I60+I77+I95+I111+I127+I143+I160+I177+I193+I208-I206-I191-I174-I157-I140-I125-I108-I92-I74-I39-I56</f>
        <v>857237.9000000001</v>
      </c>
      <c r="J238" s="5"/>
      <c r="K238" s="5"/>
    </row>
    <row r="239" spans="1:11" ht="12.75" hidden="1">
      <c r="A239" s="2" t="e">
        <f>I225+#REF!</f>
        <v>#REF!</v>
      </c>
      <c r="C239" s="9"/>
      <c r="D239" s="9"/>
      <c r="E239" s="9"/>
      <c r="F239" s="9"/>
      <c r="G239" s="9"/>
      <c r="H239" s="6"/>
      <c r="I239" s="3">
        <f>I238-I229</f>
        <v>112.00000000023283</v>
      </c>
      <c r="J239" s="5"/>
      <c r="K239" s="5"/>
    </row>
    <row r="240" spans="3:11" ht="12.75" hidden="1">
      <c r="C240" s="9"/>
      <c r="D240" s="9"/>
      <c r="E240" s="9"/>
      <c r="F240" s="9"/>
      <c r="G240" s="9"/>
      <c r="H240" s="6"/>
      <c r="I240" s="3"/>
      <c r="J240" s="5"/>
      <c r="K240" s="5"/>
    </row>
    <row r="241" spans="3:11" ht="12.75" hidden="1">
      <c r="C241" s="8"/>
      <c r="D241" s="8"/>
      <c r="E241" s="8"/>
      <c r="F241" s="8"/>
      <c r="G241" s="8"/>
      <c r="H241" s="5"/>
      <c r="I241" s="4"/>
      <c r="J241" s="5"/>
      <c r="K241" s="5"/>
    </row>
    <row r="242" spans="3:11" ht="12.75">
      <c r="C242" s="8"/>
      <c r="D242" s="8"/>
      <c r="E242" s="8"/>
      <c r="F242" s="83">
        <f>F8+F30+F45+F63+F80+F98+F114+F130+F146+F163+F180+F196</f>
        <v>219354.09999999998</v>
      </c>
      <c r="G242" s="83">
        <f>G8+G30+G45+G63+G80+G98+G114+G130+G146+G163+G180+G196</f>
        <v>253425.10000000003</v>
      </c>
      <c r="H242" s="83">
        <f>H8+H30+H45+H63+H80+H98+H114+H130+H146+H163+H180+H196</f>
        <v>219682.1</v>
      </c>
      <c r="I242" s="83">
        <f>I8+I30+I45+I63+I80+I98+I114+I130+I146+I163+I180+I196</f>
        <v>247333.2999999999</v>
      </c>
      <c r="J242" s="83"/>
      <c r="K242" s="5"/>
    </row>
    <row r="243" spans="3:11" ht="12.75">
      <c r="C243" s="8"/>
      <c r="D243" s="8"/>
      <c r="E243" s="8"/>
      <c r="F243" s="8"/>
      <c r="G243" s="8"/>
      <c r="H243" s="5"/>
      <c r="I243" s="4"/>
      <c r="J243" s="5"/>
      <c r="K243" s="5"/>
    </row>
    <row r="244" spans="3:11" ht="12.75">
      <c r="C244" s="8"/>
      <c r="D244" s="83"/>
      <c r="E244" s="8"/>
      <c r="F244" s="83"/>
      <c r="G244" s="83"/>
      <c r="H244" s="83"/>
      <c r="I244" s="83"/>
      <c r="J244" s="83"/>
      <c r="K244" s="5"/>
    </row>
    <row r="245" spans="8:11" ht="12.75">
      <c r="H245" s="5"/>
      <c r="I245" s="4"/>
      <c r="J245" s="5"/>
      <c r="K245" s="5"/>
    </row>
    <row r="246" spans="8:11" ht="12.75">
      <c r="H246" s="5"/>
      <c r="I246" s="4"/>
      <c r="J246" s="5"/>
      <c r="K246" s="5"/>
    </row>
    <row r="247" spans="8:11" ht="12.75">
      <c r="H247" s="5"/>
      <c r="I247" s="4"/>
      <c r="J247" s="5"/>
      <c r="K247" s="5"/>
    </row>
    <row r="248" spans="3:11" ht="12.75">
      <c r="C248" s="8"/>
      <c r="D248" s="8"/>
      <c r="E248" s="8"/>
      <c r="F248" s="8"/>
      <c r="G248" s="8"/>
      <c r="H248" s="5"/>
      <c r="I248" s="4"/>
      <c r="J248" s="5"/>
      <c r="K248" s="5"/>
    </row>
    <row r="249" spans="3:11" ht="12.75">
      <c r="C249" s="8"/>
      <c r="D249" s="8"/>
      <c r="E249" s="8"/>
      <c r="F249" s="8"/>
      <c r="G249" s="8"/>
      <c r="H249" s="5"/>
      <c r="I249" s="4"/>
      <c r="J249" s="5"/>
      <c r="K249" s="5"/>
    </row>
    <row r="250" spans="3:11" ht="12.75">
      <c r="C250" s="8"/>
      <c r="D250" s="8"/>
      <c r="E250" s="8"/>
      <c r="F250" s="8"/>
      <c r="G250" s="8"/>
      <c r="H250" s="5"/>
      <c r="I250" s="4"/>
      <c r="J250" s="5"/>
      <c r="K250" s="5"/>
    </row>
    <row r="251" spans="3:11" ht="12.75">
      <c r="C251" s="8"/>
      <c r="D251" s="8"/>
      <c r="E251" s="8"/>
      <c r="F251" s="8"/>
      <c r="G251" s="8"/>
      <c r="H251" s="5"/>
      <c r="I251" s="4"/>
      <c r="J251" s="5"/>
      <c r="K251" s="5"/>
    </row>
    <row r="252" spans="3:11" ht="12.75">
      <c r="C252" s="8"/>
      <c r="D252" s="8"/>
      <c r="E252" s="8"/>
      <c r="F252" s="8"/>
      <c r="G252" s="8"/>
      <c r="H252" s="4"/>
      <c r="I252" s="4"/>
      <c r="J252" s="4"/>
      <c r="K252" s="5"/>
    </row>
    <row r="253" spans="3:11" ht="12.75">
      <c r="C253" s="8"/>
      <c r="D253" s="8"/>
      <c r="E253" s="8"/>
      <c r="F253" s="8"/>
      <c r="G253" s="8"/>
      <c r="H253" s="5"/>
      <c r="I253" s="5"/>
      <c r="J253" s="5"/>
      <c r="K253" s="5"/>
    </row>
    <row r="254" spans="3:11" ht="12.75">
      <c r="C254" s="8"/>
      <c r="D254" s="8"/>
      <c r="E254" s="8"/>
      <c r="F254" s="8"/>
      <c r="G254" s="8"/>
      <c r="H254" s="7"/>
      <c r="I254" s="4"/>
      <c r="J254" s="5"/>
      <c r="K254" s="5"/>
    </row>
  </sheetData>
  <sheetProtection/>
  <mergeCells count="41">
    <mergeCell ref="A209:L209"/>
    <mergeCell ref="A194:L194"/>
    <mergeCell ref="A161:L161"/>
    <mergeCell ref="A178:L178"/>
    <mergeCell ref="A179:O179"/>
    <mergeCell ref="A2:L2"/>
    <mergeCell ref="A96:L96"/>
    <mergeCell ref="A112:L112"/>
    <mergeCell ref="A29:O29"/>
    <mergeCell ref="A44:O44"/>
    <mergeCell ref="C43:L43"/>
    <mergeCell ref="A28:L28"/>
    <mergeCell ref="A144:L144"/>
    <mergeCell ref="A128:L128"/>
    <mergeCell ref="A61:L61"/>
    <mergeCell ref="A7:O7"/>
    <mergeCell ref="A162:O162"/>
    <mergeCell ref="A195:O195"/>
    <mergeCell ref="A62:O62"/>
    <mergeCell ref="A79:O79"/>
    <mergeCell ref="A97:O97"/>
    <mergeCell ref="A113:O113"/>
    <mergeCell ref="A129:O129"/>
    <mergeCell ref="A145:O145"/>
    <mergeCell ref="A78:L78"/>
    <mergeCell ref="E4:E6"/>
    <mergeCell ref="F4:F6"/>
    <mergeCell ref="G4:G6"/>
    <mergeCell ref="H4:H6"/>
    <mergeCell ref="I4:I6"/>
    <mergeCell ref="Q4:Q6"/>
    <mergeCell ref="A1:Q1"/>
    <mergeCell ref="A210:Q210"/>
    <mergeCell ref="P4:P6"/>
    <mergeCell ref="J4:J6"/>
    <mergeCell ref="K4:K6"/>
    <mergeCell ref="L4:L6"/>
    <mergeCell ref="M4:M6"/>
    <mergeCell ref="N4:N6"/>
    <mergeCell ref="O4:O6"/>
    <mergeCell ref="D4:D6"/>
  </mergeCells>
  <printOptions/>
  <pageMargins left="0" right="0" top="0.15748031496062992" bottom="0.15748031496062992" header="0.15748031496062992" footer="0.1968503937007874"/>
  <pageSetup fitToHeight="7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2"/>
  <sheetViews>
    <sheetView zoomScalePageLayoutView="0" workbookViewId="0" topLeftCell="A97">
      <selection activeCell="A1" sqref="A1:K112"/>
    </sheetView>
  </sheetViews>
  <sheetFormatPr defaultColWidth="9.00390625" defaultRowHeight="12.75"/>
  <cols>
    <col min="2" max="2" width="45.25390625" style="0" customWidth="1"/>
    <col min="3" max="3" width="14.75390625" style="0" customWidth="1"/>
    <col min="4" max="4" width="13.75390625" style="0" customWidth="1"/>
    <col min="6" max="6" width="14.25390625" style="0" customWidth="1"/>
    <col min="7" max="7" width="11.375" style="0" customWidth="1"/>
    <col min="9" max="9" width="13.875" style="0" customWidth="1"/>
    <col min="10" max="10" width="12.125" style="0" customWidth="1"/>
  </cols>
  <sheetData>
    <row r="1" spans="1:11" ht="15.75">
      <c r="A1" s="106" t="s">
        <v>87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3.5" thickBot="1">
      <c r="A2" s="107"/>
      <c r="B2" s="108"/>
      <c r="C2" s="109"/>
      <c r="D2" s="110"/>
      <c r="E2" s="111"/>
      <c r="F2" s="112"/>
      <c r="G2" s="113"/>
      <c r="H2" s="113"/>
      <c r="I2" s="114"/>
      <c r="J2" s="115"/>
      <c r="K2" s="115"/>
    </row>
    <row r="3" spans="1:11" ht="15">
      <c r="A3" s="116" t="s">
        <v>88</v>
      </c>
      <c r="B3" s="117" t="s">
        <v>89</v>
      </c>
      <c r="C3" s="118" t="s">
        <v>90</v>
      </c>
      <c r="D3" s="118"/>
      <c r="E3" s="118"/>
      <c r="F3" s="119" t="s">
        <v>91</v>
      </c>
      <c r="G3" s="119"/>
      <c r="H3" s="119"/>
      <c r="I3" s="120" t="s">
        <v>92</v>
      </c>
      <c r="J3" s="120"/>
      <c r="K3" s="121"/>
    </row>
    <row r="4" spans="1:11" ht="12.75">
      <c r="A4" s="122"/>
      <c r="B4" s="123"/>
      <c r="C4" s="124" t="s">
        <v>93</v>
      </c>
      <c r="D4" s="124" t="s">
        <v>94</v>
      </c>
      <c r="E4" s="124" t="s">
        <v>95</v>
      </c>
      <c r="F4" s="124" t="s">
        <v>93</v>
      </c>
      <c r="G4" s="125" t="s">
        <v>94</v>
      </c>
      <c r="H4" s="125" t="s">
        <v>95</v>
      </c>
      <c r="I4" s="126" t="s">
        <v>93</v>
      </c>
      <c r="J4" s="127" t="s">
        <v>96</v>
      </c>
      <c r="K4" s="128" t="s">
        <v>95</v>
      </c>
    </row>
    <row r="5" spans="1:11" ht="12.75">
      <c r="A5" s="122"/>
      <c r="B5" s="123"/>
      <c r="C5" s="129"/>
      <c r="D5" s="124"/>
      <c r="E5" s="130"/>
      <c r="F5" s="129"/>
      <c r="G5" s="125"/>
      <c r="H5" s="129"/>
      <c r="I5" s="131"/>
      <c r="J5" s="127"/>
      <c r="K5" s="132"/>
    </row>
    <row r="6" spans="1:11" ht="12.75">
      <c r="A6" s="122"/>
      <c r="B6" s="133" t="s">
        <v>97</v>
      </c>
      <c r="C6" s="133"/>
      <c r="D6" s="133"/>
      <c r="E6" s="133"/>
      <c r="F6" s="133"/>
      <c r="G6" s="133"/>
      <c r="H6" s="133"/>
      <c r="I6" s="133"/>
      <c r="J6" s="133"/>
      <c r="K6" s="134"/>
    </row>
    <row r="7" spans="1:11" ht="12.75">
      <c r="A7" s="122"/>
      <c r="B7" s="133"/>
      <c r="C7" s="133"/>
      <c r="D7" s="133"/>
      <c r="E7" s="133"/>
      <c r="F7" s="133"/>
      <c r="G7" s="133"/>
      <c r="H7" s="133"/>
      <c r="I7" s="133"/>
      <c r="J7" s="133"/>
      <c r="K7" s="134"/>
    </row>
    <row r="8" spans="1:11" ht="12.75">
      <c r="A8" s="122"/>
      <c r="B8" s="133"/>
      <c r="C8" s="133"/>
      <c r="D8" s="133"/>
      <c r="E8" s="133"/>
      <c r="F8" s="133"/>
      <c r="G8" s="133"/>
      <c r="H8" s="133"/>
      <c r="I8" s="133"/>
      <c r="J8" s="133"/>
      <c r="K8" s="134"/>
    </row>
    <row r="9" spans="1:11" ht="15">
      <c r="A9" s="135" t="s">
        <v>98</v>
      </c>
      <c r="B9" s="136" t="s">
        <v>99</v>
      </c>
      <c r="C9" s="137">
        <f>SUM(C10:C17)</f>
        <v>250210.69999999998</v>
      </c>
      <c r="D9" s="137">
        <f>SUM(D10:D17)</f>
        <v>45590.9</v>
      </c>
      <c r="E9" s="137">
        <f>D9/C9*100</f>
        <v>18.22100333838641</v>
      </c>
      <c r="F9" s="137">
        <f>F10+F11+F12+F13+F14+F16+F17+F15</f>
        <v>214745.50000000003</v>
      </c>
      <c r="G9" s="137">
        <f>SUM(G10:G17)</f>
        <v>35901.7</v>
      </c>
      <c r="H9" s="138">
        <f>G9/F9*100</f>
        <v>16.718254864479114</v>
      </c>
      <c r="I9" s="137">
        <f>SUM(I10:I17)</f>
        <v>464774.19999999995</v>
      </c>
      <c r="J9" s="137">
        <f>SUM(J10:J17)</f>
        <v>81492.6</v>
      </c>
      <c r="K9" s="139">
        <f>J9/I9*100</f>
        <v>17.533804587259795</v>
      </c>
    </row>
    <row r="10" spans="1:11" ht="30">
      <c r="A10" s="140" t="s">
        <v>100</v>
      </c>
      <c r="B10" s="141" t="s">
        <v>101</v>
      </c>
      <c r="C10" s="142">
        <v>4263</v>
      </c>
      <c r="D10" s="142">
        <v>754.4</v>
      </c>
      <c r="E10" s="142">
        <f>D10/C10*100</f>
        <v>17.69645789350223</v>
      </c>
      <c r="F10" s="143">
        <v>42094.5</v>
      </c>
      <c r="G10" s="143">
        <v>6563.4</v>
      </c>
      <c r="H10" s="143">
        <f>G10/F10*100</f>
        <v>15.592060720521683</v>
      </c>
      <c r="I10" s="144">
        <f aca="true" t="shared" si="0" ref="I10:J74">C10+F10</f>
        <v>46357.5</v>
      </c>
      <c r="J10" s="145">
        <f t="shared" si="0"/>
        <v>7317.799999999999</v>
      </c>
      <c r="K10" s="146">
        <f aca="true" t="shared" si="1" ref="K10:K76">J10/I10*100</f>
        <v>15.78557946394866</v>
      </c>
    </row>
    <row r="11" spans="1:11" ht="30">
      <c r="A11" s="140" t="s">
        <v>102</v>
      </c>
      <c r="B11" s="141" t="s">
        <v>103</v>
      </c>
      <c r="C11" s="142">
        <v>6913.8</v>
      </c>
      <c r="D11" s="142">
        <v>1504.6</v>
      </c>
      <c r="E11" s="142">
        <f aca="true" t="shared" si="2" ref="E11:E19">D11/C11*100</f>
        <v>21.7622725563366</v>
      </c>
      <c r="F11" s="143">
        <v>0</v>
      </c>
      <c r="G11" s="143"/>
      <c r="H11" s="143">
        <v>0</v>
      </c>
      <c r="I11" s="144">
        <f t="shared" si="0"/>
        <v>6913.8</v>
      </c>
      <c r="J11" s="145">
        <f t="shared" si="0"/>
        <v>1504.6</v>
      </c>
      <c r="K11" s="146">
        <f t="shared" si="1"/>
        <v>21.7622725563366</v>
      </c>
    </row>
    <row r="12" spans="1:11" ht="30">
      <c r="A12" s="140" t="s">
        <v>104</v>
      </c>
      <c r="B12" s="141" t="s">
        <v>105</v>
      </c>
      <c r="C12" s="142">
        <v>144380</v>
      </c>
      <c r="D12" s="142">
        <v>28033.6</v>
      </c>
      <c r="E12" s="142">
        <f t="shared" si="2"/>
        <v>19.41653968693725</v>
      </c>
      <c r="F12" s="143">
        <v>128763.7</v>
      </c>
      <c r="G12" s="143">
        <v>21904.2</v>
      </c>
      <c r="H12" s="143">
        <f>G12/F12*100</f>
        <v>17.011160754156645</v>
      </c>
      <c r="I12" s="144">
        <f t="shared" si="0"/>
        <v>273143.7</v>
      </c>
      <c r="J12" s="145">
        <f t="shared" si="0"/>
        <v>49937.8</v>
      </c>
      <c r="K12" s="146">
        <f t="shared" si="1"/>
        <v>18.28261094801015</v>
      </c>
    </row>
    <row r="13" spans="1:11" ht="15">
      <c r="A13" s="140" t="s">
        <v>106</v>
      </c>
      <c r="B13" s="141" t="s">
        <v>107</v>
      </c>
      <c r="C13" s="142">
        <v>70.8</v>
      </c>
      <c r="D13" s="142">
        <v>0</v>
      </c>
      <c r="E13" s="142">
        <f t="shared" si="2"/>
        <v>0</v>
      </c>
      <c r="F13" s="143">
        <v>0</v>
      </c>
      <c r="G13" s="143"/>
      <c r="H13" s="143">
        <v>0</v>
      </c>
      <c r="I13" s="144">
        <f t="shared" si="0"/>
        <v>70.8</v>
      </c>
      <c r="J13" s="145">
        <f t="shared" si="0"/>
        <v>0</v>
      </c>
      <c r="K13" s="146">
        <f t="shared" si="1"/>
        <v>0</v>
      </c>
    </row>
    <row r="14" spans="1:11" ht="30">
      <c r="A14" s="140" t="s">
        <v>108</v>
      </c>
      <c r="B14" s="141" t="s">
        <v>109</v>
      </c>
      <c r="C14" s="142">
        <v>26821.6</v>
      </c>
      <c r="D14" s="142">
        <v>6450.8</v>
      </c>
      <c r="E14" s="142">
        <f t="shared" si="2"/>
        <v>24.050765055030276</v>
      </c>
      <c r="F14" s="143">
        <v>0</v>
      </c>
      <c r="G14" s="143"/>
      <c r="H14" s="143">
        <v>0</v>
      </c>
      <c r="I14" s="144">
        <f>C14+F14</f>
        <v>26821.6</v>
      </c>
      <c r="J14" s="145">
        <f>D14+G14</f>
        <v>6450.8</v>
      </c>
      <c r="K14" s="146">
        <f t="shared" si="1"/>
        <v>24.050765055030276</v>
      </c>
    </row>
    <row r="15" spans="1:11" ht="30">
      <c r="A15" s="140" t="s">
        <v>110</v>
      </c>
      <c r="B15" s="141" t="s">
        <v>111</v>
      </c>
      <c r="C15" s="142"/>
      <c r="D15" s="142"/>
      <c r="E15" s="142"/>
      <c r="F15" s="143">
        <v>8300</v>
      </c>
      <c r="G15" s="143">
        <v>50.2</v>
      </c>
      <c r="H15" s="143">
        <f>G15/F15*100</f>
        <v>0.6048192771084338</v>
      </c>
      <c r="I15" s="144">
        <f>C15+F15</f>
        <v>8300</v>
      </c>
      <c r="J15" s="145">
        <f>D15+G15</f>
        <v>50.2</v>
      </c>
      <c r="K15" s="146">
        <f t="shared" si="1"/>
        <v>0.6048192771084338</v>
      </c>
    </row>
    <row r="16" spans="1:11" ht="15">
      <c r="A16" s="147" t="s">
        <v>112</v>
      </c>
      <c r="B16" s="141" t="s">
        <v>113</v>
      </c>
      <c r="C16" s="142">
        <v>4036</v>
      </c>
      <c r="D16" s="142"/>
      <c r="E16" s="142">
        <f t="shared" si="2"/>
        <v>0</v>
      </c>
      <c r="F16" s="143">
        <v>951.7</v>
      </c>
      <c r="G16" s="143"/>
      <c r="H16" s="143">
        <f>G16/F16*100</f>
        <v>0</v>
      </c>
      <c r="I16" s="144">
        <f t="shared" si="0"/>
        <v>4987.7</v>
      </c>
      <c r="J16" s="145">
        <f t="shared" si="0"/>
        <v>0</v>
      </c>
      <c r="K16" s="146">
        <f t="shared" si="1"/>
        <v>0</v>
      </c>
    </row>
    <row r="17" spans="1:11" ht="15">
      <c r="A17" s="140" t="s">
        <v>114</v>
      </c>
      <c r="B17" s="141" t="s">
        <v>115</v>
      </c>
      <c r="C17" s="142">
        <v>63725.5</v>
      </c>
      <c r="D17" s="142">
        <v>8847.5</v>
      </c>
      <c r="E17" s="142">
        <f t="shared" si="2"/>
        <v>13.883767094805064</v>
      </c>
      <c r="F17" s="143">
        <v>34635.6</v>
      </c>
      <c r="G17" s="143">
        <v>7383.9</v>
      </c>
      <c r="H17" s="143">
        <f>G17/F17*100</f>
        <v>21.318816477843605</v>
      </c>
      <c r="I17" s="144">
        <f>C17+F17-112-70</f>
        <v>98179.1</v>
      </c>
      <c r="J17" s="145">
        <f>D17+G17</f>
        <v>16231.4</v>
      </c>
      <c r="K17" s="146">
        <f t="shared" si="1"/>
        <v>16.532439185121884</v>
      </c>
    </row>
    <row r="18" spans="1:11" ht="15">
      <c r="A18" s="135" t="s">
        <v>116</v>
      </c>
      <c r="B18" s="136" t="s">
        <v>117</v>
      </c>
      <c r="C18" s="137">
        <f aca="true" t="shared" si="3" ref="C18:J18">C19</f>
        <v>3597.2</v>
      </c>
      <c r="D18" s="137">
        <f t="shared" si="3"/>
        <v>0</v>
      </c>
      <c r="E18" s="137">
        <f t="shared" si="3"/>
        <v>0</v>
      </c>
      <c r="F18" s="137">
        <f t="shared" si="3"/>
        <v>3597.2</v>
      </c>
      <c r="G18" s="137">
        <f t="shared" si="3"/>
        <v>0</v>
      </c>
      <c r="H18" s="148">
        <f t="shared" si="3"/>
        <v>0</v>
      </c>
      <c r="I18" s="137">
        <f t="shared" si="3"/>
        <v>3597.2</v>
      </c>
      <c r="J18" s="137">
        <f t="shared" si="3"/>
        <v>0</v>
      </c>
      <c r="K18" s="149">
        <f t="shared" si="1"/>
        <v>0</v>
      </c>
    </row>
    <row r="19" spans="1:11" ht="15">
      <c r="A19" s="140" t="s">
        <v>118</v>
      </c>
      <c r="B19" s="141" t="s">
        <v>119</v>
      </c>
      <c r="C19" s="142">
        <v>3597.2</v>
      </c>
      <c r="D19" s="142">
        <v>0</v>
      </c>
      <c r="E19" s="142">
        <f t="shared" si="2"/>
        <v>0</v>
      </c>
      <c r="F19" s="143">
        <v>3597.2</v>
      </c>
      <c r="G19" s="143">
        <v>0</v>
      </c>
      <c r="H19" s="143">
        <f>G19/F19*100</f>
        <v>0</v>
      </c>
      <c r="I19" s="144">
        <f>C19+F19-3597.2</f>
        <v>3597.2</v>
      </c>
      <c r="J19" s="145">
        <f>D19+G19</f>
        <v>0</v>
      </c>
      <c r="K19" s="146">
        <f t="shared" si="1"/>
        <v>0</v>
      </c>
    </row>
    <row r="20" spans="1:11" ht="12.75">
      <c r="A20" s="150" t="s">
        <v>120</v>
      </c>
      <c r="B20" s="151" t="s">
        <v>121</v>
      </c>
      <c r="C20" s="152">
        <f>C23+C24+C22</f>
        <v>14682.5</v>
      </c>
      <c r="D20" s="152">
        <f>D23+D24+D22</f>
        <v>2389.3</v>
      </c>
      <c r="E20" s="152">
        <f>D20/C20*100</f>
        <v>16.27311425166014</v>
      </c>
      <c r="F20" s="152">
        <f>F23+F24+F22</f>
        <v>4554.5</v>
      </c>
      <c r="G20" s="152">
        <f>G23+G24+G22</f>
        <v>335.1</v>
      </c>
      <c r="H20" s="152">
        <f>G20/F20*100</f>
        <v>7.357558458667253</v>
      </c>
      <c r="I20" s="152">
        <f>I23+I24+I22</f>
        <v>17803.8</v>
      </c>
      <c r="J20" s="152">
        <f>SUM(J22:J24)</f>
        <v>2677.1000000000004</v>
      </c>
      <c r="K20" s="152">
        <f>J20/I20*100</f>
        <v>15.036677563216843</v>
      </c>
    </row>
    <row r="21" spans="1:11" ht="12.75">
      <c r="A21" s="150"/>
      <c r="B21" s="151"/>
      <c r="C21" s="152"/>
      <c r="D21" s="152"/>
      <c r="E21" s="152"/>
      <c r="F21" s="152"/>
      <c r="G21" s="152"/>
      <c r="H21" s="152"/>
      <c r="I21" s="152"/>
      <c r="J21" s="152"/>
      <c r="K21" s="152"/>
    </row>
    <row r="22" spans="1:11" ht="15">
      <c r="A22" s="147" t="s">
        <v>122</v>
      </c>
      <c r="B22" s="141" t="s">
        <v>123</v>
      </c>
      <c r="C22" s="142">
        <v>6354.2</v>
      </c>
      <c r="D22" s="142">
        <v>334.4</v>
      </c>
      <c r="E22" s="142">
        <f aca="true" t="shared" si="4" ref="E22:E86">D22/C22*100</f>
        <v>5.262660917188631</v>
      </c>
      <c r="F22" s="143">
        <v>821</v>
      </c>
      <c r="G22" s="143">
        <v>47.3</v>
      </c>
      <c r="H22" s="143">
        <f>G22/F22*100</f>
        <v>5.7612667478684525</v>
      </c>
      <c r="I22" s="144">
        <f>C22+F22-821</f>
        <v>6354.2</v>
      </c>
      <c r="J22" s="145">
        <f>D22+G22-47.3</f>
        <v>334.4</v>
      </c>
      <c r="K22" s="146">
        <f>J22/I22*100</f>
        <v>5.262660917188631</v>
      </c>
    </row>
    <row r="23" spans="1:11" ht="30">
      <c r="A23" s="140" t="s">
        <v>124</v>
      </c>
      <c r="B23" s="141" t="s">
        <v>125</v>
      </c>
      <c r="C23" s="142">
        <v>7783.2</v>
      </c>
      <c r="D23" s="142">
        <v>2054.9</v>
      </c>
      <c r="E23" s="142">
        <f t="shared" si="4"/>
        <v>26.40173707472505</v>
      </c>
      <c r="F23" s="143">
        <v>3453</v>
      </c>
      <c r="G23" s="143">
        <v>287.8</v>
      </c>
      <c r="H23" s="143">
        <f>G23/F23*100</f>
        <v>8.334781349551115</v>
      </c>
      <c r="I23" s="144">
        <f>C23+F23-400</f>
        <v>10836.2</v>
      </c>
      <c r="J23" s="145">
        <f>D23+G23</f>
        <v>2342.7000000000003</v>
      </c>
      <c r="K23" s="146">
        <f>J23/I23*100</f>
        <v>21.619202303390487</v>
      </c>
    </row>
    <row r="24" spans="1:11" ht="45">
      <c r="A24" s="147" t="s">
        <v>126</v>
      </c>
      <c r="B24" s="141" t="s">
        <v>127</v>
      </c>
      <c r="C24" s="142">
        <v>545.1</v>
      </c>
      <c r="D24" s="142">
        <v>0</v>
      </c>
      <c r="E24" s="142">
        <f t="shared" si="4"/>
        <v>0</v>
      </c>
      <c r="F24" s="143">
        <v>280.5</v>
      </c>
      <c r="G24" s="143">
        <v>0</v>
      </c>
      <c r="H24" s="143">
        <f>G24/F24*100</f>
        <v>0</v>
      </c>
      <c r="I24" s="144">
        <f>C24+F24-212.2</f>
        <v>613.4000000000001</v>
      </c>
      <c r="J24" s="144">
        <f>D24+G24</f>
        <v>0</v>
      </c>
      <c r="K24" s="146">
        <f>J24/I24*100</f>
        <v>0</v>
      </c>
    </row>
    <row r="25" spans="1:11" ht="15">
      <c r="A25" s="135" t="s">
        <v>128</v>
      </c>
      <c r="B25" s="136" t="s">
        <v>129</v>
      </c>
      <c r="C25" s="137">
        <f>SUM(C26:C43)</f>
        <v>218904.90000000002</v>
      </c>
      <c r="D25" s="137">
        <f>SUM(D26:D43)</f>
        <v>19275</v>
      </c>
      <c r="E25" s="137">
        <f>D25/C25*100</f>
        <v>8.805193488131147</v>
      </c>
      <c r="F25" s="137">
        <f>SUM(F26:F44)</f>
        <v>75356.1</v>
      </c>
      <c r="G25" s="137">
        <f>SUM(G26:G44)</f>
        <v>6579.5</v>
      </c>
      <c r="H25" s="138">
        <f>G25/F25*100</f>
        <v>8.731210877420672</v>
      </c>
      <c r="I25" s="137">
        <f>SUM(I26:I44)</f>
        <v>279091.80000000005</v>
      </c>
      <c r="J25" s="137">
        <f>SUM(J26:J44)</f>
        <v>25754.199999999997</v>
      </c>
      <c r="K25" s="139">
        <f t="shared" si="1"/>
        <v>9.22785979380261</v>
      </c>
    </row>
    <row r="26" spans="1:11" ht="60">
      <c r="A26" s="147" t="s">
        <v>130</v>
      </c>
      <c r="B26" s="153" t="s">
        <v>131</v>
      </c>
      <c r="C26" s="142">
        <v>10498.6</v>
      </c>
      <c r="D26" s="142">
        <v>100.3</v>
      </c>
      <c r="E26" s="142">
        <f t="shared" si="4"/>
        <v>0.9553654773017355</v>
      </c>
      <c r="F26" s="142">
        <v>5446.8</v>
      </c>
      <c r="G26" s="143">
        <v>958.4</v>
      </c>
      <c r="H26" s="143">
        <f>G26/F26*100</f>
        <v>17.59565249320702</v>
      </c>
      <c r="I26" s="144">
        <f>C26+F26-100.3</f>
        <v>15845.100000000002</v>
      </c>
      <c r="J26" s="144">
        <f>D26+G26-100.3</f>
        <v>958.4000000000001</v>
      </c>
      <c r="K26" s="146">
        <f t="shared" si="1"/>
        <v>6.048557598248038</v>
      </c>
    </row>
    <row r="27" spans="1:11" ht="15">
      <c r="A27" s="140" t="s">
        <v>132</v>
      </c>
      <c r="B27" s="141" t="s">
        <v>133</v>
      </c>
      <c r="C27" s="142">
        <v>50354</v>
      </c>
      <c r="D27" s="142">
        <v>10494</v>
      </c>
      <c r="E27" s="142">
        <f t="shared" si="4"/>
        <v>20.840449616713666</v>
      </c>
      <c r="F27" s="143">
        <v>0</v>
      </c>
      <c r="G27" s="143">
        <v>0</v>
      </c>
      <c r="H27" s="143">
        <v>0</v>
      </c>
      <c r="I27" s="154">
        <f>C27+F27</f>
        <v>50354</v>
      </c>
      <c r="J27" s="145">
        <f t="shared" si="0"/>
        <v>10494</v>
      </c>
      <c r="K27" s="146">
        <f t="shared" si="1"/>
        <v>20.840449616713666</v>
      </c>
    </row>
    <row r="28" spans="1:11" ht="15">
      <c r="A28" s="140" t="s">
        <v>134</v>
      </c>
      <c r="B28" s="141" t="s">
        <v>135</v>
      </c>
      <c r="C28" s="142">
        <v>9000</v>
      </c>
      <c r="D28" s="142">
        <v>925.2</v>
      </c>
      <c r="E28" s="142">
        <f t="shared" si="4"/>
        <v>10.280000000000001</v>
      </c>
      <c r="F28" s="143">
        <v>0</v>
      </c>
      <c r="G28" s="143">
        <v>0</v>
      </c>
      <c r="H28" s="143">
        <v>0</v>
      </c>
      <c r="I28" s="144">
        <f t="shared" si="0"/>
        <v>9000</v>
      </c>
      <c r="J28" s="145">
        <f t="shared" si="0"/>
        <v>925.2</v>
      </c>
      <c r="K28" s="146">
        <f t="shared" si="1"/>
        <v>10.280000000000001</v>
      </c>
    </row>
    <row r="29" spans="1:11" ht="30">
      <c r="A29" s="140" t="s">
        <v>134</v>
      </c>
      <c r="B29" s="141" t="s">
        <v>136</v>
      </c>
      <c r="C29" s="142">
        <v>18099.3</v>
      </c>
      <c r="D29" s="142">
        <v>2829.4</v>
      </c>
      <c r="E29" s="142">
        <f t="shared" si="4"/>
        <v>15.632648776472019</v>
      </c>
      <c r="F29" s="143">
        <v>13705.4</v>
      </c>
      <c r="G29" s="143">
        <v>1294.2</v>
      </c>
      <c r="H29" s="143">
        <f>G29/F29*100</f>
        <v>9.442993272724621</v>
      </c>
      <c r="I29" s="144">
        <f t="shared" si="0"/>
        <v>31804.699999999997</v>
      </c>
      <c r="J29" s="145">
        <f t="shared" si="0"/>
        <v>4123.6</v>
      </c>
      <c r="K29" s="146">
        <f t="shared" si="1"/>
        <v>12.965379330727849</v>
      </c>
    </row>
    <row r="30" spans="1:11" ht="15">
      <c r="A30" s="140" t="s">
        <v>134</v>
      </c>
      <c r="B30" s="141" t="s">
        <v>137</v>
      </c>
      <c r="C30" s="142">
        <v>12500</v>
      </c>
      <c r="D30" s="142">
        <v>0</v>
      </c>
      <c r="E30" s="142">
        <f t="shared" si="4"/>
        <v>0</v>
      </c>
      <c r="F30" s="143">
        <v>0</v>
      </c>
      <c r="G30" s="143">
        <v>0</v>
      </c>
      <c r="H30" s="143">
        <v>0</v>
      </c>
      <c r="I30" s="144">
        <f t="shared" si="0"/>
        <v>12500</v>
      </c>
      <c r="J30" s="145">
        <f t="shared" si="0"/>
        <v>0</v>
      </c>
      <c r="K30" s="146">
        <f t="shared" si="1"/>
        <v>0</v>
      </c>
    </row>
    <row r="31" spans="1:11" ht="60">
      <c r="A31" s="140" t="s">
        <v>138</v>
      </c>
      <c r="B31" s="155" t="s">
        <v>139</v>
      </c>
      <c r="C31" s="142">
        <v>2589.1</v>
      </c>
      <c r="D31" s="142">
        <v>354.1</v>
      </c>
      <c r="E31" s="142">
        <f t="shared" si="4"/>
        <v>13.676567146885018</v>
      </c>
      <c r="F31" s="143">
        <v>743.9</v>
      </c>
      <c r="G31" s="143">
        <v>0</v>
      </c>
      <c r="H31" s="143">
        <f aca="true" t="shared" si="5" ref="H31:H37">G31/F31*100</f>
        <v>0</v>
      </c>
      <c r="I31" s="144">
        <f t="shared" si="0"/>
        <v>3333</v>
      </c>
      <c r="J31" s="145">
        <f t="shared" si="0"/>
        <v>354.1</v>
      </c>
      <c r="K31" s="146">
        <f t="shared" si="1"/>
        <v>10.624062406240625</v>
      </c>
    </row>
    <row r="32" spans="1:11" ht="60">
      <c r="A32" s="147" t="s">
        <v>138</v>
      </c>
      <c r="B32" s="155" t="s">
        <v>140</v>
      </c>
      <c r="C32" s="142">
        <v>59581.4</v>
      </c>
      <c r="D32" s="142">
        <v>0</v>
      </c>
      <c r="E32" s="142">
        <f t="shared" si="4"/>
        <v>0</v>
      </c>
      <c r="F32" s="143">
        <f>10387.9+743.9</f>
        <v>11131.8</v>
      </c>
      <c r="G32" s="143">
        <v>0</v>
      </c>
      <c r="H32" s="143">
        <f t="shared" si="5"/>
        <v>0</v>
      </c>
      <c r="I32" s="144">
        <f>C32+F32-10387.9</f>
        <v>60325.299999999996</v>
      </c>
      <c r="J32" s="145">
        <f>D32+G32</f>
        <v>0</v>
      </c>
      <c r="K32" s="146">
        <f>J32/I32*100</f>
        <v>0</v>
      </c>
    </row>
    <row r="33" spans="1:11" ht="120">
      <c r="A33" s="147" t="s">
        <v>138</v>
      </c>
      <c r="B33" s="141" t="s">
        <v>141</v>
      </c>
      <c r="C33" s="142">
        <v>3500</v>
      </c>
      <c r="D33" s="142">
        <v>0</v>
      </c>
      <c r="E33" s="142">
        <f t="shared" si="4"/>
        <v>0</v>
      </c>
      <c r="F33" s="143">
        <v>3500</v>
      </c>
      <c r="G33" s="143">
        <v>0</v>
      </c>
      <c r="H33" s="143">
        <f t="shared" si="5"/>
        <v>0</v>
      </c>
      <c r="I33" s="144">
        <f>C33+F33-3500</f>
        <v>3500</v>
      </c>
      <c r="J33" s="145">
        <f>D33+G33</f>
        <v>0</v>
      </c>
      <c r="K33" s="146">
        <f>J33/I33*100</f>
        <v>0</v>
      </c>
    </row>
    <row r="34" spans="1:11" ht="45">
      <c r="A34" s="147" t="s">
        <v>138</v>
      </c>
      <c r="B34" s="141" t="s">
        <v>142</v>
      </c>
      <c r="C34" s="142">
        <v>3187.2</v>
      </c>
      <c r="D34" s="142">
        <v>0</v>
      </c>
      <c r="E34" s="142">
        <f t="shared" si="4"/>
        <v>0</v>
      </c>
      <c r="F34" s="143"/>
      <c r="G34" s="143"/>
      <c r="H34" s="143"/>
      <c r="I34" s="144">
        <f>C34+F34</f>
        <v>3187.2</v>
      </c>
      <c r="J34" s="145">
        <f>D34+G34</f>
        <v>0</v>
      </c>
      <c r="K34" s="146">
        <f>J34/I34*100</f>
        <v>0</v>
      </c>
    </row>
    <row r="35" spans="1:11" ht="45">
      <c r="A35" s="147" t="s">
        <v>138</v>
      </c>
      <c r="B35" s="141" t="s">
        <v>143</v>
      </c>
      <c r="C35" s="142"/>
      <c r="D35" s="142"/>
      <c r="E35" s="142"/>
      <c r="F35" s="143">
        <v>36010.1</v>
      </c>
      <c r="G35" s="143">
        <v>3803.1</v>
      </c>
      <c r="H35" s="143">
        <f t="shared" si="5"/>
        <v>10.561203662305854</v>
      </c>
      <c r="I35" s="144">
        <f>C35+F35</f>
        <v>36010.1</v>
      </c>
      <c r="J35" s="145">
        <f t="shared" si="0"/>
        <v>3803.1</v>
      </c>
      <c r="K35" s="146">
        <f t="shared" si="1"/>
        <v>10.561203662305854</v>
      </c>
    </row>
    <row r="36" spans="1:11" ht="15">
      <c r="A36" s="140" t="s">
        <v>144</v>
      </c>
      <c r="B36" s="141" t="s">
        <v>145</v>
      </c>
      <c r="C36" s="142">
        <v>5263.8</v>
      </c>
      <c r="D36" s="142">
        <v>617.5</v>
      </c>
      <c r="E36" s="142">
        <f t="shared" si="4"/>
        <v>11.731068809605228</v>
      </c>
      <c r="F36" s="143">
        <v>3375.1</v>
      </c>
      <c r="G36" s="143">
        <v>523.8</v>
      </c>
      <c r="H36" s="156">
        <f t="shared" si="5"/>
        <v>15.519540161772982</v>
      </c>
      <c r="I36" s="144">
        <f t="shared" si="0"/>
        <v>8638.9</v>
      </c>
      <c r="J36" s="145">
        <f t="shared" si="0"/>
        <v>1141.3</v>
      </c>
      <c r="K36" s="146">
        <f t="shared" si="1"/>
        <v>13.211172718748914</v>
      </c>
    </row>
    <row r="37" spans="1:11" ht="60">
      <c r="A37" s="140" t="s">
        <v>146</v>
      </c>
      <c r="B37" s="155" t="s">
        <v>147</v>
      </c>
      <c r="C37" s="142">
        <v>3500</v>
      </c>
      <c r="D37" s="142"/>
      <c r="E37" s="157">
        <f t="shared" si="4"/>
        <v>0</v>
      </c>
      <c r="F37" s="143">
        <v>1181</v>
      </c>
      <c r="G37" s="143">
        <v>0</v>
      </c>
      <c r="H37" s="156">
        <f t="shared" si="5"/>
        <v>0</v>
      </c>
      <c r="I37" s="144">
        <f>C37+F37-1181</f>
        <v>3500</v>
      </c>
      <c r="J37" s="145">
        <f>D37+G37</f>
        <v>0</v>
      </c>
      <c r="K37" s="146">
        <f t="shared" si="1"/>
        <v>0</v>
      </c>
    </row>
    <row r="38" spans="1:11" ht="15">
      <c r="A38" s="140" t="s">
        <v>146</v>
      </c>
      <c r="B38" s="155" t="s">
        <v>148</v>
      </c>
      <c r="C38" s="142">
        <v>1500</v>
      </c>
      <c r="D38" s="142"/>
      <c r="E38" s="157"/>
      <c r="F38" s="143"/>
      <c r="G38" s="143"/>
      <c r="H38" s="156"/>
      <c r="I38" s="144">
        <f t="shared" si="0"/>
        <v>1500</v>
      </c>
      <c r="J38" s="145"/>
      <c r="K38" s="146"/>
    </row>
    <row r="39" spans="1:11" ht="75">
      <c r="A39" s="140" t="s">
        <v>146</v>
      </c>
      <c r="B39" s="155" t="s">
        <v>149</v>
      </c>
      <c r="C39" s="142">
        <v>4000</v>
      </c>
      <c r="D39" s="143">
        <v>74</v>
      </c>
      <c r="E39" s="142">
        <f t="shared" si="4"/>
        <v>1.8499999999999999</v>
      </c>
      <c r="F39" s="143">
        <v>0</v>
      </c>
      <c r="G39" s="143">
        <v>0</v>
      </c>
      <c r="H39" s="156">
        <v>0</v>
      </c>
      <c r="I39" s="144">
        <f t="shared" si="0"/>
        <v>4000</v>
      </c>
      <c r="J39" s="145">
        <f t="shared" si="0"/>
        <v>74</v>
      </c>
      <c r="K39" s="146">
        <f t="shared" si="1"/>
        <v>1.8499999999999999</v>
      </c>
    </row>
    <row r="40" spans="1:11" ht="135">
      <c r="A40" s="140" t="s">
        <v>146</v>
      </c>
      <c r="B40" s="155" t="s">
        <v>150</v>
      </c>
      <c r="C40" s="142">
        <v>33561.6</v>
      </c>
      <c r="D40" s="143">
        <v>3712.7</v>
      </c>
      <c r="E40" s="157">
        <f t="shared" si="4"/>
        <v>11.062345061022121</v>
      </c>
      <c r="F40" s="143"/>
      <c r="G40" s="143"/>
      <c r="H40" s="156"/>
      <c r="I40" s="144">
        <f t="shared" si="0"/>
        <v>33561.6</v>
      </c>
      <c r="J40" s="145">
        <f t="shared" si="0"/>
        <v>3712.7</v>
      </c>
      <c r="K40" s="146">
        <f t="shared" si="1"/>
        <v>11.062345061022121</v>
      </c>
    </row>
    <row r="41" spans="1:11" ht="90">
      <c r="A41" s="147" t="s">
        <v>146</v>
      </c>
      <c r="B41" s="155" t="s">
        <v>151</v>
      </c>
      <c r="C41" s="142"/>
      <c r="D41" s="143"/>
      <c r="E41" s="157" t="e">
        <f t="shared" si="4"/>
        <v>#DIV/0!</v>
      </c>
      <c r="F41" s="143"/>
      <c r="G41" s="143"/>
      <c r="H41" s="156"/>
      <c r="I41" s="144">
        <f t="shared" si="0"/>
        <v>0</v>
      </c>
      <c r="J41" s="145">
        <f t="shared" si="0"/>
        <v>0</v>
      </c>
      <c r="K41" s="146" t="e">
        <f t="shared" si="1"/>
        <v>#DIV/0!</v>
      </c>
    </row>
    <row r="42" spans="1:11" ht="45">
      <c r="A42" s="147" t="s">
        <v>146</v>
      </c>
      <c r="B42" s="155" t="s">
        <v>152</v>
      </c>
      <c r="C42" s="142">
        <v>1759.4</v>
      </c>
      <c r="D42" s="143">
        <v>167.8</v>
      </c>
      <c r="E42" s="157">
        <f t="shared" si="4"/>
        <v>9.537342275775833</v>
      </c>
      <c r="F42" s="143">
        <v>0</v>
      </c>
      <c r="G42" s="143">
        <v>0</v>
      </c>
      <c r="H42" s="156">
        <v>0</v>
      </c>
      <c r="I42" s="144">
        <f t="shared" si="0"/>
        <v>1759.4</v>
      </c>
      <c r="J42" s="145">
        <f t="shared" si="0"/>
        <v>167.8</v>
      </c>
      <c r="K42" s="146">
        <f t="shared" si="1"/>
        <v>9.537342275775833</v>
      </c>
    </row>
    <row r="43" spans="1:11" ht="45">
      <c r="A43" s="147" t="s">
        <v>146</v>
      </c>
      <c r="B43" s="155" t="s">
        <v>153</v>
      </c>
      <c r="C43" s="142">
        <v>10.5</v>
      </c>
      <c r="D43" s="143">
        <v>0</v>
      </c>
      <c r="E43" s="157">
        <f t="shared" si="4"/>
        <v>0</v>
      </c>
      <c r="F43" s="143"/>
      <c r="G43" s="143"/>
      <c r="H43" s="156">
        <v>0</v>
      </c>
      <c r="I43" s="144">
        <f t="shared" si="0"/>
        <v>10.5</v>
      </c>
      <c r="J43" s="145">
        <f t="shared" si="0"/>
        <v>0</v>
      </c>
      <c r="K43" s="146">
        <f t="shared" si="1"/>
        <v>0</v>
      </c>
    </row>
    <row r="44" spans="1:11" ht="30">
      <c r="A44" s="147" t="s">
        <v>146</v>
      </c>
      <c r="B44" s="155" t="s">
        <v>154</v>
      </c>
      <c r="C44" s="142"/>
      <c r="D44" s="143"/>
      <c r="E44" s="157"/>
      <c r="F44" s="143">
        <v>262</v>
      </c>
      <c r="G44" s="143">
        <v>0</v>
      </c>
      <c r="H44" s="156">
        <f>G44/F44*100</f>
        <v>0</v>
      </c>
      <c r="I44" s="144">
        <f>C44+F44</f>
        <v>262</v>
      </c>
      <c r="J44" s="145">
        <f>D44+G44</f>
        <v>0</v>
      </c>
      <c r="K44" s="146">
        <f>J44/I44*100</f>
        <v>0</v>
      </c>
    </row>
    <row r="45" spans="1:11" ht="14.25">
      <c r="A45" s="135" t="s">
        <v>155</v>
      </c>
      <c r="B45" s="136" t="s">
        <v>156</v>
      </c>
      <c r="C45" s="158">
        <f>SUM(C46:C63)</f>
        <v>208521.7</v>
      </c>
      <c r="D45" s="158">
        <f>SUM(D46:D63)</f>
        <v>1857.1000000000001</v>
      </c>
      <c r="E45" s="137">
        <f t="shared" si="4"/>
        <v>0.8906027526151954</v>
      </c>
      <c r="F45" s="159">
        <f>SUM(F46:F63)</f>
        <v>125804.5</v>
      </c>
      <c r="G45" s="159">
        <f>SUM(G46:G63)</f>
        <v>10488.2</v>
      </c>
      <c r="H45" s="159">
        <f>G45/F45*100</f>
        <v>8.336903687864902</v>
      </c>
      <c r="I45" s="158">
        <f>SUM(I46:I63)</f>
        <v>284200.20000000007</v>
      </c>
      <c r="J45" s="158">
        <f>SUM(J46:J63)</f>
        <v>12345.3</v>
      </c>
      <c r="K45" s="139">
        <f t="shared" si="1"/>
        <v>4.343874494106617</v>
      </c>
    </row>
    <row r="46" spans="1:11" ht="105">
      <c r="A46" s="140" t="s">
        <v>157</v>
      </c>
      <c r="B46" s="141" t="s">
        <v>158</v>
      </c>
      <c r="C46" s="142">
        <f>30644.1+45665.6</f>
        <v>76309.7</v>
      </c>
      <c r="D46" s="142">
        <v>0</v>
      </c>
      <c r="E46" s="142">
        <f t="shared" si="4"/>
        <v>0</v>
      </c>
      <c r="F46" s="143">
        <v>0</v>
      </c>
      <c r="G46" s="143">
        <v>0</v>
      </c>
      <c r="H46" s="143">
        <v>0</v>
      </c>
      <c r="I46" s="144">
        <f t="shared" si="0"/>
        <v>76309.7</v>
      </c>
      <c r="J46" s="145">
        <f t="shared" si="0"/>
        <v>0</v>
      </c>
      <c r="K46" s="146">
        <f t="shared" si="1"/>
        <v>0</v>
      </c>
    </row>
    <row r="47" spans="1:11" ht="45">
      <c r="A47" s="140" t="s">
        <v>157</v>
      </c>
      <c r="B47" s="141" t="s">
        <v>159</v>
      </c>
      <c r="C47" s="142">
        <v>1700</v>
      </c>
      <c r="D47" s="142">
        <v>179.5</v>
      </c>
      <c r="E47" s="142">
        <f t="shared" si="4"/>
        <v>10.558823529411764</v>
      </c>
      <c r="F47" s="143"/>
      <c r="G47" s="143"/>
      <c r="H47" s="143"/>
      <c r="I47" s="144">
        <f t="shared" si="0"/>
        <v>1700</v>
      </c>
      <c r="J47" s="145">
        <f t="shared" si="0"/>
        <v>179.5</v>
      </c>
      <c r="K47" s="146">
        <f t="shared" si="1"/>
        <v>10.558823529411764</v>
      </c>
    </row>
    <row r="48" spans="1:11" ht="45">
      <c r="A48" s="147" t="s">
        <v>157</v>
      </c>
      <c r="B48" s="141" t="s">
        <v>160</v>
      </c>
      <c r="C48" s="142"/>
      <c r="D48" s="142"/>
      <c r="E48" s="142"/>
      <c r="F48" s="143">
        <v>18238.8</v>
      </c>
      <c r="G48" s="143">
        <v>330.6</v>
      </c>
      <c r="H48" s="143">
        <f>G48/F48*100</f>
        <v>1.812619251266531</v>
      </c>
      <c r="I48" s="144">
        <f t="shared" si="0"/>
        <v>18238.8</v>
      </c>
      <c r="J48" s="145">
        <f t="shared" si="0"/>
        <v>330.6</v>
      </c>
      <c r="K48" s="146">
        <f t="shared" si="1"/>
        <v>1.812619251266531</v>
      </c>
    </row>
    <row r="49" spans="1:11" ht="150">
      <c r="A49" s="140" t="s">
        <v>161</v>
      </c>
      <c r="B49" s="141" t="s">
        <v>162</v>
      </c>
      <c r="C49" s="142">
        <v>7886.6</v>
      </c>
      <c r="D49" s="157">
        <v>283.7</v>
      </c>
      <c r="E49" s="142">
        <f t="shared" si="4"/>
        <v>3.5972408896102244</v>
      </c>
      <c r="F49" s="143"/>
      <c r="G49" s="143"/>
      <c r="H49" s="143"/>
      <c r="I49" s="144">
        <f t="shared" si="0"/>
        <v>7886.6</v>
      </c>
      <c r="J49" s="145">
        <f t="shared" si="0"/>
        <v>283.7</v>
      </c>
      <c r="K49" s="146">
        <f t="shared" si="1"/>
        <v>3.5972408896102244</v>
      </c>
    </row>
    <row r="50" spans="1:11" ht="150">
      <c r="A50" s="140" t="s">
        <v>161</v>
      </c>
      <c r="B50" s="141" t="s">
        <v>163</v>
      </c>
      <c r="C50" s="142">
        <v>13994.9</v>
      </c>
      <c r="D50" s="142">
        <v>814.7</v>
      </c>
      <c r="E50" s="142">
        <f t="shared" si="4"/>
        <v>5.821406369463162</v>
      </c>
      <c r="F50" s="143"/>
      <c r="G50" s="143"/>
      <c r="H50" s="143"/>
      <c r="I50" s="144">
        <f t="shared" si="0"/>
        <v>13994.9</v>
      </c>
      <c r="J50" s="145">
        <f t="shared" si="0"/>
        <v>814.7</v>
      </c>
      <c r="K50" s="146">
        <f t="shared" si="1"/>
        <v>5.821406369463162</v>
      </c>
    </row>
    <row r="51" spans="1:11" ht="150">
      <c r="A51" s="147" t="s">
        <v>161</v>
      </c>
      <c r="B51" s="141" t="s">
        <v>164</v>
      </c>
      <c r="C51" s="142">
        <v>4334.1</v>
      </c>
      <c r="D51" s="142">
        <v>579.2</v>
      </c>
      <c r="E51" s="142">
        <f t="shared" si="4"/>
        <v>13.363789483399092</v>
      </c>
      <c r="F51" s="143"/>
      <c r="G51" s="143"/>
      <c r="H51" s="143"/>
      <c r="I51" s="144">
        <f t="shared" si="0"/>
        <v>4334.1</v>
      </c>
      <c r="J51" s="145">
        <f t="shared" si="0"/>
        <v>579.2</v>
      </c>
      <c r="K51" s="146">
        <f t="shared" si="1"/>
        <v>13.363789483399092</v>
      </c>
    </row>
    <row r="52" spans="1:11" ht="150">
      <c r="A52" s="147" t="s">
        <v>161</v>
      </c>
      <c r="B52" s="141" t="s">
        <v>165</v>
      </c>
      <c r="C52" s="142">
        <v>6501.1</v>
      </c>
      <c r="D52" s="142">
        <v>0</v>
      </c>
      <c r="E52" s="142">
        <f t="shared" si="4"/>
        <v>0</v>
      </c>
      <c r="F52" s="143"/>
      <c r="G52" s="143"/>
      <c r="H52" s="143"/>
      <c r="I52" s="144">
        <f t="shared" si="0"/>
        <v>6501.1</v>
      </c>
      <c r="J52" s="145">
        <f t="shared" si="0"/>
        <v>0</v>
      </c>
      <c r="K52" s="146">
        <f t="shared" si="1"/>
        <v>0</v>
      </c>
    </row>
    <row r="53" spans="1:11" ht="191.25">
      <c r="A53" s="140" t="s">
        <v>161</v>
      </c>
      <c r="B53" s="160" t="s">
        <v>166</v>
      </c>
      <c r="C53" s="142">
        <v>40704.6</v>
      </c>
      <c r="D53" s="142">
        <v>0</v>
      </c>
      <c r="E53" s="142">
        <f>D53/C53*100</f>
        <v>0</v>
      </c>
      <c r="F53" s="143"/>
      <c r="G53" s="143"/>
      <c r="H53" s="143"/>
      <c r="I53" s="144">
        <f>C53+F53</f>
        <v>40704.6</v>
      </c>
      <c r="J53" s="145">
        <f>D53+G53</f>
        <v>0</v>
      </c>
      <c r="K53" s="146">
        <f>J53/I53*100</f>
        <v>0</v>
      </c>
    </row>
    <row r="54" spans="1:11" ht="180">
      <c r="A54" s="147" t="s">
        <v>161</v>
      </c>
      <c r="B54" s="155" t="s">
        <v>167</v>
      </c>
      <c r="C54" s="142">
        <f>41067.3+2401.6+4004.2</f>
        <v>47473.1</v>
      </c>
      <c r="D54" s="142"/>
      <c r="E54" s="142">
        <f t="shared" si="4"/>
        <v>0</v>
      </c>
      <c r="F54" s="143">
        <f>41067.5+63.5</f>
        <v>41131</v>
      </c>
      <c r="G54" s="143"/>
      <c r="H54" s="143">
        <f>G54/F54*100</f>
        <v>0</v>
      </c>
      <c r="I54" s="144">
        <f>C54+F54-41067.3</f>
        <v>47536.8</v>
      </c>
      <c r="J54" s="145">
        <f>D54+G54</f>
        <v>0</v>
      </c>
      <c r="K54" s="146">
        <f t="shared" si="1"/>
        <v>0</v>
      </c>
    </row>
    <row r="55" spans="1:11" ht="75">
      <c r="A55" s="147" t="s">
        <v>161</v>
      </c>
      <c r="B55" s="155" t="s">
        <v>168</v>
      </c>
      <c r="C55" s="142"/>
      <c r="D55" s="142"/>
      <c r="E55" s="142"/>
      <c r="F55" s="143">
        <v>5081</v>
      </c>
      <c r="G55" s="143">
        <v>3346</v>
      </c>
      <c r="H55" s="143">
        <f aca="true" t="shared" si="6" ref="H55:H62">G55/F55*100</f>
        <v>65.85317850816769</v>
      </c>
      <c r="I55" s="144">
        <f t="shared" si="0"/>
        <v>5081</v>
      </c>
      <c r="J55" s="145">
        <f>D55+G55</f>
        <v>3346</v>
      </c>
      <c r="K55" s="161">
        <f t="shared" si="1"/>
        <v>65.85317850816769</v>
      </c>
    </row>
    <row r="56" spans="1:11" ht="15">
      <c r="A56" s="147" t="s">
        <v>161</v>
      </c>
      <c r="B56" s="155" t="s">
        <v>169</v>
      </c>
      <c r="C56" s="142"/>
      <c r="D56" s="142"/>
      <c r="E56" s="142"/>
      <c r="F56" s="143">
        <v>7983.2</v>
      </c>
      <c r="G56" s="143">
        <v>940</v>
      </c>
      <c r="H56" s="143">
        <f t="shared" si="6"/>
        <v>11.774726926545746</v>
      </c>
      <c r="I56" s="144">
        <f t="shared" si="0"/>
        <v>7983.2</v>
      </c>
      <c r="J56" s="145">
        <f>D56+G56</f>
        <v>940</v>
      </c>
      <c r="K56" s="146">
        <f t="shared" si="1"/>
        <v>11.774726926545746</v>
      </c>
    </row>
    <row r="57" spans="1:11" ht="90">
      <c r="A57" s="147" t="s">
        <v>170</v>
      </c>
      <c r="B57" s="141" t="s">
        <v>171</v>
      </c>
      <c r="C57" s="142">
        <v>500</v>
      </c>
      <c r="D57" s="142">
        <v>0</v>
      </c>
      <c r="E57" s="142">
        <f t="shared" si="4"/>
        <v>0</v>
      </c>
      <c r="F57" s="142">
        <v>500</v>
      </c>
      <c r="G57" s="143"/>
      <c r="H57" s="143">
        <f t="shared" si="6"/>
        <v>0</v>
      </c>
      <c r="I57" s="144">
        <f>C57+F57-500</f>
        <v>500</v>
      </c>
      <c r="J57" s="145">
        <f>D57+G57</f>
        <v>0</v>
      </c>
      <c r="K57" s="146">
        <f t="shared" si="1"/>
        <v>0</v>
      </c>
    </row>
    <row r="58" spans="1:11" ht="45">
      <c r="A58" s="147" t="s">
        <v>170</v>
      </c>
      <c r="B58" s="141" t="s">
        <v>172</v>
      </c>
      <c r="C58" s="142">
        <v>350</v>
      </c>
      <c r="D58" s="142"/>
      <c r="E58" s="142"/>
      <c r="F58" s="142">
        <v>350</v>
      </c>
      <c r="G58" s="143"/>
      <c r="H58" s="143">
        <f t="shared" si="6"/>
        <v>0</v>
      </c>
      <c r="I58" s="144">
        <f>C58+F58-350</f>
        <v>350</v>
      </c>
      <c r="J58" s="144">
        <f t="shared" si="0"/>
        <v>0</v>
      </c>
      <c r="K58" s="146">
        <f t="shared" si="1"/>
        <v>0</v>
      </c>
    </row>
    <row r="59" spans="1:11" ht="30">
      <c r="A59" s="147"/>
      <c r="B59" s="141" t="s">
        <v>173</v>
      </c>
      <c r="C59" s="142">
        <v>100</v>
      </c>
      <c r="D59" s="142"/>
      <c r="E59" s="142"/>
      <c r="F59" s="142"/>
      <c r="G59" s="143"/>
      <c r="H59" s="143"/>
      <c r="I59" s="144">
        <f>C59+F59</f>
        <v>100</v>
      </c>
      <c r="J59" s="144"/>
      <c r="K59" s="146"/>
    </row>
    <row r="60" spans="1:11" ht="90">
      <c r="A60" s="147" t="s">
        <v>170</v>
      </c>
      <c r="B60" s="141" t="s">
        <v>174</v>
      </c>
      <c r="C60" s="142"/>
      <c r="D60" s="142"/>
      <c r="E60" s="142" t="e">
        <f t="shared" si="4"/>
        <v>#DIV/0!</v>
      </c>
      <c r="F60" s="142">
        <v>1414</v>
      </c>
      <c r="G60" s="143"/>
      <c r="H60" s="143">
        <f t="shared" si="6"/>
        <v>0</v>
      </c>
      <c r="I60" s="144">
        <f>C60+F60</f>
        <v>1414</v>
      </c>
      <c r="J60" s="145">
        <f>D60+G60</f>
        <v>0</v>
      </c>
      <c r="K60" s="146">
        <f t="shared" si="1"/>
        <v>0</v>
      </c>
    </row>
    <row r="61" spans="1:11" ht="30">
      <c r="A61" s="147" t="s">
        <v>170</v>
      </c>
      <c r="B61" s="141" t="s">
        <v>175</v>
      </c>
      <c r="C61" s="142">
        <f>8208.7+432</f>
        <v>8640.7</v>
      </c>
      <c r="D61" s="142">
        <v>0</v>
      </c>
      <c r="E61" s="142">
        <f t="shared" si="4"/>
        <v>0</v>
      </c>
      <c r="F61" s="142">
        <f>8208.7+506.1</f>
        <v>8714.800000000001</v>
      </c>
      <c r="G61" s="143"/>
      <c r="H61" s="143">
        <f t="shared" si="6"/>
        <v>0</v>
      </c>
      <c r="I61" s="144">
        <f>C61+F61-5746.1-2462.6</f>
        <v>9146.8</v>
      </c>
      <c r="J61" s="145">
        <f>D61+G61</f>
        <v>0</v>
      </c>
      <c r="K61" s="146">
        <f t="shared" si="1"/>
        <v>0</v>
      </c>
    </row>
    <row r="62" spans="1:11" ht="15">
      <c r="A62" s="140" t="s">
        <v>170</v>
      </c>
      <c r="B62" s="141" t="s">
        <v>176</v>
      </c>
      <c r="C62" s="142">
        <v>0</v>
      </c>
      <c r="D62" s="142"/>
      <c r="E62" s="157">
        <v>0</v>
      </c>
      <c r="F62" s="142">
        <v>42391.7</v>
      </c>
      <c r="G62" s="143">
        <v>5871.6</v>
      </c>
      <c r="H62" s="143">
        <f t="shared" si="6"/>
        <v>13.850824571791179</v>
      </c>
      <c r="I62" s="144">
        <f>C62+F62</f>
        <v>42391.7</v>
      </c>
      <c r="J62" s="145">
        <f>D62+G62</f>
        <v>5871.6</v>
      </c>
      <c r="K62" s="146">
        <f t="shared" si="1"/>
        <v>13.850824571791179</v>
      </c>
    </row>
    <row r="63" spans="1:11" ht="15">
      <c r="A63" s="147" t="s">
        <v>177</v>
      </c>
      <c r="B63" s="141" t="s">
        <v>178</v>
      </c>
      <c r="C63" s="142">
        <v>26.9</v>
      </c>
      <c r="D63" s="142">
        <v>0</v>
      </c>
      <c r="E63" s="142">
        <f>D63/C63*100</f>
        <v>0</v>
      </c>
      <c r="F63" s="142">
        <v>0</v>
      </c>
      <c r="G63" s="143">
        <v>0</v>
      </c>
      <c r="H63" s="143">
        <v>0</v>
      </c>
      <c r="I63" s="144">
        <f>C63+F63</f>
        <v>26.9</v>
      </c>
      <c r="J63" s="145">
        <f>D63+G63</f>
        <v>0</v>
      </c>
      <c r="K63" s="162">
        <f t="shared" si="1"/>
        <v>0</v>
      </c>
    </row>
    <row r="64" spans="1:11" ht="15">
      <c r="A64" s="163" t="s">
        <v>179</v>
      </c>
      <c r="B64" s="164" t="s">
        <v>180</v>
      </c>
      <c r="C64" s="159">
        <f aca="true" t="shared" si="7" ref="C64:H64">C65</f>
        <v>108.1</v>
      </c>
      <c r="D64" s="159">
        <f t="shared" si="7"/>
        <v>0</v>
      </c>
      <c r="E64" s="137">
        <v>0</v>
      </c>
      <c r="F64" s="159">
        <f t="shared" si="7"/>
        <v>0</v>
      </c>
      <c r="G64" s="159">
        <f t="shared" si="7"/>
        <v>0</v>
      </c>
      <c r="H64" s="138">
        <f t="shared" si="7"/>
        <v>0</v>
      </c>
      <c r="I64" s="159">
        <f t="shared" si="0"/>
        <v>108.1</v>
      </c>
      <c r="J64" s="159">
        <f t="shared" si="0"/>
        <v>0</v>
      </c>
      <c r="K64" s="139">
        <v>0</v>
      </c>
    </row>
    <row r="65" spans="1:11" ht="30">
      <c r="A65" s="147" t="s">
        <v>181</v>
      </c>
      <c r="B65" s="165" t="s">
        <v>182</v>
      </c>
      <c r="C65" s="143">
        <v>108.1</v>
      </c>
      <c r="D65" s="143">
        <v>0</v>
      </c>
      <c r="E65" s="142">
        <f t="shared" si="4"/>
        <v>0</v>
      </c>
      <c r="F65" s="143">
        <v>0</v>
      </c>
      <c r="G65" s="143">
        <v>0</v>
      </c>
      <c r="H65" s="143">
        <v>0</v>
      </c>
      <c r="I65" s="144">
        <f t="shared" si="0"/>
        <v>108.1</v>
      </c>
      <c r="J65" s="145">
        <f t="shared" si="0"/>
        <v>0</v>
      </c>
      <c r="K65" s="146">
        <f t="shared" si="1"/>
        <v>0</v>
      </c>
    </row>
    <row r="66" spans="1:11" ht="15">
      <c r="A66" s="135" t="s">
        <v>183</v>
      </c>
      <c r="B66" s="136" t="s">
        <v>184</v>
      </c>
      <c r="C66" s="137">
        <f>SUM(C67:C74)</f>
        <v>2002926.2</v>
      </c>
      <c r="D66" s="137">
        <f>SUM(D67:D74)</f>
        <v>271133.7</v>
      </c>
      <c r="E66" s="137">
        <f>D66/C66*100</f>
        <v>13.536879192054109</v>
      </c>
      <c r="F66" s="159">
        <f>F67+F69+F70+F73+F74</f>
        <v>0</v>
      </c>
      <c r="G66" s="159">
        <f>SUM(G67:G74)</f>
        <v>0</v>
      </c>
      <c r="H66" s="138">
        <v>0</v>
      </c>
      <c r="I66" s="137">
        <f>SUM(I67:I74)</f>
        <v>2002926.2</v>
      </c>
      <c r="J66" s="137">
        <f>SUM(J67:J74)</f>
        <v>271133.7</v>
      </c>
      <c r="K66" s="139">
        <f t="shared" si="1"/>
        <v>13.536879192054109</v>
      </c>
    </row>
    <row r="67" spans="1:11" ht="15">
      <c r="A67" s="140" t="s">
        <v>185</v>
      </c>
      <c r="B67" s="141" t="s">
        <v>186</v>
      </c>
      <c r="C67" s="142">
        <f>535838.6-C68</f>
        <v>391853.5</v>
      </c>
      <c r="D67" s="142">
        <f>97545-D68</f>
        <v>97360.1</v>
      </c>
      <c r="E67" s="142">
        <f t="shared" si="4"/>
        <v>24.84604577986416</v>
      </c>
      <c r="F67" s="143">
        <v>0</v>
      </c>
      <c r="G67" s="143">
        <v>0</v>
      </c>
      <c r="H67" s="143">
        <v>0</v>
      </c>
      <c r="I67" s="144">
        <f t="shared" si="0"/>
        <v>391853.5</v>
      </c>
      <c r="J67" s="145">
        <f t="shared" si="0"/>
        <v>97360.1</v>
      </c>
      <c r="K67" s="146">
        <f t="shared" si="1"/>
        <v>24.84604577986416</v>
      </c>
    </row>
    <row r="68" spans="1:11" ht="120">
      <c r="A68" s="140" t="s">
        <v>185</v>
      </c>
      <c r="B68" s="141" t="s">
        <v>187</v>
      </c>
      <c r="C68" s="142">
        <f>129586.6+14398.5</f>
        <v>143985.1</v>
      </c>
      <c r="D68" s="142">
        <v>184.9</v>
      </c>
      <c r="E68" s="142">
        <f t="shared" si="4"/>
        <v>0.12841606527342064</v>
      </c>
      <c r="F68" s="143"/>
      <c r="G68" s="143"/>
      <c r="H68" s="143"/>
      <c r="I68" s="144">
        <f t="shared" si="0"/>
        <v>143985.1</v>
      </c>
      <c r="J68" s="145">
        <f t="shared" si="0"/>
        <v>184.9</v>
      </c>
      <c r="K68" s="146">
        <f t="shared" si="1"/>
        <v>0.12841606527342064</v>
      </c>
    </row>
    <row r="69" spans="1:11" ht="15">
      <c r="A69" s="140" t="s">
        <v>188</v>
      </c>
      <c r="B69" s="141" t="s">
        <v>189</v>
      </c>
      <c r="C69" s="142">
        <f>1197994.3-C70-C71</f>
        <v>1037846.3</v>
      </c>
      <c r="D69" s="142">
        <f>122255.3-D70-D71</f>
        <v>112188.5</v>
      </c>
      <c r="E69" s="142">
        <f t="shared" si="4"/>
        <v>10.80974128828132</v>
      </c>
      <c r="F69" s="143">
        <v>0</v>
      </c>
      <c r="G69" s="143">
        <v>0</v>
      </c>
      <c r="H69" s="143">
        <v>0</v>
      </c>
      <c r="I69" s="144">
        <f t="shared" si="0"/>
        <v>1037846.3</v>
      </c>
      <c r="J69" s="145">
        <f t="shared" si="0"/>
        <v>112188.5</v>
      </c>
      <c r="K69" s="146">
        <f t="shared" si="1"/>
        <v>10.80974128828132</v>
      </c>
    </row>
    <row r="70" spans="1:11" ht="15">
      <c r="A70" s="140" t="s">
        <v>188</v>
      </c>
      <c r="B70" s="141" t="s">
        <v>190</v>
      </c>
      <c r="C70" s="142">
        <f>30825+20887.7+242</f>
        <v>51954.7</v>
      </c>
      <c r="D70" s="142">
        <v>4526.2</v>
      </c>
      <c r="E70" s="142">
        <f t="shared" si="4"/>
        <v>8.711820104822085</v>
      </c>
      <c r="F70" s="143">
        <v>0</v>
      </c>
      <c r="G70" s="143">
        <v>0</v>
      </c>
      <c r="H70" s="143">
        <v>0</v>
      </c>
      <c r="I70" s="144">
        <f t="shared" si="0"/>
        <v>51954.7</v>
      </c>
      <c r="J70" s="145">
        <f t="shared" si="0"/>
        <v>4526.2</v>
      </c>
      <c r="K70" s="146">
        <f t="shared" si="1"/>
        <v>8.711820104822085</v>
      </c>
    </row>
    <row r="71" spans="1:11" ht="120">
      <c r="A71" s="140" t="s">
        <v>188</v>
      </c>
      <c r="B71" s="141" t="s">
        <v>191</v>
      </c>
      <c r="C71" s="142">
        <f>97374+10819.3</f>
        <v>108193.3</v>
      </c>
      <c r="D71" s="142">
        <v>5540.6</v>
      </c>
      <c r="E71" s="142">
        <f t="shared" si="4"/>
        <v>5.1210195086017345</v>
      </c>
      <c r="F71" s="143">
        <v>0</v>
      </c>
      <c r="G71" s="143">
        <v>0</v>
      </c>
      <c r="H71" s="143">
        <v>0</v>
      </c>
      <c r="I71" s="144">
        <f t="shared" si="0"/>
        <v>108193.3</v>
      </c>
      <c r="J71" s="145">
        <f t="shared" si="0"/>
        <v>5540.6</v>
      </c>
      <c r="K71" s="146">
        <f t="shared" si="1"/>
        <v>5.1210195086017345</v>
      </c>
    </row>
    <row r="72" spans="1:11" ht="15">
      <c r="A72" s="140" t="s">
        <v>192</v>
      </c>
      <c r="B72" s="141" t="s">
        <v>193</v>
      </c>
      <c r="C72" s="142">
        <v>194783.6</v>
      </c>
      <c r="D72" s="157">
        <v>42895.1</v>
      </c>
      <c r="E72" s="142">
        <f t="shared" si="4"/>
        <v>22.021925870555837</v>
      </c>
      <c r="F72" s="143"/>
      <c r="G72" s="143"/>
      <c r="H72" s="143"/>
      <c r="I72" s="144">
        <f t="shared" si="0"/>
        <v>194783.6</v>
      </c>
      <c r="J72" s="145">
        <f t="shared" si="0"/>
        <v>42895.1</v>
      </c>
      <c r="K72" s="146">
        <f t="shared" si="1"/>
        <v>22.021925870555837</v>
      </c>
    </row>
    <row r="73" spans="1:11" ht="15">
      <c r="A73" s="140" t="s">
        <v>194</v>
      </c>
      <c r="B73" s="141" t="s">
        <v>195</v>
      </c>
      <c r="C73" s="142">
        <v>26439.2</v>
      </c>
      <c r="D73" s="142">
        <v>1111.7</v>
      </c>
      <c r="E73" s="142">
        <f t="shared" si="4"/>
        <v>4.204741444521771</v>
      </c>
      <c r="F73" s="143"/>
      <c r="G73" s="143"/>
      <c r="H73" s="143"/>
      <c r="I73" s="144">
        <f>C73+F73</f>
        <v>26439.2</v>
      </c>
      <c r="J73" s="145">
        <f>D73+G73</f>
        <v>1111.7</v>
      </c>
      <c r="K73" s="146">
        <f t="shared" si="1"/>
        <v>4.204741444521771</v>
      </c>
    </row>
    <row r="74" spans="1:11" ht="15">
      <c r="A74" s="140" t="s">
        <v>196</v>
      </c>
      <c r="B74" s="141" t="s">
        <v>197</v>
      </c>
      <c r="C74" s="142">
        <v>47870.5</v>
      </c>
      <c r="D74" s="142">
        <v>7326.6</v>
      </c>
      <c r="E74" s="142">
        <f t="shared" si="4"/>
        <v>15.305041727159734</v>
      </c>
      <c r="F74" s="143">
        <v>0</v>
      </c>
      <c r="G74" s="143"/>
      <c r="H74" s="143">
        <v>0</v>
      </c>
      <c r="I74" s="144">
        <f t="shared" si="0"/>
        <v>47870.5</v>
      </c>
      <c r="J74" s="145">
        <f>D74+G74</f>
        <v>7326.6</v>
      </c>
      <c r="K74" s="146">
        <f t="shared" si="1"/>
        <v>15.305041727159734</v>
      </c>
    </row>
    <row r="75" spans="1:11" ht="15">
      <c r="A75" s="135" t="s">
        <v>198</v>
      </c>
      <c r="B75" s="136" t="s">
        <v>199</v>
      </c>
      <c r="C75" s="137">
        <f>SUM(C76:C79)</f>
        <v>72445.40000000001</v>
      </c>
      <c r="D75" s="137">
        <f>SUM(D76:D79)</f>
        <v>5532.8</v>
      </c>
      <c r="E75" s="137">
        <f>D75/C75*100</f>
        <v>7.637199877424929</v>
      </c>
      <c r="F75" s="159">
        <f>SUM(F76:F79)</f>
        <v>110800.4</v>
      </c>
      <c r="G75" s="159">
        <f>SUM(G76:G79)</f>
        <v>10424.6</v>
      </c>
      <c r="H75" s="138">
        <f>G75/F75*100</f>
        <v>9.408449788989932</v>
      </c>
      <c r="I75" s="159">
        <f>SUM(I76:I79)</f>
        <v>182802.8</v>
      </c>
      <c r="J75" s="159">
        <f>SUM(J76:J79)</f>
        <v>15957.4</v>
      </c>
      <c r="K75" s="139">
        <f t="shared" si="1"/>
        <v>8.729297363060084</v>
      </c>
    </row>
    <row r="76" spans="1:11" ht="15">
      <c r="A76" s="140" t="s">
        <v>200</v>
      </c>
      <c r="B76" s="141" t="s">
        <v>201</v>
      </c>
      <c r="C76" s="142">
        <f>69878.3-C77</f>
        <v>69048.90000000001</v>
      </c>
      <c r="D76" s="142">
        <f>5190.8-D77</f>
        <v>5190.8</v>
      </c>
      <c r="E76" s="142">
        <f t="shared" si="4"/>
        <v>7.517570880926415</v>
      </c>
      <c r="F76" s="143">
        <f>110440.4-F77</f>
        <v>110297.4</v>
      </c>
      <c r="G76" s="143">
        <f>10413.2-G77</f>
        <v>10413.2</v>
      </c>
      <c r="H76" s="143">
        <f>G76/F76*100</f>
        <v>9.441020368567166</v>
      </c>
      <c r="I76" s="144">
        <f>C76+F76-300</f>
        <v>179046.3</v>
      </c>
      <c r="J76" s="145">
        <f>D76+G76</f>
        <v>15604</v>
      </c>
      <c r="K76" s="146">
        <f t="shared" si="1"/>
        <v>8.715064204063419</v>
      </c>
    </row>
    <row r="77" spans="1:11" ht="30">
      <c r="A77" s="166" t="s">
        <v>200</v>
      </c>
      <c r="B77" s="167" t="s">
        <v>202</v>
      </c>
      <c r="C77" s="142">
        <f>587+103.7+117.9+20.8</f>
        <v>829.4</v>
      </c>
      <c r="D77" s="142">
        <v>0</v>
      </c>
      <c r="E77" s="142">
        <f t="shared" si="4"/>
        <v>0</v>
      </c>
      <c r="F77" s="143">
        <f>128+15</f>
        <v>143</v>
      </c>
      <c r="G77" s="143">
        <v>0</v>
      </c>
      <c r="H77" s="143">
        <f>G77/F77*100</f>
        <v>0</v>
      </c>
      <c r="I77" s="144">
        <f>C77+F77-143</f>
        <v>829.4</v>
      </c>
      <c r="J77" s="145">
        <f>D77+G77</f>
        <v>0</v>
      </c>
      <c r="K77" s="146">
        <f>J77/I77*100</f>
        <v>0</v>
      </c>
    </row>
    <row r="78" spans="1:11" ht="15">
      <c r="A78" s="140" t="s">
        <v>203</v>
      </c>
      <c r="B78" s="141" t="s">
        <v>204</v>
      </c>
      <c r="C78" s="142">
        <v>150</v>
      </c>
      <c r="D78" s="142">
        <v>8.1</v>
      </c>
      <c r="E78" s="142">
        <f t="shared" si="4"/>
        <v>5.4</v>
      </c>
      <c r="F78" s="143">
        <v>360</v>
      </c>
      <c r="G78" s="143">
        <v>11.4</v>
      </c>
      <c r="H78" s="143">
        <f>G78/F78*100</f>
        <v>3.166666666666667</v>
      </c>
      <c r="I78" s="144">
        <f aca="true" t="shared" si="8" ref="I78:J87">C78+F78</f>
        <v>510</v>
      </c>
      <c r="J78" s="145">
        <f t="shared" si="8"/>
        <v>19.5</v>
      </c>
      <c r="K78" s="146">
        <f aca="true" t="shared" si="9" ref="K78:K101">J78/I78*100</f>
        <v>3.823529411764706</v>
      </c>
    </row>
    <row r="79" spans="1:11" ht="30">
      <c r="A79" s="140" t="s">
        <v>205</v>
      </c>
      <c r="B79" s="141" t="s">
        <v>206</v>
      </c>
      <c r="C79" s="142">
        <v>2417.1</v>
      </c>
      <c r="D79" s="142">
        <v>333.9</v>
      </c>
      <c r="E79" s="142">
        <f t="shared" si="4"/>
        <v>13.814074717636837</v>
      </c>
      <c r="F79" s="143"/>
      <c r="G79" s="143">
        <v>0</v>
      </c>
      <c r="H79" s="143"/>
      <c r="I79" s="144">
        <f>C79+F79</f>
        <v>2417.1</v>
      </c>
      <c r="J79" s="145">
        <f>D79+G79</f>
        <v>333.9</v>
      </c>
      <c r="K79" s="146">
        <f t="shared" si="9"/>
        <v>13.814074717636837</v>
      </c>
    </row>
    <row r="80" spans="1:11" ht="15">
      <c r="A80" s="135" t="s">
        <v>207</v>
      </c>
      <c r="B80" s="136" t="s">
        <v>208</v>
      </c>
      <c r="C80" s="137">
        <f>C81</f>
        <v>2307.7</v>
      </c>
      <c r="D80" s="137">
        <f>D81</f>
        <v>-0.2</v>
      </c>
      <c r="E80" s="137">
        <f>D80/C80*100</f>
        <v>-0.008666637777874074</v>
      </c>
      <c r="F80" s="159">
        <v>0</v>
      </c>
      <c r="G80" s="159">
        <v>0</v>
      </c>
      <c r="H80" s="138"/>
      <c r="I80" s="159">
        <f>C80+F80</f>
        <v>2307.7</v>
      </c>
      <c r="J80" s="159">
        <f t="shared" si="8"/>
        <v>-0.2</v>
      </c>
      <c r="K80" s="139">
        <f t="shared" si="9"/>
        <v>-0.008666637777874074</v>
      </c>
    </row>
    <row r="81" spans="1:11" ht="45">
      <c r="A81" s="147" t="s">
        <v>209</v>
      </c>
      <c r="B81" s="167" t="s">
        <v>210</v>
      </c>
      <c r="C81" s="142">
        <v>2307.7</v>
      </c>
      <c r="D81" s="143">
        <v>-0.2</v>
      </c>
      <c r="E81" s="142">
        <f t="shared" si="4"/>
        <v>-0.008666637777874074</v>
      </c>
      <c r="F81" s="143">
        <v>0</v>
      </c>
      <c r="G81" s="143">
        <v>0</v>
      </c>
      <c r="H81" s="143">
        <v>0</v>
      </c>
      <c r="I81" s="144">
        <f t="shared" si="8"/>
        <v>2307.7</v>
      </c>
      <c r="J81" s="145">
        <f t="shared" si="8"/>
        <v>-0.2</v>
      </c>
      <c r="K81" s="146">
        <f t="shared" si="9"/>
        <v>-0.008666637777874074</v>
      </c>
    </row>
    <row r="82" spans="1:11" ht="15">
      <c r="A82" s="135">
        <v>10</v>
      </c>
      <c r="B82" s="136" t="s">
        <v>211</v>
      </c>
      <c r="C82" s="137">
        <f>SUM(C83:C89)</f>
        <v>136030.8</v>
      </c>
      <c r="D82" s="137">
        <f>SUM(D83:D89)</f>
        <v>9053.6</v>
      </c>
      <c r="E82" s="137">
        <f>D82/C82*100</f>
        <v>6.65555153685783</v>
      </c>
      <c r="F82" s="137">
        <f>SUM(F83:F87)</f>
        <v>492.9</v>
      </c>
      <c r="G82" s="137">
        <f>SUM(G83:G87)</f>
        <v>60</v>
      </c>
      <c r="H82" s="138">
        <f>G82/F82*100</f>
        <v>12.172854534388316</v>
      </c>
      <c r="I82" s="137">
        <f>SUM(I83:I89)</f>
        <v>136523.69999999998</v>
      </c>
      <c r="J82" s="137">
        <f>SUM(J83:J89)</f>
        <v>9113.6</v>
      </c>
      <c r="K82" s="139">
        <f t="shared" si="9"/>
        <v>6.675470998808267</v>
      </c>
    </row>
    <row r="83" spans="1:11" ht="15">
      <c r="A83" s="147">
        <v>1001</v>
      </c>
      <c r="B83" s="141" t="s">
        <v>212</v>
      </c>
      <c r="C83" s="142">
        <v>4063</v>
      </c>
      <c r="D83" s="142">
        <v>615.5</v>
      </c>
      <c r="E83" s="142">
        <f t="shared" si="4"/>
        <v>15.148904750184592</v>
      </c>
      <c r="F83" s="143">
        <v>492.9</v>
      </c>
      <c r="G83" s="143">
        <v>60</v>
      </c>
      <c r="H83" s="143">
        <f>G83/F83*100</f>
        <v>12.172854534388316</v>
      </c>
      <c r="I83" s="144">
        <f t="shared" si="8"/>
        <v>4555.9</v>
      </c>
      <c r="J83" s="145">
        <f t="shared" si="8"/>
        <v>675.5</v>
      </c>
      <c r="K83" s="146">
        <f t="shared" si="9"/>
        <v>14.826927720099214</v>
      </c>
    </row>
    <row r="84" spans="1:11" ht="75">
      <c r="A84" s="147">
        <v>1003</v>
      </c>
      <c r="B84" s="141" t="s">
        <v>213</v>
      </c>
      <c r="C84" s="142">
        <f>1585.4+792.7</f>
        <v>2378.1000000000004</v>
      </c>
      <c r="D84" s="142">
        <v>0</v>
      </c>
      <c r="E84" s="142">
        <f t="shared" si="4"/>
        <v>0</v>
      </c>
      <c r="F84" s="143">
        <v>0</v>
      </c>
      <c r="G84" s="143">
        <v>0</v>
      </c>
      <c r="H84" s="143">
        <v>0</v>
      </c>
      <c r="I84" s="144">
        <f t="shared" si="8"/>
        <v>2378.1000000000004</v>
      </c>
      <c r="J84" s="145">
        <f t="shared" si="8"/>
        <v>0</v>
      </c>
      <c r="K84" s="146">
        <f t="shared" si="9"/>
        <v>0</v>
      </c>
    </row>
    <row r="85" spans="1:11" ht="195">
      <c r="A85" s="147" t="s">
        <v>214</v>
      </c>
      <c r="B85" s="141" t="s">
        <v>215</v>
      </c>
      <c r="C85" s="142">
        <f>2548.1+134.1</f>
        <v>2682.2</v>
      </c>
      <c r="D85" s="142">
        <v>0</v>
      </c>
      <c r="E85" s="142">
        <f t="shared" si="4"/>
        <v>0</v>
      </c>
      <c r="F85" s="143"/>
      <c r="G85" s="143"/>
      <c r="H85" s="143"/>
      <c r="I85" s="144">
        <f t="shared" si="8"/>
        <v>2682.2</v>
      </c>
      <c r="J85" s="145">
        <f t="shared" si="8"/>
        <v>0</v>
      </c>
      <c r="K85" s="146">
        <f t="shared" si="9"/>
        <v>0</v>
      </c>
    </row>
    <row r="86" spans="1:11" ht="90">
      <c r="A86" s="147">
        <v>1004</v>
      </c>
      <c r="B86" s="141" t="s">
        <v>216</v>
      </c>
      <c r="C86" s="142">
        <v>31571</v>
      </c>
      <c r="D86" s="142">
        <v>2444.2</v>
      </c>
      <c r="E86" s="142">
        <f t="shared" si="4"/>
        <v>7.7419150486205695</v>
      </c>
      <c r="F86" s="143">
        <v>0</v>
      </c>
      <c r="G86" s="143">
        <v>0</v>
      </c>
      <c r="H86" s="143">
        <v>0</v>
      </c>
      <c r="I86" s="144">
        <f t="shared" si="8"/>
        <v>31571</v>
      </c>
      <c r="J86" s="145">
        <f t="shared" si="8"/>
        <v>2444.2</v>
      </c>
      <c r="K86" s="146">
        <f t="shared" si="9"/>
        <v>7.7419150486205695</v>
      </c>
    </row>
    <row r="87" spans="1:11" ht="165">
      <c r="A87" s="147">
        <v>1004</v>
      </c>
      <c r="B87" s="141" t="s">
        <v>217</v>
      </c>
      <c r="C87" s="142">
        <v>70674.5</v>
      </c>
      <c r="D87" s="142">
        <v>4751.1</v>
      </c>
      <c r="E87" s="142">
        <f aca="true" t="shared" si="10" ref="E87:E100">D87/C87*100</f>
        <v>6.722509533141374</v>
      </c>
      <c r="F87" s="143">
        <v>0</v>
      </c>
      <c r="G87" s="143">
        <v>0</v>
      </c>
      <c r="H87" s="143">
        <v>0</v>
      </c>
      <c r="I87" s="144">
        <f t="shared" si="8"/>
        <v>70674.5</v>
      </c>
      <c r="J87" s="145">
        <f t="shared" si="8"/>
        <v>4751.1</v>
      </c>
      <c r="K87" s="146">
        <f t="shared" si="9"/>
        <v>6.722509533141374</v>
      </c>
    </row>
    <row r="88" spans="1:11" ht="165">
      <c r="A88" s="147" t="s">
        <v>218</v>
      </c>
      <c r="B88" s="141" t="s">
        <v>219</v>
      </c>
      <c r="C88" s="142">
        <v>7662.9</v>
      </c>
      <c r="D88" s="142">
        <v>0</v>
      </c>
      <c r="E88" s="142">
        <f>D88/C88*100</f>
        <v>0</v>
      </c>
      <c r="F88" s="143">
        <v>0</v>
      </c>
      <c r="G88" s="143">
        <v>0</v>
      </c>
      <c r="H88" s="143">
        <v>0</v>
      </c>
      <c r="I88" s="144">
        <f>C88+F88</f>
        <v>7662.9</v>
      </c>
      <c r="J88" s="145">
        <f>D88+G88</f>
        <v>0</v>
      </c>
      <c r="K88" s="146">
        <f>J88/I88*100</f>
        <v>0</v>
      </c>
    </row>
    <row r="89" spans="1:11" ht="30">
      <c r="A89" s="147">
        <v>1006</v>
      </c>
      <c r="B89" s="141" t="s">
        <v>220</v>
      </c>
      <c r="C89" s="142">
        <v>16999.1</v>
      </c>
      <c r="D89" s="142">
        <v>1242.8</v>
      </c>
      <c r="E89" s="142">
        <f t="shared" si="10"/>
        <v>7.310975286926956</v>
      </c>
      <c r="F89" s="143">
        <v>0</v>
      </c>
      <c r="G89" s="143">
        <v>0</v>
      </c>
      <c r="H89" s="143">
        <v>0</v>
      </c>
      <c r="I89" s="144">
        <f>C89+F89</f>
        <v>16999.1</v>
      </c>
      <c r="J89" s="145">
        <f>D89+G89</f>
        <v>1242.8</v>
      </c>
      <c r="K89" s="146">
        <f t="shared" si="9"/>
        <v>7.310975286926956</v>
      </c>
    </row>
    <row r="90" spans="1:11" ht="15">
      <c r="A90" s="163">
        <v>1100</v>
      </c>
      <c r="B90" s="136" t="s">
        <v>221</v>
      </c>
      <c r="C90" s="137">
        <f>SUM(C91:C92)</f>
        <v>32661.7</v>
      </c>
      <c r="D90" s="137">
        <f>SUM(D91:D92)</f>
        <v>1937.3</v>
      </c>
      <c r="E90" s="137">
        <f>D90/C90*100</f>
        <v>5.931412020807245</v>
      </c>
      <c r="F90" s="159">
        <f>F91+F92</f>
        <v>33419</v>
      </c>
      <c r="G90" s="159">
        <f>G91+G92</f>
        <v>3265.6</v>
      </c>
      <c r="H90" s="138">
        <f>G90/F90*100</f>
        <v>9.771686765013914</v>
      </c>
      <c r="I90" s="159">
        <f>SUM(I91:I92)</f>
        <v>65855.7</v>
      </c>
      <c r="J90" s="159">
        <f>SUM(J91:J92)</f>
        <v>5202.9</v>
      </c>
      <c r="K90" s="139">
        <f t="shared" si="9"/>
        <v>7.900455085892337</v>
      </c>
    </row>
    <row r="91" spans="1:11" ht="15">
      <c r="A91" s="147">
        <v>1101</v>
      </c>
      <c r="B91" s="141" t="s">
        <v>222</v>
      </c>
      <c r="C91" s="142">
        <v>32506.7</v>
      </c>
      <c r="D91" s="142">
        <v>1937.3</v>
      </c>
      <c r="E91" s="142">
        <f t="shared" si="10"/>
        <v>5.95969446298763</v>
      </c>
      <c r="F91" s="143">
        <v>33419</v>
      </c>
      <c r="G91" s="143">
        <v>3265.6</v>
      </c>
      <c r="H91" s="143">
        <f>G91/F91*100</f>
        <v>9.771686765013914</v>
      </c>
      <c r="I91" s="144">
        <f>C91+F91-225</f>
        <v>65700.7</v>
      </c>
      <c r="J91" s="144">
        <f>D91+G91</f>
        <v>5202.9</v>
      </c>
      <c r="K91" s="146">
        <f t="shared" si="9"/>
        <v>7.919093708286212</v>
      </c>
    </row>
    <row r="92" spans="1:11" ht="15">
      <c r="A92" s="147">
        <v>1102</v>
      </c>
      <c r="B92" s="141" t="s">
        <v>223</v>
      </c>
      <c r="C92" s="142">
        <v>155</v>
      </c>
      <c r="D92" s="142">
        <v>0</v>
      </c>
      <c r="E92" s="142">
        <f t="shared" si="10"/>
        <v>0</v>
      </c>
      <c r="F92" s="143"/>
      <c r="G92" s="143">
        <v>0</v>
      </c>
      <c r="H92" s="143"/>
      <c r="I92" s="144">
        <f>C92+F92</f>
        <v>155</v>
      </c>
      <c r="J92" s="144">
        <f>D92+G92</f>
        <v>0</v>
      </c>
      <c r="K92" s="146">
        <f t="shared" si="9"/>
        <v>0</v>
      </c>
    </row>
    <row r="93" spans="1:11" ht="15">
      <c r="A93" s="163">
        <v>1200</v>
      </c>
      <c r="B93" s="136" t="s">
        <v>224</v>
      </c>
      <c r="C93" s="137">
        <f>C94</f>
        <v>8927.4</v>
      </c>
      <c r="D93" s="137">
        <f>D94</f>
        <v>3350</v>
      </c>
      <c r="E93" s="168">
        <f>D93/C93*100</f>
        <v>37.52492326993302</v>
      </c>
      <c r="F93" s="137">
        <f>F94</f>
        <v>0</v>
      </c>
      <c r="G93" s="137">
        <f>G94</f>
        <v>0</v>
      </c>
      <c r="H93" s="169"/>
      <c r="I93" s="137">
        <f aca="true" t="shared" si="11" ref="I93:J96">C93+F93</f>
        <v>8927.4</v>
      </c>
      <c r="J93" s="137">
        <f t="shared" si="11"/>
        <v>3350</v>
      </c>
      <c r="K93" s="149">
        <f t="shared" si="9"/>
        <v>37.52492326993302</v>
      </c>
    </row>
    <row r="94" spans="1:11" ht="15">
      <c r="A94" s="147" t="s">
        <v>225</v>
      </c>
      <c r="B94" s="141" t="s">
        <v>226</v>
      </c>
      <c r="C94" s="142">
        <v>8927.4</v>
      </c>
      <c r="D94" s="142">
        <v>3350</v>
      </c>
      <c r="E94" s="142">
        <f>D94/C94*100</f>
        <v>37.52492326993302</v>
      </c>
      <c r="F94" s="143">
        <v>0</v>
      </c>
      <c r="G94" s="143">
        <v>0</v>
      </c>
      <c r="H94" s="143">
        <v>0</v>
      </c>
      <c r="I94" s="144">
        <f t="shared" si="11"/>
        <v>8927.4</v>
      </c>
      <c r="J94" s="144">
        <f t="shared" si="11"/>
        <v>3350</v>
      </c>
      <c r="K94" s="146">
        <f>J94/I94*100</f>
        <v>37.52492326993302</v>
      </c>
    </row>
    <row r="95" spans="1:11" ht="28.5">
      <c r="A95" s="163">
        <v>1300</v>
      </c>
      <c r="B95" s="136" t="s">
        <v>227</v>
      </c>
      <c r="C95" s="137">
        <f aca="true" t="shared" si="12" ref="C95:H95">C96</f>
        <v>5926</v>
      </c>
      <c r="D95" s="137">
        <f t="shared" si="12"/>
        <v>618.1</v>
      </c>
      <c r="E95" s="137">
        <f t="shared" si="12"/>
        <v>10.430307121160984</v>
      </c>
      <c r="F95" s="137">
        <f t="shared" si="12"/>
        <v>0</v>
      </c>
      <c r="G95" s="137">
        <f t="shared" si="12"/>
        <v>0</v>
      </c>
      <c r="H95" s="148">
        <f t="shared" si="12"/>
        <v>0</v>
      </c>
      <c r="I95" s="137">
        <f t="shared" si="11"/>
        <v>5926</v>
      </c>
      <c r="J95" s="137">
        <f t="shared" si="11"/>
        <v>618.1</v>
      </c>
      <c r="K95" s="149">
        <f t="shared" si="9"/>
        <v>10.430307121160984</v>
      </c>
    </row>
    <row r="96" spans="1:11" ht="30">
      <c r="A96" s="147">
        <v>1301</v>
      </c>
      <c r="B96" s="141" t="s">
        <v>228</v>
      </c>
      <c r="C96" s="142">
        <v>5926</v>
      </c>
      <c r="D96" s="142">
        <v>618.1</v>
      </c>
      <c r="E96" s="142">
        <f t="shared" si="10"/>
        <v>10.430307121160984</v>
      </c>
      <c r="F96" s="143"/>
      <c r="G96" s="143">
        <v>0</v>
      </c>
      <c r="H96" s="143">
        <v>0</v>
      </c>
      <c r="I96" s="144">
        <f t="shared" si="11"/>
        <v>5926</v>
      </c>
      <c r="J96" s="144">
        <f t="shared" si="11"/>
        <v>618.1</v>
      </c>
      <c r="K96" s="146">
        <f t="shared" si="9"/>
        <v>10.430307121160984</v>
      </c>
    </row>
    <row r="97" spans="1:11" ht="14.25">
      <c r="A97" s="163">
        <v>1400</v>
      </c>
      <c r="B97" s="136" t="s">
        <v>229</v>
      </c>
      <c r="C97" s="137">
        <f>SUM(C98:C100)</f>
        <v>296887</v>
      </c>
      <c r="D97" s="137">
        <f>SUM(D98:D100)</f>
        <v>43896.6</v>
      </c>
      <c r="E97" s="137">
        <f>D97/C97*100</f>
        <v>14.785625507347913</v>
      </c>
      <c r="F97" s="159">
        <f>F98+F99+F100</f>
        <v>0</v>
      </c>
      <c r="G97" s="159">
        <f>SUM(G98:G100)</f>
        <v>0</v>
      </c>
      <c r="H97" s="159"/>
      <c r="I97" s="159">
        <v>0</v>
      </c>
      <c r="J97" s="159">
        <v>0</v>
      </c>
      <c r="K97" s="139">
        <v>0</v>
      </c>
    </row>
    <row r="98" spans="1:11" ht="45">
      <c r="A98" s="147">
        <v>1401</v>
      </c>
      <c r="B98" s="141" t="s">
        <v>230</v>
      </c>
      <c r="C98" s="142">
        <v>123158.4</v>
      </c>
      <c r="D98" s="142">
        <v>16421</v>
      </c>
      <c r="E98" s="142">
        <f t="shared" si="10"/>
        <v>13.333235897835632</v>
      </c>
      <c r="F98" s="143">
        <v>0</v>
      </c>
      <c r="G98" s="143">
        <v>0</v>
      </c>
      <c r="H98" s="143">
        <v>0</v>
      </c>
      <c r="I98" s="144">
        <v>0</v>
      </c>
      <c r="J98" s="145">
        <v>0</v>
      </c>
      <c r="K98" s="146">
        <v>0</v>
      </c>
    </row>
    <row r="99" spans="1:11" ht="15">
      <c r="A99" s="147">
        <v>1402</v>
      </c>
      <c r="B99" s="141" t="s">
        <v>231</v>
      </c>
      <c r="C99" s="142">
        <v>172328.6</v>
      </c>
      <c r="D99" s="142">
        <v>27475.6</v>
      </c>
      <c r="E99" s="142">
        <f t="shared" si="10"/>
        <v>15.943726113947424</v>
      </c>
      <c r="F99" s="143">
        <v>0</v>
      </c>
      <c r="G99" s="143">
        <v>0</v>
      </c>
      <c r="H99" s="143">
        <v>0</v>
      </c>
      <c r="I99" s="144">
        <v>0</v>
      </c>
      <c r="J99" s="145">
        <v>0</v>
      </c>
      <c r="K99" s="146">
        <v>0</v>
      </c>
    </row>
    <row r="100" spans="1:11" ht="15">
      <c r="A100" s="147">
        <v>1403</v>
      </c>
      <c r="B100" s="141" t="s">
        <v>232</v>
      </c>
      <c r="C100" s="142">
        <v>1400</v>
      </c>
      <c r="D100" s="142">
        <v>0</v>
      </c>
      <c r="E100" s="142">
        <f t="shared" si="10"/>
        <v>0</v>
      </c>
      <c r="F100" s="143">
        <v>0</v>
      </c>
      <c r="G100" s="143">
        <v>0</v>
      </c>
      <c r="H100" s="143">
        <v>0</v>
      </c>
      <c r="I100" s="144">
        <v>0</v>
      </c>
      <c r="J100" s="145">
        <v>0</v>
      </c>
      <c r="K100" s="146">
        <v>0</v>
      </c>
    </row>
    <row r="101" spans="1:11" ht="15" thickBot="1">
      <c r="A101" s="170" t="s">
        <v>233</v>
      </c>
      <c r="B101" s="171"/>
      <c r="C101" s="172">
        <f>C9+C18+C20+C25+C45+C64+C66+C75+C80+C82+C90+C93+C95+C97</f>
        <v>3254137.3</v>
      </c>
      <c r="D101" s="172">
        <f>D97+D95+D93+D90+D82+D80+D75+D66+D64+D45+D25+D20+D18+D9</f>
        <v>404634.2</v>
      </c>
      <c r="E101" s="172">
        <f>D101/C101*100</f>
        <v>12.434453825903413</v>
      </c>
      <c r="F101" s="172">
        <f>F9+F18+F20+F25+F45+F64+F66+F75+F80+F82+F90+F93+F95+F97</f>
        <v>568770.1000000001</v>
      </c>
      <c r="G101" s="172">
        <f>G97+G95+G93+G82+G80+G75+G66+G45+G25+G21+G18+G9+G20+G90</f>
        <v>67054.7</v>
      </c>
      <c r="H101" s="173">
        <f>G101/F101*100</f>
        <v>11.789420716735986</v>
      </c>
      <c r="I101" s="172">
        <f>I97+I95+I93+I90+I82+I80+I75+I66+I64+I45+I25+I20+I18+I9</f>
        <v>3454844.8000000007</v>
      </c>
      <c r="J101" s="172">
        <f>J97+J95+J93+J90+J82+J80+J75+J66+J64+J45+J25+J20+J18+J9</f>
        <v>427644.69999999995</v>
      </c>
      <c r="K101" s="174">
        <f t="shared" si="9"/>
        <v>12.378116087877517</v>
      </c>
    </row>
    <row r="102" spans="1:11" ht="12.75">
      <c r="A102" s="175"/>
      <c r="B102" s="176"/>
      <c r="C102" s="177"/>
      <c r="D102" s="110"/>
      <c r="E102" s="178"/>
      <c r="F102" s="112"/>
      <c r="G102" s="113"/>
      <c r="H102" s="113"/>
      <c r="I102" s="115"/>
      <c r="J102" s="115"/>
      <c r="K102" s="115"/>
    </row>
    <row r="103" spans="1:11" ht="12.75">
      <c r="A103" s="179"/>
      <c r="B103" s="180"/>
      <c r="C103" s="181"/>
      <c r="D103" s="181"/>
      <c r="E103" s="181"/>
      <c r="F103" s="181"/>
      <c r="G103" s="181"/>
      <c r="H103" s="181"/>
      <c r="I103" s="181"/>
      <c r="J103" s="181"/>
      <c r="K103" s="181"/>
    </row>
    <row r="104" spans="1:11" ht="12.75">
      <c r="A104" s="179"/>
      <c r="B104" s="180"/>
      <c r="C104" s="181"/>
      <c r="D104" s="182"/>
      <c r="E104" s="178"/>
      <c r="F104" s="112"/>
      <c r="G104" s="113"/>
      <c r="H104" s="113"/>
      <c r="I104" s="114"/>
      <c r="J104" s="114"/>
      <c r="K104" s="115"/>
    </row>
    <row r="105" spans="1:11" ht="12.75">
      <c r="A105" s="183" t="s">
        <v>234</v>
      </c>
      <c r="B105" s="183"/>
      <c r="C105" s="183"/>
      <c r="D105" s="184"/>
      <c r="E105" s="185"/>
      <c r="F105" s="185"/>
      <c r="G105" s="113"/>
      <c r="H105" s="113"/>
      <c r="I105" s="115"/>
      <c r="J105" s="115"/>
      <c r="K105" s="115"/>
    </row>
    <row r="106" spans="1:11" ht="12.75">
      <c r="A106" s="183" t="s">
        <v>235</v>
      </c>
      <c r="B106" s="183"/>
      <c r="C106" s="183"/>
      <c r="D106" s="186"/>
      <c r="E106" s="187" t="s">
        <v>236</v>
      </c>
      <c r="F106" s="187"/>
      <c r="G106" s="113"/>
      <c r="H106" s="113"/>
      <c r="I106" s="114"/>
      <c r="J106" s="115"/>
      <c r="K106" s="115"/>
    </row>
    <row r="107" spans="1:11" ht="12.75">
      <c r="A107" s="188"/>
      <c r="B107" s="189"/>
      <c r="C107" s="190"/>
      <c r="D107" s="191"/>
      <c r="E107" s="192"/>
      <c r="F107" s="193"/>
      <c r="G107" s="113"/>
      <c r="H107" s="113"/>
      <c r="I107" s="114"/>
      <c r="J107" s="115"/>
      <c r="K107" s="115"/>
    </row>
    <row r="108" spans="1:11" ht="12.75">
      <c r="A108" s="183" t="s">
        <v>237</v>
      </c>
      <c r="B108" s="183"/>
      <c r="C108" s="183"/>
      <c r="D108" s="194"/>
      <c r="E108" s="187" t="s">
        <v>238</v>
      </c>
      <c r="F108" s="187"/>
      <c r="G108" s="113"/>
      <c r="H108" s="113"/>
      <c r="I108" s="114"/>
      <c r="J108" s="115"/>
      <c r="K108" s="115"/>
    </row>
    <row r="109" spans="1:11" ht="12.75">
      <c r="A109" s="188"/>
      <c r="B109" s="195"/>
      <c r="C109" s="196"/>
      <c r="D109" s="197"/>
      <c r="E109" s="192"/>
      <c r="F109" s="193"/>
      <c r="G109" s="113"/>
      <c r="H109" s="113"/>
      <c r="I109" s="114"/>
      <c r="J109" s="115"/>
      <c r="K109" s="115"/>
    </row>
    <row r="110" spans="1:11" ht="12.75">
      <c r="A110" s="183" t="s">
        <v>239</v>
      </c>
      <c r="B110" s="183"/>
      <c r="C110" s="183"/>
      <c r="D110" s="194"/>
      <c r="E110" s="198" t="s">
        <v>240</v>
      </c>
      <c r="F110" s="198"/>
      <c r="G110" s="113"/>
      <c r="H110" s="113"/>
      <c r="I110" s="114"/>
      <c r="J110" s="115"/>
      <c r="K110" s="115"/>
    </row>
    <row r="111" spans="1:11" ht="12.75">
      <c r="A111" s="199"/>
      <c r="B111" s="200"/>
      <c r="C111" s="201"/>
      <c r="D111" s="184"/>
      <c r="E111" s="184"/>
      <c r="F111" s="185"/>
      <c r="G111" s="113"/>
      <c r="H111" s="113"/>
      <c r="I111" s="115"/>
      <c r="J111" s="115"/>
      <c r="K111" s="115"/>
    </row>
    <row r="112" spans="1:6" ht="12.75">
      <c r="A112" s="202"/>
      <c r="B112" s="202"/>
      <c r="C112" s="203" t="s">
        <v>241</v>
      </c>
      <c r="D112" s="204"/>
      <c r="E112" s="205" t="s">
        <v>242</v>
      </c>
      <c r="F112" s="202"/>
    </row>
  </sheetData>
  <sheetProtection/>
  <mergeCells count="35">
    <mergeCell ref="A105:C105"/>
    <mergeCell ref="A106:C106"/>
    <mergeCell ref="E106:F106"/>
    <mergeCell ref="A108:C108"/>
    <mergeCell ref="E108:F108"/>
    <mergeCell ref="A110:C110"/>
    <mergeCell ref="E110:F110"/>
    <mergeCell ref="G20:G21"/>
    <mergeCell ref="H20:H21"/>
    <mergeCell ref="I20:I21"/>
    <mergeCell ref="J20:J21"/>
    <mergeCell ref="K20:K21"/>
    <mergeCell ref="A101:B101"/>
    <mergeCell ref="A20:A21"/>
    <mergeCell ref="B20:B21"/>
    <mergeCell ref="C20:C21"/>
    <mergeCell ref="D20:D21"/>
    <mergeCell ref="E20:E21"/>
    <mergeCell ref="F20:F21"/>
    <mergeCell ref="G4:G5"/>
    <mergeCell ref="H4:H5"/>
    <mergeCell ref="I4:I5"/>
    <mergeCell ref="J4:J5"/>
    <mergeCell ref="K4:K5"/>
    <mergeCell ref="B6:K8"/>
    <mergeCell ref="A1:K1"/>
    <mergeCell ref="A3:A8"/>
    <mergeCell ref="B3:B5"/>
    <mergeCell ref="C3:E3"/>
    <mergeCell ref="F3:H3"/>
    <mergeCell ref="I3:K3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Заворотынская</cp:lastModifiedBy>
  <cp:lastPrinted>2018-02-28T07:16:01Z</cp:lastPrinted>
  <dcterms:created xsi:type="dcterms:W3CDTF">2006-05-12T06:58:42Z</dcterms:created>
  <dcterms:modified xsi:type="dcterms:W3CDTF">2018-05-14T05:52:05Z</dcterms:modified>
  <cp:category/>
  <cp:version/>
  <cp:contentType/>
  <cp:contentStatus/>
</cp:coreProperties>
</file>