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<sst xmlns="http://schemas.openxmlformats.org/spreadsheetml/2006/main" count="738" uniqueCount="294">
  <si>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</si>
  <si>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</si>
  <si>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</si>
  <si>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</si>
  <si>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</si>
  <si>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</si>
  <si>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</si>
  <si>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</si>
  <si>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</si>
  <si>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</si>
  <si>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</si>
  <si>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</si>
  <si>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</si>
  <si>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</si>
  <si>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</si>
  <si>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</si>
  <si>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</si>
  <si>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</si>
  <si>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</si>
  <si>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</si>
  <si>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</si>
  <si>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</si>
  <si>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</si>
  <si>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</si>
  <si>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</si>
  <si>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</si>
  <si>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</si>
  <si>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</si>
  <si>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</si>
  <si>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</si>
  <si>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</si>
  <si>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</si>
  <si>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</si>
  <si>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</si>
  <si>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</si>
  <si>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</si>
  <si>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</si>
  <si>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</si>
  <si>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</si>
  <si>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</si>
  <si>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</si>
  <si>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</si>
  <si>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</si>
  <si>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</si>
  <si>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</si>
  <si>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</si>
  <si>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</si>
  <si>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</si>
  <si>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</si>
  <si>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</si>
  <si>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</si>
  <si>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</si>
  <si>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</si>
  <si>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</si>
  <si>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</si>
  <si>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</si>
  <si>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</si>
  <si>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</si>
  <si>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</si>
  <si>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</si>
  <si>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</si>
  <si>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</si>
  <si>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</si>
  <si>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</si>
  <si>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</si>
  <si>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</si>
  <si>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1 квартал</t>
  </si>
  <si>
    <t>2 квартал</t>
  </si>
  <si>
    <t>3 квартал</t>
  </si>
  <si>
    <t>4 квартал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</si>
  <si>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</si>
  <si>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</si>
  <si>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</si>
  <si>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</si>
  <si>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 xml:space="preserve">% исп-ия к уточн. плану на 2021 год </t>
  </si>
  <si>
    <t xml:space="preserve">% исп-ия к первонач. плану на 2021 год </t>
  </si>
  <si>
    <t>00010102000010000110</t>
  </si>
  <si>
    <t>Налог на доходы физических лиц</t>
  </si>
  <si>
    <t>Первонач. план на 2021 год</t>
  </si>
  <si>
    <t>Уточн. план на 2021 год</t>
  </si>
  <si>
    <t>План                 на 9 месяцев 2021 года</t>
  </si>
  <si>
    <t xml:space="preserve">% исп-ия к плану за 9 месяцев 2021 года </t>
  </si>
  <si>
    <t>Отчет об исполнении консолидированного бюджета Октябрьского района по состоянию на 01.10.2021</t>
  </si>
  <si>
    <t>Исполнение на 01.10.2021</t>
  </si>
  <si>
    <t>Отчет  об  исполнении  консолидированного  бюджета  района  по  расходам на 1 октября 2021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</si>
  <si>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</si>
  <si>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</si>
  <si>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</si>
  <si>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</si>
  <si>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</si>
  <si>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</si>
  <si>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01.10.2021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</si>
  <si>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</si>
  <si>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</si>
  <si>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</si>
  <si>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</si>
  <si>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исполнения на 01.10.2021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</si>
  <si>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</si>
  <si>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</si>
  <si>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</si>
  <si>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</si>
  <si>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</si>
  <si>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</si>
  <si>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</si>
  <si>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</si>
  <si>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</si>
  <si>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</si>
  <si>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</si>
  <si>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</si>
  <si>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</si>
  <si>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</si>
  <si>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</si>
  <si>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 xml:space="preserve">  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</si>
  <si>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</si>
  <si>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</si>
  <si>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</si>
  <si>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</si>
  <si>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</si>
  <si>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</si>
  <si>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</si>
  <si>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</si>
  <si>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</si>
  <si>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</si>
  <si>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</si>
  <si>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</si>
  <si>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</si>
  <si>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</si>
  <si>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</si>
  <si>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</si>
  <si>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</si>
  <si>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</si>
  <si>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</si>
  <si>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</si>
  <si>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</si>
  <si>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</si>
  <si>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</si>
  <si>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</si>
  <si>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</si>
  <si>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</si>
  <si>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4110089020, 0120199990 -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</si>
  <si>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</si>
  <si>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</si>
  <si>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</si>
  <si>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</si>
  <si>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</si>
  <si>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</si>
  <si>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</si>
  <si>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</si>
  <si>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</si>
  <si>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</si>
  <si>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</si>
  <si>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</si>
  <si>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</si>
  <si>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</si>
  <si>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</si>
  <si>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</si>
  <si>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</si>
  <si>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</si>
  <si>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</si>
  <si>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</si>
  <si>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</si>
  <si>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082I482380, 082I4S2380)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</si>
  <si>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 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</si>
  <si>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</si>
  <si>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</si>
  <si>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</si>
  <si>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</si>
  <si>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</si>
  <si>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</si>
  <si>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</si>
  <si>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</si>
  <si>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</si>
  <si>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</si>
  <si>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</si>
  <si>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</si>
  <si>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</si>
  <si>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</si>
  <si>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</si>
  <si>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</si>
  <si>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</si>
  <si>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</si>
  <si>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 управления и содержания муниципального жилого фонда" (0230199990,0240199990)</t>
  </si>
  <si>
    <t>Капитальный ремонт жилого фонда 1030189102, 1030142120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</si>
  <si>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</si>
  <si>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</si>
  <si>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</si>
  <si>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</si>
  <si>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</si>
  <si>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</si>
  <si>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населению   сжиженного газа по социально-ориентированным розничным ценам  (1020184340)</t>
  </si>
  <si>
    <t>Расходы на реализацию полномочий в сфере ЖКХ (1010182591, 10101S2591)(4060082591, 40600S2591 , 0210182591, 02101S2591, поселения)</t>
  </si>
  <si>
    <t>Реализация программ (4060099990, 0210199990)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</si>
  <si>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</si>
  <si>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</si>
  <si>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 1010199990) (0210189101, 4060089101 поселения)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</si>
  <si>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</si>
  <si>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</si>
  <si>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Строительство и реконструкция объектов муниципальной собственности (1010142110,)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</si>
  <si>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</si>
  <si>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</si>
  <si>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</si>
  <si>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</si>
  <si>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</si>
  <si>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</si>
  <si>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</si>
  <si>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Расходы на благоустройство территорий муниципальных образований (105F282600, 105F2S2600)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</si>
  <si>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</si>
  <si>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</si>
  <si>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</si>
  <si>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</si>
  <si>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</si>
  <si>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</si>
  <si>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</si>
  <si>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</si>
  <si>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</si>
  <si>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</si>
  <si>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</si>
  <si>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</si>
  <si>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</si>
  <si>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</si>
  <si>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</si>
  <si>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</si>
  <si>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</si>
  <si>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</si>
  <si>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</si>
  <si>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</si>
  <si>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</si>
  <si>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</si>
  <si>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</si>
  <si>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</si>
  <si>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</si>
  <si>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</si>
  <si>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</si>
  <si>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</si>
  <si>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</si>
  <si>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</si>
  <si>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</si>
  <si>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</si>
  <si>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</si>
  <si>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</si>
  <si>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</si>
  <si>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</si>
  <si>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</si>
  <si>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</si>
  <si>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</si>
  <si>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</si>
  <si>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</si>
  <si>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</si>
  <si>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</si>
  <si>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</si>
  <si>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</si>
  <si>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</si>
  <si>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</si>
  <si>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</si>
  <si>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</si>
  <si>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</si>
  <si>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</si>
  <si>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</si>
  <si>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</si>
  <si>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</si>
  <si>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</si>
  <si>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</si>
  <si>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</si>
  <si>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</si>
  <si>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</si>
  <si>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</si>
  <si>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</si>
  <si>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</si>
  <si>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</si>
  <si>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</si>
  <si>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</si>
  <si>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</si>
  <si>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</si>
  <si>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</si>
  <si>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</si>
  <si>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</si>
  <si>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</si>
  <si>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</si>
  <si>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</si>
  <si>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</si>
  <si>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</si>
  <si>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</si>
  <si>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</si>
  <si>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</si>
  <si>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</si>
  <si>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</si>
  <si>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</si>
  <si>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</si>
  <si>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</si>
  <si>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</si>
  <si>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</si>
  <si>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</si>
  <si>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</si>
  <si>
    <t>Обеспечение жильем молодых семей (09201L4970) 01.40.02, 01.02.00, 01.41.04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</si>
</sst>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_-* #,##0.0\ _₽_-;\-* #,##0.0\ _₽_-;_-* &quot;-&quot;?\ _₽_-;_-@_-"/>
    <numFmt numFmtId="183" formatCode="#,##0.00_ ;\-#,##0.00\ "/>
  </numFmts>
  <fonts count="7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9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8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8" fontId="2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2" fillId="0" borderId="12" xfId="0" applyNumberFormat="1" applyFont="1" applyFill="1" applyBorder="1" applyAlignment="1">
      <alignment vertical="top" wrapText="1"/>
    </xf>
    <xf numFmtId="178" fontId="5" fillId="0" borderId="11" xfId="0" applyNumberFormat="1" applyFont="1" applyFill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horizontal="right" vertical="top" wrapText="1"/>
    </xf>
    <xf numFmtId="178" fontId="1" fillId="0" borderId="17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49" fontId="9" fillId="0" borderId="0" xfId="54" applyNumberFormat="1" applyFont="1" applyAlignment="1">
      <alignment horizontal="center" vertical="center" wrapText="1"/>
      <protection/>
    </xf>
    <xf numFmtId="0" fontId="9" fillId="0" borderId="0" xfId="54" applyNumberFormat="1" applyFont="1" applyAlignment="1">
      <alignment horizontal="left" vertical="center" wrapText="1"/>
      <protection/>
    </xf>
    <xf numFmtId="181" fontId="68" fillId="33" borderId="0" xfId="54" applyNumberFormat="1" applyFont="1" applyFill="1" applyAlignment="1">
      <alignment horizontal="center" vertical="center" wrapText="1"/>
      <protection/>
    </xf>
    <xf numFmtId="181" fontId="10" fillId="33" borderId="0" xfId="54" applyNumberFormat="1" applyFont="1" applyFill="1" applyBorder="1" applyAlignment="1">
      <alignment horizontal="center" vertical="center" wrapText="1"/>
      <protection/>
    </xf>
    <xf numFmtId="181" fontId="10" fillId="0" borderId="0" xfId="54" applyNumberFormat="1" applyFont="1" applyFill="1" applyAlignment="1">
      <alignment horizontal="center" vertical="center" wrapText="1"/>
      <protection/>
    </xf>
    <xf numFmtId="181" fontId="10" fillId="33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Alignment="1">
      <alignment horizontal="center" vertical="center" wrapText="1"/>
    </xf>
    <xf numFmtId="181" fontId="11" fillId="0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Fill="1" applyAlignment="1">
      <alignment horizontal="center" vertical="center" wrapText="1"/>
    </xf>
    <xf numFmtId="181" fontId="11" fillId="33" borderId="0" xfId="0" applyNumberFormat="1" applyFont="1" applyFill="1" applyAlignment="1">
      <alignment horizontal="center" vertical="center" wrapText="1"/>
    </xf>
    <xf numFmtId="181" fontId="11" fillId="0" borderId="0" xfId="0" applyNumberFormat="1" applyFont="1" applyAlignment="1">
      <alignment horizontal="center" vertical="center" wrapText="1"/>
    </xf>
    <xf numFmtId="49" fontId="12" fillId="0" borderId="18" xfId="54" applyNumberFormat="1" applyFont="1" applyBorder="1" applyAlignment="1">
      <alignment horizontal="center" vertical="center" wrapText="1"/>
      <protection/>
    </xf>
    <xf numFmtId="181" fontId="13" fillId="0" borderId="13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  <xf numFmtId="0" fontId="12" fillId="0" borderId="13" xfId="54" applyNumberFormat="1" applyFont="1" applyFill="1" applyBorder="1" applyAlignment="1">
      <alignment horizontal="center" vertical="center" wrapText="1"/>
      <protection/>
    </xf>
    <xf numFmtId="0" fontId="20" fillId="0" borderId="19" xfId="54" applyNumberFormat="1" applyFont="1" applyFill="1" applyBorder="1" applyAlignment="1">
      <alignment horizontal="center" vertical="center" wrapText="1"/>
      <protection/>
    </xf>
    <xf numFmtId="49" fontId="20" fillId="34" borderId="18" xfId="54" applyNumberFormat="1" applyFont="1" applyFill="1" applyBorder="1" applyAlignment="1" quotePrefix="1">
      <alignment horizontal="center" vertical="center" wrapText="1"/>
      <protection/>
    </xf>
    <xf numFmtId="0" fontId="20" fillId="34" borderId="13" xfId="54" applyNumberFormat="1" applyFont="1" applyFill="1" applyBorder="1" applyAlignment="1">
      <alignment horizontal="left" vertical="center" wrapText="1"/>
      <protection/>
    </xf>
    <xf numFmtId="181" fontId="14" fillId="34" borderId="13" xfId="54" applyNumberFormat="1" applyFont="1" applyFill="1" applyBorder="1" applyAlignment="1">
      <alignment horizontal="center" vertical="center" wrapText="1"/>
      <protection/>
    </xf>
    <xf numFmtId="181" fontId="13" fillId="34" borderId="13" xfId="0" applyNumberFormat="1" applyFont="1" applyFill="1" applyBorder="1" applyAlignment="1">
      <alignment horizontal="center" vertical="center" wrapText="1"/>
    </xf>
    <xf numFmtId="181" fontId="14" fillId="34" borderId="19" xfId="0" applyNumberFormat="1" applyFont="1" applyFill="1" applyBorder="1" applyAlignment="1">
      <alignment horizontal="center" vertical="center" wrapText="1"/>
    </xf>
    <xf numFmtId="49" fontId="12" fillId="0" borderId="18" xfId="54" applyNumberFormat="1" applyFont="1" applyFill="1" applyBorder="1" applyAlignment="1" quotePrefix="1">
      <alignment horizontal="center" vertical="center" wrapText="1"/>
      <protection/>
    </xf>
    <xf numFmtId="0" fontId="12" fillId="0" borderId="13" xfId="54" applyNumberFormat="1" applyFont="1" applyFill="1" applyBorder="1" applyAlignment="1">
      <alignment horizontal="left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3" fillId="0" borderId="13" xfId="0" applyNumberFormat="1" applyFont="1" applyFill="1" applyBorder="1" applyAlignment="1">
      <alignment horizontal="center" vertical="center" wrapText="1"/>
    </xf>
    <xf numFmtId="181" fontId="21" fillId="35" borderId="13" xfId="0" applyNumberFormat="1" applyFont="1" applyFill="1" applyBorder="1" applyAlignment="1">
      <alignment horizontal="center" vertical="center" wrapText="1"/>
    </xf>
    <xf numFmtId="181" fontId="21" fillId="5" borderId="13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4" fillId="0" borderId="19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49" fontId="12" fillId="0" borderId="18" xfId="54" applyNumberFormat="1" applyFont="1" applyFill="1" applyBorder="1" applyAlignment="1">
      <alignment horizontal="center" vertical="center" wrapText="1"/>
      <protection/>
    </xf>
    <xf numFmtId="181" fontId="69" fillId="5" borderId="13" xfId="0" applyNumberFormat="1" applyFont="1" applyFill="1" applyBorder="1" applyAlignment="1">
      <alignment horizontal="center" vertical="center" wrapText="1"/>
    </xf>
    <xf numFmtId="181" fontId="13" fillId="34" borderId="13" xfId="54" applyNumberFormat="1" applyFont="1" applyFill="1" applyBorder="1" applyAlignment="1">
      <alignment horizontal="center" vertical="center" wrapText="1"/>
      <protection/>
    </xf>
    <xf numFmtId="181" fontId="14" fillId="34" borderId="19" xfId="54" applyNumberFormat="1" applyFont="1" applyFill="1" applyBorder="1" applyAlignment="1">
      <alignment horizontal="center" vertical="center" wrapText="1"/>
      <protection/>
    </xf>
    <xf numFmtId="0" fontId="20" fillId="34" borderId="11" xfId="54" applyNumberFormat="1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horizontal="center" wrapText="1"/>
      <protection/>
    </xf>
    <xf numFmtId="49" fontId="12" fillId="33" borderId="18" xfId="54" applyNumberFormat="1" applyFont="1" applyFill="1" applyBorder="1" applyAlignment="1" quotePrefix="1">
      <alignment horizontal="center" vertical="center" wrapText="1"/>
      <protection/>
    </xf>
    <xf numFmtId="0" fontId="12" fillId="36" borderId="13" xfId="54" applyNumberFormat="1" applyFont="1" applyFill="1" applyBorder="1" applyAlignment="1">
      <alignment horizontal="left" vertical="center" wrapText="1"/>
      <protection/>
    </xf>
    <xf numFmtId="0" fontId="13" fillId="0" borderId="13" xfId="53" applyNumberFormat="1" applyFont="1" applyFill="1" applyBorder="1" applyAlignment="1" applyProtection="1">
      <alignment horizontal="left" vertical="center" wrapText="1"/>
      <protection hidden="1"/>
    </xf>
    <xf numFmtId="49" fontId="12" fillId="33" borderId="18" xfId="54" applyNumberFormat="1" applyFont="1" applyFill="1" applyBorder="1" applyAlignment="1">
      <alignment horizontal="center" vertical="center" wrapText="1"/>
      <protection/>
    </xf>
    <xf numFmtId="181" fontId="14" fillId="34" borderId="13" xfId="0" applyNumberFormat="1" applyFont="1" applyFill="1" applyBorder="1" applyAlignment="1">
      <alignment horizontal="center" vertical="center" wrapText="1"/>
    </xf>
    <xf numFmtId="181" fontId="23" fillId="34" borderId="13" xfId="0" applyNumberFormat="1" applyFont="1" applyFill="1" applyBorder="1" applyAlignment="1">
      <alignment horizontal="center" vertical="center" wrapText="1"/>
    </xf>
    <xf numFmtId="0" fontId="24" fillId="0" borderId="13" xfId="54" applyNumberFormat="1" applyFont="1" applyFill="1" applyBorder="1" applyAlignment="1">
      <alignment horizontal="left" vertical="center" wrapText="1"/>
      <protection/>
    </xf>
    <xf numFmtId="0" fontId="13" fillId="33" borderId="13" xfId="53" applyNumberFormat="1" applyFont="1" applyFill="1" applyBorder="1" applyAlignment="1" applyProtection="1">
      <alignment horizontal="left" vertical="center" wrapText="1"/>
      <protection hidden="1"/>
    </xf>
    <xf numFmtId="2" fontId="14" fillId="0" borderId="19" xfId="0" applyNumberFormat="1" applyFont="1" applyFill="1" applyBorder="1" applyAlignment="1">
      <alignment horizontal="center" vertical="center" wrapText="1"/>
    </xf>
    <xf numFmtId="49" fontId="13" fillId="0" borderId="18" xfId="54" applyNumberFormat="1" applyFont="1" applyFill="1" applyBorder="1" applyAlignment="1">
      <alignment horizontal="center" vertical="center" wrapText="1"/>
      <protection/>
    </xf>
    <xf numFmtId="0" fontId="13" fillId="0" borderId="13" xfId="54" applyNumberFormat="1" applyFont="1" applyFill="1" applyBorder="1" applyAlignment="1">
      <alignment horizontal="left" vertical="center" wrapText="1"/>
      <protection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33" borderId="13" xfId="54" applyNumberFormat="1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wrapText="1"/>
    </xf>
    <xf numFmtId="179" fontId="14" fillId="0" borderId="19" xfId="0" applyNumberFormat="1" applyFont="1" applyFill="1" applyBorder="1" applyAlignment="1">
      <alignment horizontal="center" vertical="center" wrapText="1"/>
    </xf>
    <xf numFmtId="49" fontId="20" fillId="34" borderId="18" xfId="54" applyNumberFormat="1" applyFont="1" applyFill="1" applyBorder="1" applyAlignment="1">
      <alignment horizontal="center" vertical="center" wrapText="1"/>
      <protection/>
    </xf>
    <xf numFmtId="0" fontId="20" fillId="34" borderId="13" xfId="0" applyNumberFormat="1" applyFont="1" applyFill="1" applyBorder="1" applyAlignment="1">
      <alignment horizontal="left" vertical="center" wrapText="1"/>
    </xf>
    <xf numFmtId="179" fontId="14" fillId="34" borderId="19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181" fontId="14" fillId="33" borderId="19" xfId="0" applyNumberFormat="1" applyFont="1" applyFill="1" applyBorder="1" applyAlignment="1">
      <alignment horizontal="center" vertical="center" wrapText="1"/>
    </xf>
    <xf numFmtId="181" fontId="13" fillId="37" borderId="13" xfId="0" applyNumberFormat="1" applyFont="1" applyFill="1" applyBorder="1" applyAlignment="1">
      <alignment horizontal="center" vertical="center" wrapText="1"/>
    </xf>
    <xf numFmtId="18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1" fontId="21" fillId="5" borderId="13" xfId="54" applyNumberFormat="1" applyFont="1" applyFill="1" applyBorder="1" applyAlignment="1">
      <alignment horizontal="center" vertical="center" wrapText="1"/>
      <protection/>
    </xf>
    <xf numFmtId="181" fontId="14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0" xfId="0" applyNumberFormat="1" applyFont="1" applyFill="1" applyBorder="1" applyAlignment="1">
      <alignment horizontal="center" vertical="center" wrapText="1"/>
    </xf>
    <xf numFmtId="181" fontId="13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1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>
      <alignment horizontal="left" vertical="center" wrapText="1"/>
      <protection/>
    </xf>
    <xf numFmtId="183" fontId="68" fillId="33" borderId="0" xfId="54" applyNumberFormat="1" applyFont="1" applyFill="1" applyBorder="1" applyAlignment="1">
      <alignment horizontal="center" vertical="center" wrapText="1"/>
      <protection/>
    </xf>
    <xf numFmtId="181" fontId="11" fillId="0" borderId="0" xfId="54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81" fontId="68" fillId="5" borderId="0" xfId="0" applyNumberFormat="1" applyFont="1" applyFill="1" applyBorder="1" applyAlignment="1">
      <alignment horizontal="center" vertical="center" wrapText="1"/>
    </xf>
    <xf numFmtId="181" fontId="10" fillId="5" borderId="0" xfId="0" applyNumberFormat="1" applyFont="1" applyFill="1" applyBorder="1" applyAlignment="1">
      <alignment horizontal="center" vertical="center" wrapText="1"/>
    </xf>
    <xf numFmtId="181" fontId="11" fillId="5" borderId="0" xfId="54" applyNumberFormat="1" applyFont="1" applyFill="1" applyBorder="1" applyAlignment="1">
      <alignment horizontal="center" vertical="center" wrapText="1"/>
      <protection/>
    </xf>
    <xf numFmtId="181" fontId="10" fillId="5" borderId="0" xfId="0" applyNumberFormat="1" applyFont="1" applyFill="1" applyAlignment="1">
      <alignment horizontal="center" vertical="center" wrapText="1"/>
    </xf>
    <xf numFmtId="181" fontId="10" fillId="38" borderId="0" xfId="0" applyNumberFormat="1" applyFont="1" applyFill="1" applyAlignment="1">
      <alignment horizontal="center" vertical="center" wrapText="1"/>
    </xf>
    <xf numFmtId="181" fontId="11" fillId="38" borderId="0" xfId="0" applyNumberFormat="1" applyFont="1" applyFill="1" applyAlignment="1">
      <alignment horizontal="center" vertical="center" wrapText="1"/>
    </xf>
    <xf numFmtId="181" fontId="26" fillId="33" borderId="0" xfId="0" applyNumberFormat="1" applyFont="1" applyFill="1" applyAlignment="1">
      <alignment horizontal="center" vertical="center" wrapText="1"/>
    </xf>
    <xf numFmtId="181" fontId="26" fillId="0" borderId="0" xfId="0" applyNumberFormat="1" applyFont="1" applyAlignment="1">
      <alignment horizontal="center" vertical="center" wrapText="1"/>
    </xf>
    <xf numFmtId="181" fontId="26" fillId="33" borderId="12" xfId="54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right" vertical="center" wrapText="1"/>
    </xf>
    <xf numFmtId="0" fontId="24" fillId="0" borderId="0" xfId="54" applyNumberFormat="1" applyFont="1" applyFill="1" applyBorder="1" applyAlignment="1">
      <alignment horizontal="left" vertical="center" wrapText="1"/>
      <protection/>
    </xf>
    <xf numFmtId="181" fontId="70" fillId="33" borderId="0" xfId="54" applyNumberFormat="1" applyFont="1" applyFill="1" applyBorder="1" applyAlignment="1">
      <alignment horizontal="center" vertical="center" wrapText="1"/>
      <protection/>
    </xf>
    <xf numFmtId="181" fontId="26" fillId="33" borderId="0" xfId="54" applyNumberFormat="1" applyFont="1" applyFill="1" applyBorder="1" applyAlignment="1">
      <alignment horizontal="center" vertical="center" wrapText="1"/>
      <protection/>
    </xf>
    <xf numFmtId="181" fontId="26" fillId="0" borderId="0" xfId="0" applyNumberFormat="1" applyFont="1" applyFill="1" applyBorder="1" applyAlignment="1">
      <alignment horizontal="left" vertical="center" wrapText="1"/>
    </xf>
    <xf numFmtId="181" fontId="26" fillId="33" borderId="0" xfId="0" applyNumberFormat="1" applyFont="1" applyFill="1" applyAlignment="1">
      <alignment horizontal="left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181" fontId="70" fillId="33" borderId="0" xfId="0" applyNumberFormat="1" applyFont="1" applyFill="1" applyBorder="1" applyAlignment="1">
      <alignment horizontal="center" vertical="center" wrapText="1"/>
    </xf>
    <xf numFmtId="181" fontId="26" fillId="33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81" fontId="70" fillId="33" borderId="0" xfId="0" applyNumberFormat="1" applyFont="1" applyFill="1" applyAlignment="1">
      <alignment horizontal="center" vertical="center" wrapText="1"/>
    </xf>
    <xf numFmtId="181" fontId="26" fillId="0" borderId="0" xfId="0" applyNumberFormat="1" applyFont="1" applyFill="1" applyAlignment="1">
      <alignment horizontal="center" vertical="center" wrapText="1"/>
    </xf>
    <xf numFmtId="0" fontId="26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2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178" fontId="4" fillId="0" borderId="2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2" fontId="2" fillId="0" borderId="14" xfId="43" applyFont="1" applyFill="1" applyBorder="1" applyAlignment="1">
      <alignment horizontal="center" vertical="top" wrapText="1"/>
    </xf>
    <xf numFmtId="172" fontId="2" fillId="0" borderId="22" xfId="43" applyFont="1" applyFill="1" applyBorder="1" applyAlignment="1">
      <alignment horizontal="center" vertical="top" wrapText="1"/>
    </xf>
    <xf numFmtId="0" fontId="24" fillId="0" borderId="0" xfId="54" applyNumberFormat="1" applyFont="1" applyFill="1" applyBorder="1" applyAlignment="1">
      <alignment horizontal="right" vertical="center" wrapText="1"/>
      <protection/>
    </xf>
    <xf numFmtId="181" fontId="26" fillId="0" borderId="0" xfId="54" applyNumberFormat="1" applyFont="1" applyFill="1" applyBorder="1" applyAlignment="1">
      <alignment horizontal="left" vertical="center" wrapText="1"/>
      <protection/>
    </xf>
    <xf numFmtId="0" fontId="25" fillId="34" borderId="24" xfId="54" applyNumberFormat="1" applyFont="1" applyFill="1" applyBorder="1" applyAlignment="1">
      <alignment horizontal="center" vertical="center" wrapText="1"/>
      <protection/>
    </xf>
    <xf numFmtId="0" fontId="25" fillId="34" borderId="20" xfId="54" applyNumberFormat="1" applyFont="1" applyFill="1" applyBorder="1" applyAlignment="1">
      <alignment horizontal="center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0" borderId="13" xfId="54" applyNumberFormat="1" applyFont="1" applyBorder="1" applyAlignment="1">
      <alignment horizontal="center" vertical="center" wrapText="1"/>
      <protection/>
    </xf>
    <xf numFmtId="181" fontId="13" fillId="0" borderId="13" xfId="0" applyNumberFormat="1" applyFont="1" applyBorder="1" applyAlignment="1">
      <alignment horizontal="center" vertical="center" wrapText="1"/>
    </xf>
    <xf numFmtId="181" fontId="15" fillId="5" borderId="13" xfId="0" applyNumberFormat="1" applyFont="1" applyFill="1" applyBorder="1" applyAlignment="1">
      <alignment horizontal="center" vertical="center" wrapText="1"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4" fillId="33" borderId="13" xfId="54" applyNumberFormat="1" applyFont="1" applyFill="1" applyBorder="1" applyAlignment="1">
      <alignment horizontal="center" vertical="center" wrapText="1"/>
      <protection/>
    </xf>
    <xf numFmtId="181" fontId="14" fillId="0" borderId="19" xfId="54" applyNumberFormat="1" applyFont="1" applyBorder="1" applyAlignment="1">
      <alignment horizontal="center" vertical="center" wrapText="1"/>
      <protection/>
    </xf>
    <xf numFmtId="181" fontId="14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81" fontId="13" fillId="0" borderId="13" xfId="54" applyNumberFormat="1" applyFont="1" applyFill="1" applyBorder="1" applyAlignment="1">
      <alignment horizontal="center" vertical="center" wrapText="1"/>
      <protection/>
    </xf>
    <xf numFmtId="181" fontId="19" fillId="0" borderId="13" xfId="0" applyNumberFormat="1" applyFont="1" applyBorder="1" applyAlignment="1">
      <alignment horizontal="center" vertical="center"/>
    </xf>
    <xf numFmtId="181" fontId="14" fillId="0" borderId="13" xfId="54" applyNumberFormat="1" applyFont="1" applyFill="1" applyBorder="1" applyAlignment="1">
      <alignment horizontal="center" vertical="center" wrapText="1"/>
      <protection/>
    </xf>
    <xf numFmtId="181" fontId="14" fillId="0" borderId="13" xfId="0" applyNumberFormat="1" applyFont="1" applyBorder="1" applyAlignment="1">
      <alignment horizontal="center" vertical="center" wrapText="1"/>
    </xf>
    <xf numFmtId="0" fontId="8" fillId="0" borderId="0" xfId="54" applyNumberFormat="1" applyFont="1" applyAlignment="1">
      <alignment horizontal="center" vertical="center" wrapText="1"/>
      <protection/>
    </xf>
    <xf numFmtId="49" fontId="12" fillId="0" borderId="25" xfId="54" applyNumberFormat="1" applyFont="1" applyBorder="1" applyAlignment="1">
      <alignment horizontal="center" vertical="center" wrapText="1"/>
      <protection/>
    </xf>
    <xf numFmtId="49" fontId="12" fillId="0" borderId="18" xfId="54" applyNumberFormat="1" applyFont="1" applyBorder="1" applyAlignment="1">
      <alignment horizontal="center" vertical="center" wrapText="1"/>
      <protection/>
    </xf>
    <xf numFmtId="0" fontId="12" fillId="0" borderId="26" xfId="54" applyNumberFormat="1" applyFont="1" applyBorder="1" applyAlignment="1">
      <alignment horizontal="center" vertical="center" wrapText="1"/>
      <protection/>
    </xf>
    <xf numFmtId="0" fontId="12" fillId="0" borderId="13" xfId="54" applyNumberFormat="1" applyFont="1" applyBorder="1" applyAlignment="1">
      <alignment horizontal="center" vertical="center" wrapText="1"/>
      <protection/>
    </xf>
    <xf numFmtId="181" fontId="13" fillId="0" borderId="26" xfId="54" applyNumberFormat="1" applyFont="1" applyFill="1" applyBorder="1" applyAlignment="1">
      <alignment horizontal="center" vertical="center" wrapText="1"/>
      <protection/>
    </xf>
    <xf numFmtId="181" fontId="13" fillId="0" borderId="26" xfId="0" applyNumberFormat="1" applyFont="1" applyBorder="1" applyAlignment="1">
      <alignment horizontal="center" vertical="center" wrapText="1"/>
    </xf>
    <xf numFmtId="181" fontId="14" fillId="0" borderId="27" xfId="0" applyNumberFormat="1" applyFont="1" applyFill="1" applyBorder="1" applyAlignment="1">
      <alignment horizontal="center" vertical="center" wrapText="1"/>
    </xf>
    <xf numFmtId="181" fontId="14" fillId="0" borderId="28" xfId="0" applyNumberFormat="1" applyFont="1" applyFill="1" applyBorder="1" applyAlignment="1">
      <alignment horizontal="center" vertical="center" wrapText="1"/>
    </xf>
    <xf numFmtId="181" fontId="14" fillId="0" borderId="2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2"/>
  <sheetViews>
    <sheetView zoomScalePageLayoutView="0" workbookViewId="0" topLeftCell="A1">
      <pane ySplit="1" topLeftCell="A211" activePane="bottomLeft" state="frozen"/>
      <selection pane="topLeft" activeCell="A1" sqref="A1"/>
      <selection pane="bottomLeft" activeCell="S23" sqref="S23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46.625" style="1" customWidth="1"/>
    <col min="4" max="4" width="11.125" style="1" customWidth="1"/>
    <col min="5" max="5" width="11.00390625" style="1" customWidth="1"/>
    <col min="6" max="6" width="11.625" style="1" customWidth="1"/>
    <col min="7" max="7" width="12.00390625" style="1" hidden="1" customWidth="1"/>
    <col min="8" max="8" width="10.125" style="1" hidden="1" customWidth="1"/>
    <col min="9" max="9" width="10.375" style="1" hidden="1" customWidth="1"/>
    <col min="10" max="10" width="14.25390625" style="1" hidden="1" customWidth="1" outlineLevel="1"/>
    <col min="11" max="11" width="11.00390625" style="1" customWidth="1" collapsed="1"/>
    <col min="12" max="12" width="10.75390625" style="1" customWidth="1"/>
    <col min="13" max="13" width="9.75390625" style="1" customWidth="1"/>
    <col min="14" max="14" width="10.375" style="1" customWidth="1"/>
    <col min="15" max="16384" width="9.125" style="1" customWidth="1"/>
  </cols>
  <sheetData>
    <row r="1" spans="1:14" ht="12.75">
      <c r="A1" s="197" t="s">
        <v>82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1" ht="9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4.25" customHeight="1">
      <c r="A3" s="47"/>
      <c r="B3" s="47"/>
      <c r="C3" s="48"/>
      <c r="D3" s="48"/>
      <c r="E3" s="48"/>
      <c r="F3" s="48"/>
      <c r="G3" s="48"/>
      <c r="H3" s="48"/>
      <c r="I3" s="49"/>
      <c r="J3" s="49"/>
      <c r="K3" s="50" t="s">
        <v>65</v>
      </c>
    </row>
    <row r="4" spans="1:14" ht="12.75" customHeight="1">
      <c r="A4" s="51" t="s">
        <v>39</v>
      </c>
      <c r="B4" s="51"/>
      <c r="C4" s="52"/>
      <c r="D4" s="192" t="s">
        <v>78</v>
      </c>
      <c r="E4" s="192" t="s">
        <v>79</v>
      </c>
      <c r="F4" s="192" t="s">
        <v>80</v>
      </c>
      <c r="G4" s="199" t="s">
        <v>66</v>
      </c>
      <c r="H4" s="199" t="s">
        <v>67</v>
      </c>
      <c r="I4" s="199" t="s">
        <v>68</v>
      </c>
      <c r="J4" s="199" t="s">
        <v>69</v>
      </c>
      <c r="K4" s="192" t="s">
        <v>83</v>
      </c>
      <c r="L4" s="192" t="s">
        <v>81</v>
      </c>
      <c r="M4" s="192" t="s">
        <v>74</v>
      </c>
      <c r="N4" s="192" t="s">
        <v>75</v>
      </c>
    </row>
    <row r="5" spans="1:14" ht="27.75" customHeight="1">
      <c r="A5" s="53" t="s">
        <v>44</v>
      </c>
      <c r="B5" s="53"/>
      <c r="C5" s="54" t="s">
        <v>16</v>
      </c>
      <c r="D5" s="193"/>
      <c r="E5" s="193"/>
      <c r="F5" s="193"/>
      <c r="G5" s="200"/>
      <c r="H5" s="200"/>
      <c r="I5" s="200"/>
      <c r="J5" s="200"/>
      <c r="K5" s="193"/>
      <c r="L5" s="193"/>
      <c r="M5" s="193"/>
      <c r="N5" s="193"/>
    </row>
    <row r="6" spans="1:14" ht="39.75" customHeight="1">
      <c r="A6" s="53"/>
      <c r="B6" s="53"/>
      <c r="C6" s="54"/>
      <c r="D6" s="194"/>
      <c r="E6" s="194"/>
      <c r="F6" s="194"/>
      <c r="G6" s="201"/>
      <c r="H6" s="201"/>
      <c r="I6" s="201"/>
      <c r="J6" s="201"/>
      <c r="K6" s="194"/>
      <c r="L6" s="194"/>
      <c r="M6" s="194"/>
      <c r="N6" s="194"/>
    </row>
    <row r="7" spans="1:14" ht="12.75">
      <c r="A7" s="195" t="s">
        <v>22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</row>
    <row r="8" spans="1:14" ht="12.75">
      <c r="A8" s="65" t="s">
        <v>3</v>
      </c>
      <c r="B8" s="65"/>
      <c r="C8" s="71" t="s">
        <v>64</v>
      </c>
      <c r="D8" s="64">
        <f aca="true" t="shared" si="0" ref="D8:J8">D9+D11+D12+D13+D15+D16+D18+D20+D14+D21+D17+D19+D10</f>
        <v>791176.0000000002</v>
      </c>
      <c r="E8" s="64">
        <f t="shared" si="0"/>
        <v>882198.6000000001</v>
      </c>
      <c r="F8" s="64">
        <f>F9+F11+F12+F13+F15+F16+F18+F20+F14+F21+F17+F19+F10</f>
        <v>681443.6000000002</v>
      </c>
      <c r="G8" s="64">
        <f t="shared" si="0"/>
        <v>234598.8</v>
      </c>
      <c r="H8" s="64">
        <f t="shared" si="0"/>
        <v>244803.8</v>
      </c>
      <c r="I8" s="64">
        <f t="shared" si="0"/>
        <v>202041.00000000006</v>
      </c>
      <c r="J8" s="64">
        <f t="shared" si="0"/>
        <v>200755</v>
      </c>
      <c r="K8" s="64">
        <f>K9+K11+K12+K13+K15+K16+K18+K20+K14+K21+K17+K19+K10</f>
        <v>693231.3</v>
      </c>
      <c r="L8" s="64">
        <f aca="true" t="shared" si="1" ref="L8:L13">K8*100/F8</f>
        <v>101.72981300286624</v>
      </c>
      <c r="M8" s="24">
        <f aca="true" t="shared" si="2" ref="M8:M13">K8*100/E8</f>
        <v>78.57995920646438</v>
      </c>
      <c r="N8" s="24">
        <f aca="true" t="shared" si="3" ref="N8:N20">K8*100/D8</f>
        <v>87.6203651273547</v>
      </c>
    </row>
    <row r="9" spans="1:14" ht="12.75">
      <c r="A9" s="12" t="s">
        <v>76</v>
      </c>
      <c r="B9" s="12"/>
      <c r="C9" s="55" t="s">
        <v>77</v>
      </c>
      <c r="D9" s="46">
        <v>603281.9</v>
      </c>
      <c r="E9" s="46">
        <f>G9+H9+I9+J9</f>
        <v>603388.2</v>
      </c>
      <c r="F9" s="46">
        <f>G9+H9+I9</f>
        <v>442383.1</v>
      </c>
      <c r="G9" s="46">
        <v>147654.5</v>
      </c>
      <c r="H9" s="46">
        <v>153514</v>
      </c>
      <c r="I9" s="20">
        <v>141214.6</v>
      </c>
      <c r="J9" s="72">
        <v>161005.1</v>
      </c>
      <c r="K9" s="72">
        <v>445161.9</v>
      </c>
      <c r="L9" s="20">
        <f t="shared" si="1"/>
        <v>100.62814334453554</v>
      </c>
      <c r="M9" s="72">
        <f t="shared" si="2"/>
        <v>73.7770311053481</v>
      </c>
      <c r="N9" s="18">
        <f t="shared" si="3"/>
        <v>73.79003082970002</v>
      </c>
    </row>
    <row r="10" spans="1:14" ht="25.5" customHeight="1">
      <c r="A10" s="12" t="s">
        <v>73</v>
      </c>
      <c r="B10" s="12"/>
      <c r="C10" s="28" t="s">
        <v>72</v>
      </c>
      <c r="D10" s="60">
        <v>3505.3</v>
      </c>
      <c r="E10" s="60">
        <f aca="true" t="shared" si="4" ref="E10:E26">G10+H10+I10+J10</f>
        <v>3505.3</v>
      </c>
      <c r="F10" s="46">
        <f aca="true" t="shared" si="5" ref="F10:F26">G10+H10+I10</f>
        <v>2782.8</v>
      </c>
      <c r="G10" s="60">
        <v>877.7</v>
      </c>
      <c r="H10" s="60">
        <v>963.9</v>
      </c>
      <c r="I10" s="17">
        <v>941.2</v>
      </c>
      <c r="J10" s="18">
        <v>722.5</v>
      </c>
      <c r="K10" s="18">
        <v>2902.8</v>
      </c>
      <c r="L10" s="20">
        <f t="shared" si="1"/>
        <v>104.31220353600689</v>
      </c>
      <c r="M10" s="18">
        <f t="shared" si="2"/>
        <v>82.81174221892562</v>
      </c>
      <c r="N10" s="18">
        <f t="shared" si="3"/>
        <v>82.81174221892562</v>
      </c>
    </row>
    <row r="11" spans="1:14" ht="12.75">
      <c r="A11" s="12" t="s">
        <v>8</v>
      </c>
      <c r="B11" s="12"/>
      <c r="C11" s="28" t="s">
        <v>5</v>
      </c>
      <c r="D11" s="60">
        <v>38268</v>
      </c>
      <c r="E11" s="60">
        <f t="shared" si="4"/>
        <v>53309.49999999999</v>
      </c>
      <c r="F11" s="46">
        <f t="shared" si="5"/>
        <v>52337.899999999994</v>
      </c>
      <c r="G11" s="60">
        <v>14864.8</v>
      </c>
      <c r="H11" s="60">
        <v>26841.6</v>
      </c>
      <c r="I11" s="17">
        <v>10631.5</v>
      </c>
      <c r="J11" s="18">
        <v>971.6</v>
      </c>
      <c r="K11" s="18">
        <v>54237.1</v>
      </c>
      <c r="L11" s="20">
        <f t="shared" si="1"/>
        <v>103.62872793902699</v>
      </c>
      <c r="M11" s="18">
        <f t="shared" si="2"/>
        <v>101.7400275748225</v>
      </c>
      <c r="N11" s="18">
        <f t="shared" si="3"/>
        <v>141.72964356642626</v>
      </c>
    </row>
    <row r="12" spans="1:14" ht="12.75">
      <c r="A12" s="12" t="s">
        <v>9</v>
      </c>
      <c r="B12" s="12"/>
      <c r="C12" s="28" t="s">
        <v>6</v>
      </c>
      <c r="D12" s="60">
        <v>8017</v>
      </c>
      <c r="E12" s="60">
        <f t="shared" si="4"/>
        <v>8320.5</v>
      </c>
      <c r="F12" s="46">
        <f t="shared" si="5"/>
        <v>5080.7</v>
      </c>
      <c r="G12" s="60">
        <v>1721.2</v>
      </c>
      <c r="H12" s="60">
        <v>1760.8</v>
      </c>
      <c r="I12" s="17">
        <v>1598.7</v>
      </c>
      <c r="J12" s="18">
        <v>3239.8</v>
      </c>
      <c r="K12" s="18">
        <v>5523.2</v>
      </c>
      <c r="L12" s="20">
        <f t="shared" si="1"/>
        <v>108.70942980297991</v>
      </c>
      <c r="M12" s="18">
        <f t="shared" si="2"/>
        <v>66.380626164293</v>
      </c>
      <c r="N12" s="18">
        <f t="shared" si="3"/>
        <v>68.89360109766746</v>
      </c>
    </row>
    <row r="13" spans="1:14" ht="12.75">
      <c r="A13" s="12" t="s">
        <v>10</v>
      </c>
      <c r="B13" s="12"/>
      <c r="C13" s="28" t="s">
        <v>21</v>
      </c>
      <c r="D13" s="60">
        <v>3755</v>
      </c>
      <c r="E13" s="60">
        <f t="shared" si="4"/>
        <v>3755</v>
      </c>
      <c r="F13" s="46">
        <f t="shared" si="5"/>
        <v>2932.7</v>
      </c>
      <c r="G13" s="60">
        <v>873.5</v>
      </c>
      <c r="H13" s="60">
        <v>1047</v>
      </c>
      <c r="I13" s="17">
        <v>1012.2</v>
      </c>
      <c r="J13" s="18">
        <v>822.3</v>
      </c>
      <c r="K13" s="18">
        <v>3115</v>
      </c>
      <c r="L13" s="20">
        <f t="shared" si="1"/>
        <v>106.21611484297746</v>
      </c>
      <c r="M13" s="18">
        <f t="shared" si="2"/>
        <v>82.9560585885486</v>
      </c>
      <c r="N13" s="18">
        <f t="shared" si="3"/>
        <v>82.9560585885486</v>
      </c>
    </row>
    <row r="14" spans="1:14" ht="21.75" customHeight="1" hidden="1">
      <c r="A14" s="12" t="s">
        <v>35</v>
      </c>
      <c r="B14" s="12"/>
      <c r="C14" s="28" t="s">
        <v>36</v>
      </c>
      <c r="D14" s="60"/>
      <c r="E14" s="60">
        <f t="shared" si="4"/>
        <v>0</v>
      </c>
      <c r="F14" s="46">
        <f t="shared" si="5"/>
        <v>0</v>
      </c>
      <c r="G14" s="60"/>
      <c r="H14" s="60"/>
      <c r="I14" s="17"/>
      <c r="J14" s="18"/>
      <c r="K14" s="18"/>
      <c r="L14" s="20"/>
      <c r="M14" s="18"/>
      <c r="N14" s="18" t="e">
        <f t="shared" si="3"/>
        <v>#DIV/0!</v>
      </c>
    </row>
    <row r="15" spans="1:14" ht="24">
      <c r="A15" s="13" t="s">
        <v>11</v>
      </c>
      <c r="B15" s="13"/>
      <c r="C15" s="28" t="s">
        <v>17</v>
      </c>
      <c r="D15" s="60">
        <v>98757.9</v>
      </c>
      <c r="E15" s="60">
        <f t="shared" si="4"/>
        <v>104507.90000000001</v>
      </c>
      <c r="F15" s="46">
        <f t="shared" si="5"/>
        <v>77791.70000000001</v>
      </c>
      <c r="G15" s="60">
        <v>18527.3</v>
      </c>
      <c r="H15" s="60">
        <v>28834</v>
      </c>
      <c r="I15" s="17">
        <v>30430.4</v>
      </c>
      <c r="J15" s="18">
        <v>26716.2</v>
      </c>
      <c r="K15" s="18">
        <v>79378.5</v>
      </c>
      <c r="L15" s="20">
        <f aca="true" t="shared" si="6" ref="L15:L20">K15*100/F15</f>
        <v>102.03980630324314</v>
      </c>
      <c r="M15" s="18">
        <f aca="true" t="shared" si="7" ref="M15:M20">K15*100/E15</f>
        <v>75.95454506310048</v>
      </c>
      <c r="N15" s="18">
        <f t="shared" si="3"/>
        <v>80.37686099036128</v>
      </c>
    </row>
    <row r="16" spans="1:14" ht="12.75">
      <c r="A16" s="29" t="s">
        <v>14</v>
      </c>
      <c r="B16" s="29"/>
      <c r="C16" s="28" t="s">
        <v>13</v>
      </c>
      <c r="D16" s="60">
        <v>6005.5</v>
      </c>
      <c r="E16" s="60">
        <f t="shared" si="4"/>
        <v>17533</v>
      </c>
      <c r="F16" s="46">
        <f t="shared" si="5"/>
        <v>15377.400000000001</v>
      </c>
      <c r="G16" s="60">
        <v>5285.3</v>
      </c>
      <c r="H16" s="60">
        <v>4913.9</v>
      </c>
      <c r="I16" s="17">
        <v>5178.2</v>
      </c>
      <c r="J16" s="18">
        <v>2155.6</v>
      </c>
      <c r="K16" s="18">
        <v>15568.8</v>
      </c>
      <c r="L16" s="20">
        <f t="shared" si="6"/>
        <v>101.24468375668188</v>
      </c>
      <c r="M16" s="18">
        <f t="shared" si="7"/>
        <v>88.79712542063537</v>
      </c>
      <c r="N16" s="18">
        <f t="shared" si="3"/>
        <v>259.2423611689285</v>
      </c>
    </row>
    <row r="17" spans="1:14" ht="24">
      <c r="A17" s="30" t="s">
        <v>40</v>
      </c>
      <c r="B17" s="30"/>
      <c r="C17" s="28" t="s">
        <v>41</v>
      </c>
      <c r="D17" s="60">
        <v>15466.8</v>
      </c>
      <c r="E17" s="60">
        <f t="shared" si="4"/>
        <v>21538.8</v>
      </c>
      <c r="F17" s="46">
        <f t="shared" si="5"/>
        <v>17838.3</v>
      </c>
      <c r="G17" s="60">
        <v>4876.3</v>
      </c>
      <c r="H17" s="60">
        <v>9269</v>
      </c>
      <c r="I17" s="17">
        <v>3693</v>
      </c>
      <c r="J17" s="18">
        <v>3700.5</v>
      </c>
      <c r="K17" s="18">
        <v>19737.1</v>
      </c>
      <c r="L17" s="20">
        <f t="shared" si="6"/>
        <v>110.64451208915646</v>
      </c>
      <c r="M17" s="18">
        <f t="shared" si="7"/>
        <v>91.63509573420988</v>
      </c>
      <c r="N17" s="18">
        <f t="shared" si="3"/>
        <v>127.60946026327359</v>
      </c>
    </row>
    <row r="18" spans="1:14" ht="24">
      <c r="A18" s="30" t="s">
        <v>18</v>
      </c>
      <c r="B18" s="30"/>
      <c r="C18" s="28" t="s">
        <v>15</v>
      </c>
      <c r="D18" s="60">
        <v>10514.8</v>
      </c>
      <c r="E18" s="60">
        <f t="shared" si="4"/>
        <v>17580</v>
      </c>
      <c r="F18" s="46">
        <f t="shared" si="5"/>
        <v>15946.400000000001</v>
      </c>
      <c r="G18" s="60">
        <v>3613.6</v>
      </c>
      <c r="H18" s="60">
        <v>7917.6</v>
      </c>
      <c r="I18" s="17">
        <v>4415.2</v>
      </c>
      <c r="J18" s="18">
        <v>1633.6</v>
      </c>
      <c r="K18" s="18">
        <v>17869.5</v>
      </c>
      <c r="L18" s="20">
        <f t="shared" si="6"/>
        <v>112.0597752470777</v>
      </c>
      <c r="M18" s="18">
        <f t="shared" si="7"/>
        <v>101.6467576791809</v>
      </c>
      <c r="N18" s="18">
        <f t="shared" si="3"/>
        <v>169.94617111119567</v>
      </c>
    </row>
    <row r="19" spans="1:14" ht="12.75">
      <c r="A19" s="30" t="s">
        <v>57</v>
      </c>
      <c r="B19" s="30"/>
      <c r="C19" s="28" t="s">
        <v>58</v>
      </c>
      <c r="D19" s="60">
        <v>11</v>
      </c>
      <c r="E19" s="60">
        <f t="shared" si="4"/>
        <v>11</v>
      </c>
      <c r="F19" s="46">
        <f t="shared" si="5"/>
        <v>4</v>
      </c>
      <c r="G19" s="60">
        <v>1</v>
      </c>
      <c r="H19" s="60">
        <v>1</v>
      </c>
      <c r="I19" s="17">
        <v>2</v>
      </c>
      <c r="J19" s="18">
        <v>7</v>
      </c>
      <c r="K19" s="18">
        <v>2</v>
      </c>
      <c r="L19" s="20">
        <f t="shared" si="6"/>
        <v>50</v>
      </c>
      <c r="M19" s="18">
        <f t="shared" si="7"/>
        <v>18.181818181818183</v>
      </c>
      <c r="N19" s="18">
        <f t="shared" si="3"/>
        <v>18.181818181818183</v>
      </c>
    </row>
    <row r="20" spans="1:14" ht="12.75">
      <c r="A20" s="21" t="s">
        <v>12</v>
      </c>
      <c r="B20" s="21"/>
      <c r="C20" s="28" t="s">
        <v>7</v>
      </c>
      <c r="D20" s="60">
        <v>3592.8</v>
      </c>
      <c r="E20" s="60">
        <f t="shared" si="4"/>
        <v>48749.4</v>
      </c>
      <c r="F20" s="46">
        <f t="shared" si="5"/>
        <v>48968.6</v>
      </c>
      <c r="G20" s="60">
        <v>36303.6</v>
      </c>
      <c r="H20" s="60">
        <v>9741</v>
      </c>
      <c r="I20" s="17">
        <v>2924</v>
      </c>
      <c r="J20" s="18">
        <v>-219.2</v>
      </c>
      <c r="K20" s="18">
        <v>49711.5</v>
      </c>
      <c r="L20" s="20">
        <f t="shared" si="6"/>
        <v>101.5170946279861</v>
      </c>
      <c r="M20" s="18">
        <f t="shared" si="7"/>
        <v>101.97356275154155</v>
      </c>
      <c r="N20" s="18">
        <f t="shared" si="3"/>
        <v>1383.6422845691382</v>
      </c>
    </row>
    <row r="21" spans="1:14" ht="12.75">
      <c r="A21" s="31" t="s">
        <v>37</v>
      </c>
      <c r="B21" s="63"/>
      <c r="C21" s="16" t="s">
        <v>38</v>
      </c>
      <c r="D21" s="60"/>
      <c r="E21" s="60">
        <f t="shared" si="4"/>
        <v>0</v>
      </c>
      <c r="F21" s="46">
        <f t="shared" si="5"/>
        <v>0</v>
      </c>
      <c r="G21" s="60"/>
      <c r="H21" s="60"/>
      <c r="I21" s="17"/>
      <c r="J21" s="18"/>
      <c r="K21" s="18">
        <v>23.9</v>
      </c>
      <c r="L21" s="20"/>
      <c r="M21" s="18"/>
      <c r="N21" s="18"/>
    </row>
    <row r="22" spans="1:14" ht="12.75">
      <c r="A22" s="25" t="s">
        <v>1</v>
      </c>
      <c r="B22" s="25"/>
      <c r="C22" s="32" t="s">
        <v>0</v>
      </c>
      <c r="D22" s="33">
        <f aca="true" t="shared" si="8" ref="D22:J22">D23+D24+D26+D25</f>
        <v>2873084.6</v>
      </c>
      <c r="E22" s="33">
        <f>E23+E24+E26+E25-0.1</f>
        <v>3063685.7</v>
      </c>
      <c r="F22" s="33">
        <f t="shared" si="8"/>
        <v>2320196.7</v>
      </c>
      <c r="G22" s="33">
        <f t="shared" si="8"/>
        <v>729443.6</v>
      </c>
      <c r="H22" s="33">
        <f t="shared" si="8"/>
        <v>732259</v>
      </c>
      <c r="I22" s="33">
        <f t="shared" si="8"/>
        <v>858494.1</v>
      </c>
      <c r="J22" s="33">
        <f t="shared" si="8"/>
        <v>743489.1</v>
      </c>
      <c r="K22" s="33">
        <f>K23+K24+K26+K25</f>
        <v>2136049</v>
      </c>
      <c r="L22" s="27">
        <f aca="true" t="shared" si="9" ref="L22:L27">K22*100/F22</f>
        <v>92.06327204930513</v>
      </c>
      <c r="M22" s="24">
        <f aca="true" t="shared" si="10" ref="M22:M27">K22*100/E22</f>
        <v>69.72154486995842</v>
      </c>
      <c r="N22" s="24">
        <f>K22*100/D22</f>
        <v>74.34688835824744</v>
      </c>
    </row>
    <row r="23" spans="1:14" ht="24">
      <c r="A23" s="83" t="s">
        <v>63</v>
      </c>
      <c r="B23" s="12"/>
      <c r="C23" s="34" t="s">
        <v>20</v>
      </c>
      <c r="D23" s="59">
        <v>2873084.6</v>
      </c>
      <c r="E23" s="60">
        <f t="shared" si="4"/>
        <v>3056497.7</v>
      </c>
      <c r="F23" s="46">
        <f t="shared" si="5"/>
        <v>2314516.7</v>
      </c>
      <c r="G23" s="60">
        <v>731856.5</v>
      </c>
      <c r="H23" s="60">
        <v>725767.3</v>
      </c>
      <c r="I23" s="18">
        <v>856892.9</v>
      </c>
      <c r="J23" s="18">
        <f>742000.3-19.3</f>
        <v>741981</v>
      </c>
      <c r="K23" s="18">
        <v>2128199.6</v>
      </c>
      <c r="L23" s="20">
        <f t="shared" si="9"/>
        <v>91.95006456423494</v>
      </c>
      <c r="M23" s="18">
        <f t="shared" si="10"/>
        <v>69.628699540654</v>
      </c>
      <c r="N23" s="18">
        <f>K23*100/D23</f>
        <v>74.0736837335037</v>
      </c>
    </row>
    <row r="24" spans="1:14" ht="18.75" customHeight="1">
      <c r="A24" s="83" t="s">
        <v>71</v>
      </c>
      <c r="B24" s="14"/>
      <c r="C24" s="35" t="s">
        <v>19</v>
      </c>
      <c r="D24" s="67"/>
      <c r="E24" s="60">
        <f t="shared" si="4"/>
        <v>11500.000000000002</v>
      </c>
      <c r="F24" s="46">
        <f t="shared" si="5"/>
        <v>9991.900000000001</v>
      </c>
      <c r="G24" s="67">
        <v>1500</v>
      </c>
      <c r="H24" s="67">
        <v>6890.7</v>
      </c>
      <c r="I24" s="18">
        <v>1601.2</v>
      </c>
      <c r="J24" s="18">
        <v>1508.1</v>
      </c>
      <c r="K24" s="18">
        <v>12172.5</v>
      </c>
      <c r="L24" s="20">
        <f t="shared" si="9"/>
        <v>121.82367717851457</v>
      </c>
      <c r="M24" s="18">
        <f t="shared" si="10"/>
        <v>105.8478260869565</v>
      </c>
      <c r="N24" s="18"/>
    </row>
    <row r="25" spans="1:14" ht="61.5" customHeight="1">
      <c r="A25" s="83" t="s">
        <v>70</v>
      </c>
      <c r="B25" s="15" t="s">
        <v>61</v>
      </c>
      <c r="C25" s="16" t="s">
        <v>61</v>
      </c>
      <c r="D25" s="60"/>
      <c r="E25" s="60">
        <f t="shared" si="4"/>
        <v>563.6</v>
      </c>
      <c r="F25" s="46">
        <f t="shared" si="5"/>
        <v>563.6</v>
      </c>
      <c r="G25" s="60">
        <v>563.6</v>
      </c>
      <c r="H25" s="60"/>
      <c r="I25" s="18"/>
      <c r="J25" s="18"/>
      <c r="K25" s="18">
        <v>563.6</v>
      </c>
      <c r="L25" s="20">
        <f t="shared" si="9"/>
        <v>100</v>
      </c>
      <c r="M25" s="18">
        <f t="shared" si="10"/>
        <v>100</v>
      </c>
      <c r="N25" s="18"/>
    </row>
    <row r="26" spans="1:14" ht="39" customHeight="1">
      <c r="A26" s="83" t="s">
        <v>62</v>
      </c>
      <c r="B26" s="68"/>
      <c r="C26" s="19" t="s">
        <v>60</v>
      </c>
      <c r="D26" s="73"/>
      <c r="E26" s="60">
        <f t="shared" si="4"/>
        <v>-4875.5</v>
      </c>
      <c r="F26" s="46">
        <f t="shared" si="5"/>
        <v>-4875.5</v>
      </c>
      <c r="G26" s="73">
        <v>-4476.5</v>
      </c>
      <c r="H26" s="73">
        <v>-399</v>
      </c>
      <c r="I26" s="18"/>
      <c r="J26" s="18"/>
      <c r="K26" s="18">
        <v>-4886.7</v>
      </c>
      <c r="L26" s="20">
        <f t="shared" si="9"/>
        <v>100.22972002871501</v>
      </c>
      <c r="M26" s="18">
        <f t="shared" si="10"/>
        <v>100.22972002871501</v>
      </c>
      <c r="N26" s="18"/>
    </row>
    <row r="27" spans="1:14" ht="12.75">
      <c r="A27" s="21"/>
      <c r="B27" s="22"/>
      <c r="C27" s="23" t="s">
        <v>4</v>
      </c>
      <c r="D27" s="24">
        <f aca="true" t="shared" si="11" ref="D27:J27">D22+D8</f>
        <v>3664260.6000000006</v>
      </c>
      <c r="E27" s="24">
        <f t="shared" si="11"/>
        <v>3945884.3000000003</v>
      </c>
      <c r="F27" s="24">
        <f t="shared" si="11"/>
        <v>3001640.3000000003</v>
      </c>
      <c r="G27" s="24">
        <f t="shared" si="11"/>
        <v>964042.3999999999</v>
      </c>
      <c r="H27" s="24">
        <f t="shared" si="11"/>
        <v>977062.8</v>
      </c>
      <c r="I27" s="24">
        <f t="shared" si="11"/>
        <v>1060535.1</v>
      </c>
      <c r="J27" s="24">
        <f t="shared" si="11"/>
        <v>944244.1</v>
      </c>
      <c r="K27" s="24">
        <f>K22+K8</f>
        <v>2829280.3</v>
      </c>
      <c r="L27" s="27">
        <f t="shared" si="9"/>
        <v>94.25780630677166</v>
      </c>
      <c r="M27" s="24">
        <f t="shared" si="10"/>
        <v>71.70205928237682</v>
      </c>
      <c r="N27" s="24">
        <f>K27*100/D27</f>
        <v>77.21285707681379</v>
      </c>
    </row>
    <row r="28" spans="1:14" ht="12.75">
      <c r="A28" s="189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27"/>
      <c r="M28" s="24"/>
      <c r="N28" s="18"/>
    </row>
    <row r="29" spans="1:14" ht="12.75">
      <c r="A29" s="195" t="s">
        <v>23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</row>
    <row r="30" spans="1:14" ht="12.75">
      <c r="A30" s="25" t="s">
        <v>3</v>
      </c>
      <c r="B30" s="25"/>
      <c r="C30" s="26" t="s">
        <v>64</v>
      </c>
      <c r="D30" s="27">
        <f aca="true" t="shared" si="12" ref="D30:J30">D31+D33+D35+D37+D34+D36+D39+D32</f>
        <v>18456</v>
      </c>
      <c r="E30" s="27">
        <f t="shared" si="12"/>
        <v>18511</v>
      </c>
      <c r="F30" s="27">
        <f t="shared" si="12"/>
        <v>14078.099999999999</v>
      </c>
      <c r="G30" s="27">
        <f t="shared" si="12"/>
        <v>4498.400000000001</v>
      </c>
      <c r="H30" s="27">
        <f t="shared" si="12"/>
        <v>5153.5</v>
      </c>
      <c r="I30" s="27">
        <f t="shared" si="12"/>
        <v>4426.2</v>
      </c>
      <c r="J30" s="27">
        <f t="shared" si="12"/>
        <v>4432.9</v>
      </c>
      <c r="K30" s="27">
        <f>K31+K33+K35+K37+K34+K36+K39+K32+K38</f>
        <v>15322.5</v>
      </c>
      <c r="L30" s="27">
        <f aca="true" t="shared" si="13" ref="L30:L35">K30*100/F30</f>
        <v>108.83926097981973</v>
      </c>
      <c r="M30" s="24">
        <f aca="true" t="shared" si="14" ref="M30:M35">K30*100/E30</f>
        <v>82.77510669331748</v>
      </c>
      <c r="N30" s="24">
        <f aca="true" t="shared" si="15" ref="N30:N35">K30*100/D30</f>
        <v>83.02178153446035</v>
      </c>
    </row>
    <row r="31" spans="1:18" ht="12.75">
      <c r="A31" s="12" t="s">
        <v>76</v>
      </c>
      <c r="B31" s="12"/>
      <c r="C31" s="55" t="s">
        <v>77</v>
      </c>
      <c r="D31" s="46">
        <v>15000</v>
      </c>
      <c r="E31" s="60">
        <f aca="true" t="shared" si="16" ref="E31:E37">G31+H31+I31+J31</f>
        <v>15325</v>
      </c>
      <c r="F31" s="46">
        <f aca="true" t="shared" si="17" ref="F31:F42">G31+H31+I31</f>
        <v>12010</v>
      </c>
      <c r="G31" s="46">
        <v>3735</v>
      </c>
      <c r="H31" s="46">
        <v>4660</v>
      </c>
      <c r="I31" s="17">
        <v>3615</v>
      </c>
      <c r="J31" s="18">
        <v>3315</v>
      </c>
      <c r="K31" s="72">
        <v>12910.5</v>
      </c>
      <c r="L31" s="20">
        <f t="shared" si="13"/>
        <v>107.49791840133223</v>
      </c>
      <c r="M31" s="18">
        <f t="shared" si="14"/>
        <v>84.2446982055465</v>
      </c>
      <c r="N31" s="18">
        <f t="shared" si="15"/>
        <v>86.07</v>
      </c>
      <c r="R31" s="2"/>
    </row>
    <row r="32" spans="1:14" ht="25.5" customHeight="1">
      <c r="A32" s="12" t="s">
        <v>73</v>
      </c>
      <c r="B32" s="12"/>
      <c r="C32" s="28" t="s">
        <v>72</v>
      </c>
      <c r="D32" s="60">
        <v>1636.6</v>
      </c>
      <c r="E32" s="60">
        <f t="shared" si="16"/>
        <v>1316.6000000000001</v>
      </c>
      <c r="F32" s="46">
        <f t="shared" si="17"/>
        <v>905.8000000000001</v>
      </c>
      <c r="G32" s="46">
        <v>408.6</v>
      </c>
      <c r="H32" s="46">
        <v>88.6</v>
      </c>
      <c r="I32" s="17">
        <v>408.6</v>
      </c>
      <c r="J32" s="18">
        <v>410.8</v>
      </c>
      <c r="K32" s="72">
        <v>1355.3</v>
      </c>
      <c r="L32" s="20">
        <f t="shared" si="13"/>
        <v>149.62464120114814</v>
      </c>
      <c r="M32" s="18">
        <f t="shared" si="14"/>
        <v>102.93938933616892</v>
      </c>
      <c r="N32" s="18">
        <f t="shared" si="15"/>
        <v>82.81192716607602</v>
      </c>
    </row>
    <row r="33" spans="1:14" ht="12.75">
      <c r="A33" s="12" t="s">
        <v>9</v>
      </c>
      <c r="B33" s="12"/>
      <c r="C33" s="28" t="s">
        <v>6</v>
      </c>
      <c r="D33" s="60">
        <v>1081.2</v>
      </c>
      <c r="E33" s="60">
        <f t="shared" si="16"/>
        <v>1081.2</v>
      </c>
      <c r="F33" s="46">
        <f t="shared" si="17"/>
        <v>563.3000000000001</v>
      </c>
      <c r="G33" s="60">
        <v>171.8</v>
      </c>
      <c r="H33" s="60">
        <v>171.9</v>
      </c>
      <c r="I33" s="17">
        <v>219.6</v>
      </c>
      <c r="J33" s="18">
        <v>517.9</v>
      </c>
      <c r="K33" s="18">
        <v>478.6</v>
      </c>
      <c r="L33" s="20">
        <f t="shared" si="13"/>
        <v>84.96360731404224</v>
      </c>
      <c r="M33" s="18">
        <f t="shared" si="14"/>
        <v>44.26563078061413</v>
      </c>
      <c r="N33" s="18">
        <f t="shared" si="15"/>
        <v>44.26563078061413</v>
      </c>
    </row>
    <row r="34" spans="1:14" ht="12.75">
      <c r="A34" s="12" t="s">
        <v>10</v>
      </c>
      <c r="B34" s="12"/>
      <c r="C34" s="28" t="s">
        <v>21</v>
      </c>
      <c r="D34" s="60">
        <v>26</v>
      </c>
      <c r="E34" s="60">
        <f t="shared" si="16"/>
        <v>26</v>
      </c>
      <c r="F34" s="46">
        <f t="shared" si="17"/>
        <v>18</v>
      </c>
      <c r="G34" s="60">
        <v>6</v>
      </c>
      <c r="H34" s="60">
        <v>6</v>
      </c>
      <c r="I34" s="17">
        <v>6</v>
      </c>
      <c r="J34" s="18">
        <v>8</v>
      </c>
      <c r="K34" s="18">
        <v>5.7</v>
      </c>
      <c r="L34" s="20">
        <f t="shared" si="13"/>
        <v>31.666666666666668</v>
      </c>
      <c r="M34" s="18">
        <f t="shared" si="14"/>
        <v>21.923076923076923</v>
      </c>
      <c r="N34" s="18">
        <f t="shared" si="15"/>
        <v>21.923076923076923</v>
      </c>
    </row>
    <row r="35" spans="1:14" ht="24">
      <c r="A35" s="13" t="s">
        <v>11</v>
      </c>
      <c r="B35" s="13"/>
      <c r="C35" s="28" t="s">
        <v>17</v>
      </c>
      <c r="D35" s="60">
        <v>612.2</v>
      </c>
      <c r="E35" s="60">
        <f t="shared" si="16"/>
        <v>612.2</v>
      </c>
      <c r="F35" s="46">
        <f t="shared" si="17"/>
        <v>456</v>
      </c>
      <c r="G35" s="60">
        <v>152</v>
      </c>
      <c r="H35" s="60">
        <v>152</v>
      </c>
      <c r="I35" s="17">
        <v>152</v>
      </c>
      <c r="J35" s="18">
        <v>156.2</v>
      </c>
      <c r="K35" s="18">
        <v>356.1</v>
      </c>
      <c r="L35" s="20">
        <f t="shared" si="13"/>
        <v>78.09210526315789</v>
      </c>
      <c r="M35" s="18">
        <f t="shared" si="14"/>
        <v>58.16726559947729</v>
      </c>
      <c r="N35" s="18">
        <f t="shared" si="15"/>
        <v>58.16726559947729</v>
      </c>
    </row>
    <row r="36" spans="1:14" ht="24" customHeight="1">
      <c r="A36" s="30" t="s">
        <v>40</v>
      </c>
      <c r="B36" s="30"/>
      <c r="C36" s="28" t="s">
        <v>41</v>
      </c>
      <c r="D36" s="60"/>
      <c r="E36" s="60">
        <f t="shared" si="16"/>
        <v>50</v>
      </c>
      <c r="F36" s="46">
        <f t="shared" si="17"/>
        <v>50</v>
      </c>
      <c r="G36" s="60"/>
      <c r="H36" s="60">
        <v>50</v>
      </c>
      <c r="I36" s="17"/>
      <c r="J36" s="18"/>
      <c r="K36" s="18">
        <v>213</v>
      </c>
      <c r="L36" s="20">
        <f>K36*100/F36</f>
        <v>426</v>
      </c>
      <c r="M36" s="18">
        <f>K36*100/E36</f>
        <v>426</v>
      </c>
      <c r="N36" s="18"/>
    </row>
    <row r="37" spans="1:14" ht="13.5" customHeight="1">
      <c r="A37" s="29" t="s">
        <v>18</v>
      </c>
      <c r="B37" s="29"/>
      <c r="C37" s="28" t="s">
        <v>15</v>
      </c>
      <c r="D37" s="60">
        <v>100</v>
      </c>
      <c r="E37" s="60">
        <f t="shared" si="16"/>
        <v>100</v>
      </c>
      <c r="F37" s="46">
        <f t="shared" si="17"/>
        <v>75</v>
      </c>
      <c r="G37" s="60">
        <v>25</v>
      </c>
      <c r="H37" s="60">
        <v>25</v>
      </c>
      <c r="I37" s="17">
        <v>25</v>
      </c>
      <c r="J37" s="18">
        <v>25</v>
      </c>
      <c r="K37" s="18">
        <v>3.3</v>
      </c>
      <c r="L37" s="20">
        <f>K37*100/F37</f>
        <v>4.4</v>
      </c>
      <c r="M37" s="18">
        <f>K37*100/E37</f>
        <v>3.3</v>
      </c>
      <c r="N37" s="18">
        <f>K37*100/D37</f>
        <v>3.3</v>
      </c>
    </row>
    <row r="38" spans="1:14" ht="14.25" customHeight="1" hidden="1">
      <c r="A38" s="21" t="s">
        <v>12</v>
      </c>
      <c r="B38" s="61"/>
      <c r="C38" s="28" t="s">
        <v>7</v>
      </c>
      <c r="D38" s="74"/>
      <c r="E38" s="60"/>
      <c r="F38" s="46">
        <f t="shared" si="17"/>
        <v>0</v>
      </c>
      <c r="G38" s="60"/>
      <c r="H38" s="60"/>
      <c r="I38" s="17"/>
      <c r="J38" s="18"/>
      <c r="K38" s="18"/>
      <c r="L38" s="20"/>
      <c r="M38" s="18"/>
      <c r="N38" s="18"/>
    </row>
    <row r="39" spans="1:14" ht="15.75" customHeight="1">
      <c r="A39" s="31" t="s">
        <v>37</v>
      </c>
      <c r="B39" s="63"/>
      <c r="C39" s="16" t="s">
        <v>38</v>
      </c>
      <c r="D39" s="74"/>
      <c r="E39" s="28"/>
      <c r="F39" s="46">
        <f t="shared" si="17"/>
        <v>0</v>
      </c>
      <c r="G39" s="60"/>
      <c r="H39" s="60"/>
      <c r="I39" s="17"/>
      <c r="J39" s="18"/>
      <c r="K39" s="18"/>
      <c r="L39" s="27"/>
      <c r="M39" s="24"/>
      <c r="N39" s="18"/>
    </row>
    <row r="40" spans="1:14" ht="12.75">
      <c r="A40" s="25" t="s">
        <v>1</v>
      </c>
      <c r="B40" s="25"/>
      <c r="C40" s="32" t="s">
        <v>0</v>
      </c>
      <c r="D40" s="33">
        <f aca="true" t="shared" si="18" ref="D40:J40">D41+D42</f>
        <v>10578.1</v>
      </c>
      <c r="E40" s="33">
        <f t="shared" si="18"/>
        <v>13315.9</v>
      </c>
      <c r="F40" s="33">
        <f t="shared" si="18"/>
        <v>11098.1</v>
      </c>
      <c r="G40" s="33">
        <f t="shared" si="18"/>
        <v>2994.7999999999997</v>
      </c>
      <c r="H40" s="33">
        <f t="shared" si="18"/>
        <v>6073.8</v>
      </c>
      <c r="I40" s="33">
        <f t="shared" si="18"/>
        <v>2029.5</v>
      </c>
      <c r="J40" s="33">
        <f t="shared" si="18"/>
        <v>2217.8</v>
      </c>
      <c r="K40" s="33">
        <f>K41+K42+0.1</f>
        <v>9977</v>
      </c>
      <c r="L40" s="27">
        <f>K40*100/F40</f>
        <v>89.89827087519485</v>
      </c>
      <c r="M40" s="24">
        <f>K40*100/E40</f>
        <v>74.92546504554706</v>
      </c>
      <c r="N40" s="24">
        <f>K40*100/D40</f>
        <v>94.31750503398531</v>
      </c>
    </row>
    <row r="41" spans="1:14" ht="24">
      <c r="A41" s="14" t="s">
        <v>63</v>
      </c>
      <c r="B41" s="12"/>
      <c r="C41" s="34" t="s">
        <v>20</v>
      </c>
      <c r="D41" s="59">
        <v>10578.1</v>
      </c>
      <c r="E41" s="60">
        <f>G41+H41+I41+J41</f>
        <v>13408.8</v>
      </c>
      <c r="F41" s="46">
        <f t="shared" si="17"/>
        <v>11191</v>
      </c>
      <c r="G41" s="59">
        <v>3087.7</v>
      </c>
      <c r="H41" s="59">
        <v>6073.8</v>
      </c>
      <c r="I41" s="17">
        <v>2029.5</v>
      </c>
      <c r="J41" s="59">
        <v>2217.8</v>
      </c>
      <c r="K41" s="18">
        <v>10069.8</v>
      </c>
      <c r="L41" s="20">
        <f>K41*100/F41</f>
        <v>89.98123492091858</v>
      </c>
      <c r="M41" s="18">
        <f>K41*100/E41</f>
        <v>75.0984428136746</v>
      </c>
      <c r="N41" s="18">
        <f>K41*100/D41</f>
        <v>95.19478923436155</v>
      </c>
    </row>
    <row r="42" spans="1:14" ht="37.5" customHeight="1">
      <c r="A42" s="14" t="s">
        <v>62</v>
      </c>
      <c r="B42" s="68"/>
      <c r="C42" s="19" t="s">
        <v>60</v>
      </c>
      <c r="D42" s="73">
        <v>0</v>
      </c>
      <c r="E42" s="60">
        <f>G42+H42+I42+J42</f>
        <v>-92.9</v>
      </c>
      <c r="F42" s="46">
        <f t="shared" si="17"/>
        <v>-92.9</v>
      </c>
      <c r="G42" s="59">
        <v>-92.9</v>
      </c>
      <c r="H42" s="59"/>
      <c r="I42" s="17"/>
      <c r="J42" s="59"/>
      <c r="K42" s="18">
        <v>-92.9</v>
      </c>
      <c r="L42" s="20">
        <f>K42*100/F42</f>
        <v>100</v>
      </c>
      <c r="M42" s="18">
        <f>K42*100/E42</f>
        <v>100</v>
      </c>
      <c r="N42" s="18"/>
    </row>
    <row r="43" spans="1:14" ht="12.75">
      <c r="A43" s="21"/>
      <c r="B43" s="22"/>
      <c r="C43" s="23" t="s">
        <v>4</v>
      </c>
      <c r="D43" s="24">
        <f aca="true" t="shared" si="19" ref="D43:J43">D40+D30</f>
        <v>29034.1</v>
      </c>
      <c r="E43" s="24">
        <f t="shared" si="19"/>
        <v>31826.9</v>
      </c>
      <c r="F43" s="24">
        <f t="shared" si="19"/>
        <v>25176.199999999997</v>
      </c>
      <c r="G43" s="24">
        <f t="shared" si="19"/>
        <v>7493.200000000001</v>
      </c>
      <c r="H43" s="24">
        <f t="shared" si="19"/>
        <v>11227.3</v>
      </c>
      <c r="I43" s="24">
        <f t="shared" si="19"/>
        <v>6455.7</v>
      </c>
      <c r="J43" s="24">
        <f t="shared" si="19"/>
        <v>6650.7</v>
      </c>
      <c r="K43" s="24">
        <f>K40+K30</f>
        <v>25299.5</v>
      </c>
      <c r="L43" s="27">
        <f>K43*100/F43</f>
        <v>100.48974825430368</v>
      </c>
      <c r="M43" s="24">
        <f>K43*100/E43</f>
        <v>79.49093376986134</v>
      </c>
      <c r="N43" s="24">
        <f>K43*100/D43</f>
        <v>87.13719385136788</v>
      </c>
    </row>
    <row r="44" spans="1:14" ht="12.75">
      <c r="A44" s="56"/>
      <c r="B44" s="57"/>
      <c r="C44" s="191"/>
      <c r="D44" s="191"/>
      <c r="E44" s="191"/>
      <c r="F44" s="191"/>
      <c r="G44" s="191"/>
      <c r="H44" s="191"/>
      <c r="I44" s="191"/>
      <c r="J44" s="191"/>
      <c r="K44" s="191"/>
      <c r="L44" s="27"/>
      <c r="M44" s="24"/>
      <c r="N44" s="18"/>
    </row>
    <row r="45" spans="1:14" ht="12.75">
      <c r="A45" s="195" t="s">
        <v>24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</row>
    <row r="46" spans="1:14" ht="12.75">
      <c r="A46" s="25" t="s">
        <v>3</v>
      </c>
      <c r="B46" s="25"/>
      <c r="C46" s="26" t="s">
        <v>64</v>
      </c>
      <c r="D46" s="27">
        <f aca="true" t="shared" si="20" ref="D46:J46">D47+D50+D52+D54+D55+D56+D51+D49+D48+D53</f>
        <v>21681.3</v>
      </c>
      <c r="E46" s="27">
        <f t="shared" si="20"/>
        <v>22471.899999999998</v>
      </c>
      <c r="F46" s="27">
        <f t="shared" si="20"/>
        <v>16373.599999999999</v>
      </c>
      <c r="G46" s="27">
        <f t="shared" si="20"/>
        <v>5221.7</v>
      </c>
      <c r="H46" s="27">
        <f t="shared" si="20"/>
        <v>5305.5</v>
      </c>
      <c r="I46" s="27">
        <f t="shared" si="20"/>
        <v>5846.400000000001</v>
      </c>
      <c r="J46" s="27">
        <f t="shared" si="20"/>
        <v>6098.299999999999</v>
      </c>
      <c r="K46" s="27">
        <f>K47+K50+K52+K54+K55+K56+K51+K49+K48+K53</f>
        <v>16677.1</v>
      </c>
      <c r="L46" s="27">
        <f>K46*100/F46</f>
        <v>101.85359358968094</v>
      </c>
      <c r="M46" s="24">
        <f>K46*100/E46</f>
        <v>74.21312839590777</v>
      </c>
      <c r="N46" s="24">
        <f aca="true" t="shared" si="21" ref="N46:N52">K46*100/D46</f>
        <v>76.91928067043949</v>
      </c>
    </row>
    <row r="47" spans="1:18" ht="12.75">
      <c r="A47" s="12" t="s">
        <v>76</v>
      </c>
      <c r="B47" s="12"/>
      <c r="C47" s="55" t="s">
        <v>77</v>
      </c>
      <c r="D47" s="46">
        <v>14100</v>
      </c>
      <c r="E47" s="60">
        <f aca="true" t="shared" si="22" ref="E47:E60">G47+H47+I47+J47</f>
        <v>14101</v>
      </c>
      <c r="F47" s="46">
        <f aca="true" t="shared" si="23" ref="F47:F58">G47+H47+I47</f>
        <v>10418.8</v>
      </c>
      <c r="G47" s="60">
        <v>2904</v>
      </c>
      <c r="H47" s="60">
        <v>3624</v>
      </c>
      <c r="I47" s="17">
        <v>3890.8</v>
      </c>
      <c r="J47" s="18">
        <v>3682.2</v>
      </c>
      <c r="K47" s="72">
        <v>10596.7</v>
      </c>
      <c r="L47" s="20">
        <f>K47*100/F47</f>
        <v>101.70749030598535</v>
      </c>
      <c r="M47" s="18">
        <f>K47*100/E47</f>
        <v>75.14857102333168</v>
      </c>
      <c r="N47" s="18">
        <f t="shared" si="21"/>
        <v>75.15390070921985</v>
      </c>
      <c r="R47" s="2"/>
    </row>
    <row r="48" spans="1:14" ht="24" customHeight="1">
      <c r="A48" s="12" t="s">
        <v>73</v>
      </c>
      <c r="B48" s="12"/>
      <c r="C48" s="28" t="s">
        <v>72</v>
      </c>
      <c r="D48" s="60">
        <v>3820.8</v>
      </c>
      <c r="E48" s="60">
        <f t="shared" si="22"/>
        <v>3820.7999999999997</v>
      </c>
      <c r="F48" s="46">
        <f t="shared" si="23"/>
        <v>2905.8999999999996</v>
      </c>
      <c r="G48" s="60">
        <v>983.5</v>
      </c>
      <c r="H48" s="60">
        <v>848.3</v>
      </c>
      <c r="I48" s="17">
        <v>1074.1</v>
      </c>
      <c r="J48" s="18">
        <v>914.9</v>
      </c>
      <c r="K48" s="72">
        <v>3164</v>
      </c>
      <c r="L48" s="20">
        <f>K48*100/F48</f>
        <v>108.88192986682269</v>
      </c>
      <c r="M48" s="18">
        <f>K48*100/E48</f>
        <v>82.80988274706868</v>
      </c>
      <c r="N48" s="18">
        <f t="shared" si="21"/>
        <v>82.80988274706867</v>
      </c>
    </row>
    <row r="49" spans="1:14" ht="12.75">
      <c r="A49" s="12" t="s">
        <v>8</v>
      </c>
      <c r="B49" s="12"/>
      <c r="C49" s="28" t="s">
        <v>5</v>
      </c>
      <c r="D49" s="60">
        <v>16</v>
      </c>
      <c r="E49" s="60">
        <f t="shared" si="22"/>
        <v>18</v>
      </c>
      <c r="F49" s="46">
        <f t="shared" si="23"/>
        <v>18</v>
      </c>
      <c r="G49" s="60">
        <v>14</v>
      </c>
      <c r="H49" s="60">
        <v>2</v>
      </c>
      <c r="I49" s="17">
        <v>2</v>
      </c>
      <c r="J49" s="18"/>
      <c r="K49" s="72">
        <v>2.3</v>
      </c>
      <c r="L49" s="20">
        <f>K49*100/F49</f>
        <v>12.777777777777777</v>
      </c>
      <c r="M49" s="18">
        <f>K49*100/E49</f>
        <v>12.777777777777777</v>
      </c>
      <c r="N49" s="18">
        <f t="shared" si="21"/>
        <v>14.374999999999998</v>
      </c>
    </row>
    <row r="50" spans="1:14" ht="13.5" customHeight="1">
      <c r="A50" s="12" t="s">
        <v>9</v>
      </c>
      <c r="B50" s="12"/>
      <c r="C50" s="28" t="s">
        <v>6</v>
      </c>
      <c r="D50" s="60">
        <v>2968.5</v>
      </c>
      <c r="E50" s="60">
        <f t="shared" si="22"/>
        <v>2975.5</v>
      </c>
      <c r="F50" s="46">
        <f t="shared" si="23"/>
        <v>1686</v>
      </c>
      <c r="G50" s="60">
        <v>707.5</v>
      </c>
      <c r="H50" s="60">
        <v>575.5</v>
      </c>
      <c r="I50" s="17">
        <v>403</v>
      </c>
      <c r="J50" s="18">
        <v>1289.5</v>
      </c>
      <c r="K50" s="18">
        <v>1752.9</v>
      </c>
      <c r="L50" s="20">
        <f>K50*100/F50</f>
        <v>103.96797153024912</v>
      </c>
      <c r="M50" s="18">
        <f>K50*100/E50</f>
        <v>58.911107376911445</v>
      </c>
      <c r="N50" s="18">
        <f t="shared" si="21"/>
        <v>59.0500252652855</v>
      </c>
    </row>
    <row r="51" spans="1:14" ht="20.25" customHeight="1" hidden="1">
      <c r="A51" s="12" t="s">
        <v>10</v>
      </c>
      <c r="B51" s="12"/>
      <c r="C51" s="28" t="s">
        <v>21</v>
      </c>
      <c r="D51" s="60"/>
      <c r="E51" s="60">
        <f t="shared" si="22"/>
        <v>0</v>
      </c>
      <c r="F51" s="46">
        <f t="shared" si="23"/>
        <v>0</v>
      </c>
      <c r="G51" s="60"/>
      <c r="H51" s="60"/>
      <c r="I51" s="17"/>
      <c r="J51" s="18"/>
      <c r="K51" s="18"/>
      <c r="L51" s="20"/>
      <c r="M51" s="18"/>
      <c r="N51" s="18" t="e">
        <f t="shared" si="21"/>
        <v>#DIV/0!</v>
      </c>
    </row>
    <row r="52" spans="1:14" ht="24">
      <c r="A52" s="13" t="s">
        <v>11</v>
      </c>
      <c r="B52" s="13"/>
      <c r="C52" s="28" t="s">
        <v>17</v>
      </c>
      <c r="D52" s="60">
        <v>623.8</v>
      </c>
      <c r="E52" s="60">
        <f t="shared" si="22"/>
        <v>623.8</v>
      </c>
      <c r="F52" s="46">
        <f t="shared" si="23"/>
        <v>422.09999999999997</v>
      </c>
      <c r="G52" s="60">
        <v>175.7</v>
      </c>
      <c r="H52" s="60">
        <v>95.7</v>
      </c>
      <c r="I52" s="17">
        <v>150.7</v>
      </c>
      <c r="J52" s="18">
        <v>201.7</v>
      </c>
      <c r="K52" s="18">
        <v>434.9</v>
      </c>
      <c r="L52" s="20">
        <f>K52*100/F52</f>
        <v>103.03245676380006</v>
      </c>
      <c r="M52" s="18">
        <f>K52*100/E52</f>
        <v>69.7178582879128</v>
      </c>
      <c r="N52" s="18">
        <f t="shared" si="21"/>
        <v>69.7178582879128</v>
      </c>
    </row>
    <row r="53" spans="1:14" ht="24.75" customHeight="1">
      <c r="A53" s="30" t="s">
        <v>40</v>
      </c>
      <c r="B53" s="30"/>
      <c r="C53" s="28" t="s">
        <v>41</v>
      </c>
      <c r="D53" s="60"/>
      <c r="E53" s="60">
        <f t="shared" si="22"/>
        <v>115.8</v>
      </c>
      <c r="F53" s="46">
        <f t="shared" si="23"/>
        <v>115.8</v>
      </c>
      <c r="G53" s="60"/>
      <c r="H53" s="60"/>
      <c r="I53" s="17">
        <v>115.8</v>
      </c>
      <c r="J53" s="18"/>
      <c r="K53" s="18">
        <v>115.9</v>
      </c>
      <c r="L53" s="20">
        <f>K53*100/F53</f>
        <v>100.08635578583765</v>
      </c>
      <c r="M53" s="18">
        <f>K53*100/E53</f>
        <v>100.08635578583765</v>
      </c>
      <c r="N53" s="18"/>
    </row>
    <row r="54" spans="1:14" ht="24">
      <c r="A54" s="30" t="s">
        <v>18</v>
      </c>
      <c r="B54" s="30"/>
      <c r="C54" s="28" t="s">
        <v>15</v>
      </c>
      <c r="D54" s="60">
        <v>150</v>
      </c>
      <c r="E54" s="60">
        <f t="shared" si="22"/>
        <v>717</v>
      </c>
      <c r="F54" s="46">
        <f t="shared" si="23"/>
        <v>707</v>
      </c>
      <c r="G54" s="60">
        <v>437</v>
      </c>
      <c r="H54" s="60">
        <v>60</v>
      </c>
      <c r="I54" s="17">
        <v>210</v>
      </c>
      <c r="J54" s="18">
        <v>10</v>
      </c>
      <c r="K54" s="18">
        <v>510.4</v>
      </c>
      <c r="L54" s="20">
        <f>K54*100/F54</f>
        <v>72.19236209335219</v>
      </c>
      <c r="M54" s="18">
        <f>K54*100/E54</f>
        <v>71.18549511854951</v>
      </c>
      <c r="N54" s="18">
        <f>K54*100/D54</f>
        <v>340.26666666666665</v>
      </c>
    </row>
    <row r="55" spans="1:14" ht="21" customHeight="1">
      <c r="A55" s="21" t="s">
        <v>12</v>
      </c>
      <c r="B55" s="21"/>
      <c r="C55" s="28" t="s">
        <v>7</v>
      </c>
      <c r="D55" s="60">
        <v>2.2</v>
      </c>
      <c r="E55" s="60">
        <f t="shared" si="22"/>
        <v>100</v>
      </c>
      <c r="F55" s="46">
        <f t="shared" si="23"/>
        <v>100</v>
      </c>
      <c r="G55" s="60"/>
      <c r="H55" s="60">
        <v>100</v>
      </c>
      <c r="I55" s="17"/>
      <c r="J55" s="18"/>
      <c r="K55" s="18">
        <v>100</v>
      </c>
      <c r="L55" s="20">
        <f>K55*100/F55</f>
        <v>100</v>
      </c>
      <c r="M55" s="18">
        <f>K55*100/E55</f>
        <v>100</v>
      </c>
      <c r="N55" s="18">
        <f>K55*100/D55</f>
        <v>4545.454545454545</v>
      </c>
    </row>
    <row r="56" spans="1:14" ht="14.25" customHeight="1">
      <c r="A56" s="62" t="s">
        <v>37</v>
      </c>
      <c r="B56" s="63"/>
      <c r="C56" s="16" t="s">
        <v>38</v>
      </c>
      <c r="D56" s="60"/>
      <c r="E56" s="60">
        <f t="shared" si="22"/>
        <v>0</v>
      </c>
      <c r="F56" s="46">
        <f t="shared" si="23"/>
        <v>0</v>
      </c>
      <c r="G56" s="60"/>
      <c r="H56" s="60"/>
      <c r="I56" s="17"/>
      <c r="J56" s="18"/>
      <c r="K56" s="18"/>
      <c r="L56" s="20"/>
      <c r="M56" s="18"/>
      <c r="N56" s="18"/>
    </row>
    <row r="57" spans="1:14" ht="12.75">
      <c r="A57" s="65" t="s">
        <v>1</v>
      </c>
      <c r="B57" s="65"/>
      <c r="C57" s="32" t="s">
        <v>0</v>
      </c>
      <c r="D57" s="33">
        <f>D58+D60+D59</f>
        <v>21114.8</v>
      </c>
      <c r="E57" s="33">
        <f>E58+E60+E59</f>
        <v>29184.8</v>
      </c>
      <c r="F57" s="33">
        <f aca="true" t="shared" si="24" ref="F57:K57">F58+F60+F59</f>
        <v>25106.3</v>
      </c>
      <c r="G57" s="33">
        <f t="shared" si="24"/>
        <v>3130.4</v>
      </c>
      <c r="H57" s="33">
        <f t="shared" si="24"/>
        <v>7973.1</v>
      </c>
      <c r="I57" s="33">
        <f t="shared" si="24"/>
        <v>14002.8</v>
      </c>
      <c r="J57" s="33">
        <f t="shared" si="24"/>
        <v>4078.5</v>
      </c>
      <c r="K57" s="33">
        <f t="shared" si="24"/>
        <v>10401</v>
      </c>
      <c r="L57" s="27">
        <f>K57*100/F57</f>
        <v>41.42784878695786</v>
      </c>
      <c r="M57" s="24">
        <f>K57*100/E57</f>
        <v>35.63841451714591</v>
      </c>
      <c r="N57" s="24">
        <f>K57*100/D57</f>
        <v>49.25928732453066</v>
      </c>
    </row>
    <row r="58" spans="1:14" ht="23.25" customHeight="1">
      <c r="A58" s="83" t="s">
        <v>63</v>
      </c>
      <c r="B58" s="12"/>
      <c r="C58" s="34" t="s">
        <v>20</v>
      </c>
      <c r="D58" s="59">
        <v>21114.8</v>
      </c>
      <c r="E58" s="60">
        <f>G58+H58+I58+J58</f>
        <v>29184.8</v>
      </c>
      <c r="F58" s="46">
        <f t="shared" si="23"/>
        <v>25106.3</v>
      </c>
      <c r="G58" s="59">
        <v>3130.4</v>
      </c>
      <c r="H58" s="59">
        <v>7973.1</v>
      </c>
      <c r="I58" s="17">
        <v>14002.8</v>
      </c>
      <c r="J58" s="17">
        <v>4078.5</v>
      </c>
      <c r="K58" s="18">
        <v>10401</v>
      </c>
      <c r="L58" s="20">
        <f>K58*100/F58</f>
        <v>41.42784878695786</v>
      </c>
      <c r="M58" s="18">
        <f>K58*100/E58</f>
        <v>35.63841451714591</v>
      </c>
      <c r="N58" s="18">
        <f>K58*100/D58</f>
        <v>49.25928732453066</v>
      </c>
    </row>
    <row r="59" spans="1:14" ht="51" customHeight="1" hidden="1">
      <c r="A59" s="14" t="s">
        <v>70</v>
      </c>
      <c r="B59" s="15" t="s">
        <v>61</v>
      </c>
      <c r="C59" s="16" t="s">
        <v>61</v>
      </c>
      <c r="D59" s="35"/>
      <c r="E59" s="60">
        <f>G59+H59+I59+J59</f>
        <v>0</v>
      </c>
      <c r="F59" s="46">
        <f>G59+H59+I59</f>
        <v>0</v>
      </c>
      <c r="G59" s="59"/>
      <c r="H59" s="59"/>
      <c r="I59" s="17"/>
      <c r="J59" s="75"/>
      <c r="K59" s="18"/>
      <c r="L59" s="20" t="e">
        <f>K59*100/F59</f>
        <v>#DIV/0!</v>
      </c>
      <c r="M59" s="18" t="e">
        <f>K59*100/E59</f>
        <v>#DIV/0!</v>
      </c>
      <c r="N59" s="18"/>
    </row>
    <row r="60" spans="1:14" ht="29.25" customHeight="1" hidden="1">
      <c r="A60" s="14" t="s">
        <v>62</v>
      </c>
      <c r="B60" s="68"/>
      <c r="C60" s="19" t="s">
        <v>60</v>
      </c>
      <c r="D60" s="19"/>
      <c r="E60" s="60">
        <f t="shared" si="22"/>
        <v>0</v>
      </c>
      <c r="F60" s="60">
        <f>G60</f>
        <v>0</v>
      </c>
      <c r="G60" s="76"/>
      <c r="H60" s="76"/>
      <c r="I60" s="17"/>
      <c r="J60" s="75"/>
      <c r="K60" s="18"/>
      <c r="L60" s="20"/>
      <c r="M60" s="18"/>
      <c r="N60" s="18" t="e">
        <f>K60*100/D60</f>
        <v>#DIV/0!</v>
      </c>
    </row>
    <row r="61" spans="1:14" ht="12.75">
      <c r="A61" s="13"/>
      <c r="B61" s="77"/>
      <c r="C61" s="78" t="s">
        <v>4</v>
      </c>
      <c r="D61" s="79">
        <f aca="true" t="shared" si="25" ref="D61:K61">D57+D46</f>
        <v>42796.1</v>
      </c>
      <c r="E61" s="79">
        <f t="shared" si="25"/>
        <v>51656.7</v>
      </c>
      <c r="F61" s="79">
        <f t="shared" si="25"/>
        <v>41479.899999999994</v>
      </c>
      <c r="G61" s="79">
        <f t="shared" si="25"/>
        <v>8352.1</v>
      </c>
      <c r="H61" s="79">
        <f t="shared" si="25"/>
        <v>13278.6</v>
      </c>
      <c r="I61" s="79">
        <f t="shared" si="25"/>
        <v>19849.2</v>
      </c>
      <c r="J61" s="79">
        <f t="shared" si="25"/>
        <v>10176.8</v>
      </c>
      <c r="K61" s="79">
        <f t="shared" si="25"/>
        <v>27078.1</v>
      </c>
      <c r="L61" s="27">
        <f>K61*100/F61</f>
        <v>65.2800513019559</v>
      </c>
      <c r="M61" s="24">
        <f>K61*100/E61</f>
        <v>52.41933766578198</v>
      </c>
      <c r="N61" s="24">
        <f>K61*100/D61</f>
        <v>63.272354256579455</v>
      </c>
    </row>
    <row r="62" spans="1:14" ht="12.75">
      <c r="A62" s="189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27"/>
      <c r="M62" s="24"/>
      <c r="N62" s="18"/>
    </row>
    <row r="63" spans="1:14" ht="12.75">
      <c r="A63" s="195" t="s">
        <v>25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</row>
    <row r="64" spans="1:14" ht="12.75">
      <c r="A64" s="65" t="s">
        <v>3</v>
      </c>
      <c r="B64" s="65"/>
      <c r="C64" s="71" t="s">
        <v>64</v>
      </c>
      <c r="D64" s="64">
        <f aca="true" t="shared" si="26" ref="D64:J64">D65+D68+D70+D72+D69+D74+D73+D67+D71+D66</f>
        <v>43248.299999999996</v>
      </c>
      <c r="E64" s="64">
        <f t="shared" si="26"/>
        <v>83763</v>
      </c>
      <c r="F64" s="64">
        <f t="shared" si="26"/>
        <v>69494.7</v>
      </c>
      <c r="G64" s="64">
        <f t="shared" si="26"/>
        <v>8626.2</v>
      </c>
      <c r="H64" s="64">
        <f t="shared" si="26"/>
        <v>45967.899999999994</v>
      </c>
      <c r="I64" s="64">
        <f t="shared" si="26"/>
        <v>14900.6</v>
      </c>
      <c r="J64" s="64">
        <f t="shared" si="26"/>
        <v>14268.3</v>
      </c>
      <c r="K64" s="64">
        <f>K65+K68+K70+K72+K69+K74+K73+K67+K71+K66</f>
        <v>35179.4</v>
      </c>
      <c r="L64" s="27">
        <f aca="true" t="shared" si="27" ref="L64:L73">K64*100/F64</f>
        <v>50.621702086633945</v>
      </c>
      <c r="M64" s="24">
        <f aca="true" t="shared" si="28" ref="M64:M70">K64*100/E64</f>
        <v>41.99873452479018</v>
      </c>
      <c r="N64" s="24">
        <f aca="true" t="shared" si="29" ref="N64:N70">K64*100/D64</f>
        <v>81.34285047042313</v>
      </c>
    </row>
    <row r="65" spans="1:18" ht="12.75">
      <c r="A65" s="12" t="s">
        <v>76</v>
      </c>
      <c r="B65" s="12"/>
      <c r="C65" s="55" t="s">
        <v>77</v>
      </c>
      <c r="D65" s="46">
        <v>22400</v>
      </c>
      <c r="E65" s="60">
        <f>G65+H65+I65+J65</f>
        <v>22400</v>
      </c>
      <c r="F65" s="46">
        <f aca="true" t="shared" si="30" ref="F65:F77">G65+H65+I65</f>
        <v>16666.6</v>
      </c>
      <c r="G65" s="80">
        <v>4648</v>
      </c>
      <c r="H65" s="80">
        <v>5884</v>
      </c>
      <c r="I65" s="20">
        <v>6134.6</v>
      </c>
      <c r="J65" s="20">
        <v>5733.4</v>
      </c>
      <c r="K65" s="20">
        <v>16798.7</v>
      </c>
      <c r="L65" s="20">
        <f t="shared" si="27"/>
        <v>100.79260317041269</v>
      </c>
      <c r="M65" s="18">
        <f t="shared" si="28"/>
        <v>74.99419642857143</v>
      </c>
      <c r="N65" s="18">
        <f t="shared" si="29"/>
        <v>74.99419642857143</v>
      </c>
      <c r="R65" s="2"/>
    </row>
    <row r="66" spans="1:14" ht="23.25" customHeight="1">
      <c r="A66" s="12" t="s">
        <v>73</v>
      </c>
      <c r="B66" s="12"/>
      <c r="C66" s="28" t="s">
        <v>72</v>
      </c>
      <c r="D66" s="60">
        <v>6582.1</v>
      </c>
      <c r="E66" s="60">
        <f>G66+H66+I66+J66</f>
        <v>6582.099999999999</v>
      </c>
      <c r="F66" s="46">
        <f t="shared" si="30"/>
        <v>4936.4</v>
      </c>
      <c r="G66" s="80">
        <v>1637.2</v>
      </c>
      <c r="H66" s="80">
        <v>1647.5</v>
      </c>
      <c r="I66" s="20">
        <v>1651.7</v>
      </c>
      <c r="J66" s="20">
        <v>1645.7</v>
      </c>
      <c r="K66" s="20">
        <v>5450.8</v>
      </c>
      <c r="L66" s="20">
        <f t="shared" si="27"/>
        <v>110.42054938821815</v>
      </c>
      <c r="M66" s="18">
        <f t="shared" si="28"/>
        <v>82.81247626137555</v>
      </c>
      <c r="N66" s="18">
        <f t="shared" si="29"/>
        <v>82.81247626137555</v>
      </c>
    </row>
    <row r="67" spans="1:14" ht="12.75">
      <c r="A67" s="12" t="s">
        <v>8</v>
      </c>
      <c r="B67" s="12"/>
      <c r="C67" s="28" t="s">
        <v>5</v>
      </c>
      <c r="D67" s="60">
        <v>40</v>
      </c>
      <c r="E67" s="60">
        <f aca="true" t="shared" si="31" ref="E67:E77">G67+H67+I67+J67</f>
        <v>40</v>
      </c>
      <c r="F67" s="46">
        <f t="shared" si="30"/>
        <v>30</v>
      </c>
      <c r="G67" s="59">
        <v>10</v>
      </c>
      <c r="H67" s="59">
        <v>10</v>
      </c>
      <c r="I67" s="17">
        <v>10</v>
      </c>
      <c r="J67" s="17">
        <v>10</v>
      </c>
      <c r="K67" s="17">
        <v>41.1</v>
      </c>
      <c r="L67" s="20">
        <f t="shared" si="27"/>
        <v>137</v>
      </c>
      <c r="M67" s="18">
        <f t="shared" si="28"/>
        <v>102.75</v>
      </c>
      <c r="N67" s="18">
        <f t="shared" si="29"/>
        <v>102.75</v>
      </c>
    </row>
    <row r="68" spans="1:14" ht="12.75">
      <c r="A68" s="12" t="s">
        <v>9</v>
      </c>
      <c r="B68" s="12"/>
      <c r="C68" s="28" t="s">
        <v>6</v>
      </c>
      <c r="D68" s="60">
        <v>7628.7</v>
      </c>
      <c r="E68" s="60">
        <f t="shared" si="31"/>
        <v>7728.7</v>
      </c>
      <c r="F68" s="46">
        <f t="shared" si="30"/>
        <v>2477</v>
      </c>
      <c r="G68" s="59">
        <v>719</v>
      </c>
      <c r="H68" s="59">
        <v>479</v>
      </c>
      <c r="I68" s="17">
        <v>1279</v>
      </c>
      <c r="J68" s="17">
        <v>5251.7</v>
      </c>
      <c r="K68" s="17">
        <v>2703.1</v>
      </c>
      <c r="L68" s="20">
        <f t="shared" si="27"/>
        <v>109.12797739200646</v>
      </c>
      <c r="M68" s="18">
        <f t="shared" si="28"/>
        <v>34.974834060061845</v>
      </c>
      <c r="N68" s="18">
        <f t="shared" si="29"/>
        <v>35.433297940671416</v>
      </c>
    </row>
    <row r="69" spans="1:14" ht="18.75" customHeight="1">
      <c r="A69" s="12" t="s">
        <v>10</v>
      </c>
      <c r="B69" s="12"/>
      <c r="C69" s="28" t="s">
        <v>21</v>
      </c>
      <c r="D69" s="60">
        <v>57</v>
      </c>
      <c r="E69" s="60">
        <f t="shared" si="31"/>
        <v>57</v>
      </c>
      <c r="F69" s="46">
        <f t="shared" si="30"/>
        <v>57</v>
      </c>
      <c r="G69" s="59"/>
      <c r="H69" s="59">
        <v>42.7</v>
      </c>
      <c r="I69" s="17">
        <v>14.3</v>
      </c>
      <c r="J69" s="17"/>
      <c r="K69" s="17">
        <v>44.8</v>
      </c>
      <c r="L69" s="20">
        <f t="shared" si="27"/>
        <v>78.59649122807018</v>
      </c>
      <c r="M69" s="18">
        <f t="shared" si="28"/>
        <v>78.59649122807018</v>
      </c>
      <c r="N69" s="18">
        <f t="shared" si="29"/>
        <v>78.59649122807018</v>
      </c>
    </row>
    <row r="70" spans="1:14" ht="23.25" customHeight="1">
      <c r="A70" s="13" t="s">
        <v>11</v>
      </c>
      <c r="B70" s="13"/>
      <c r="C70" s="28" t="s">
        <v>17</v>
      </c>
      <c r="D70" s="60">
        <v>6449.5</v>
      </c>
      <c r="E70" s="60">
        <f t="shared" si="31"/>
        <v>10002</v>
      </c>
      <c r="F70" s="46">
        <f t="shared" si="30"/>
        <v>8389.5</v>
      </c>
      <c r="G70" s="59">
        <v>1612</v>
      </c>
      <c r="H70" s="59">
        <v>1612.5</v>
      </c>
      <c r="I70" s="17">
        <v>5165</v>
      </c>
      <c r="J70" s="17">
        <v>1612.5</v>
      </c>
      <c r="K70" s="17">
        <v>9450.2</v>
      </c>
      <c r="L70" s="20">
        <f t="shared" si="27"/>
        <v>112.6431849335479</v>
      </c>
      <c r="M70" s="18">
        <f t="shared" si="28"/>
        <v>94.48310337932415</v>
      </c>
      <c r="N70" s="18">
        <f t="shared" si="29"/>
        <v>146.52608729358866</v>
      </c>
    </row>
    <row r="71" spans="1:14" ht="14.25" customHeight="1" hidden="1">
      <c r="A71" s="30" t="s">
        <v>40</v>
      </c>
      <c r="B71" s="30"/>
      <c r="C71" s="28" t="s">
        <v>41</v>
      </c>
      <c r="D71" s="60"/>
      <c r="E71" s="60">
        <f t="shared" si="31"/>
        <v>0</v>
      </c>
      <c r="F71" s="46">
        <f t="shared" si="30"/>
        <v>0</v>
      </c>
      <c r="G71" s="59"/>
      <c r="H71" s="59"/>
      <c r="I71" s="17"/>
      <c r="J71" s="17"/>
      <c r="K71" s="17"/>
      <c r="L71" s="20" t="e">
        <f t="shared" si="27"/>
        <v>#DIV/0!</v>
      </c>
      <c r="M71" s="18"/>
      <c r="N71" s="18"/>
    </row>
    <row r="72" spans="1:14" ht="24">
      <c r="A72" s="29" t="s">
        <v>18</v>
      </c>
      <c r="B72" s="29"/>
      <c r="C72" s="28" t="s">
        <v>15</v>
      </c>
      <c r="D72" s="60">
        <v>91</v>
      </c>
      <c r="E72" s="60">
        <f t="shared" si="31"/>
        <v>36445.2</v>
      </c>
      <c r="F72" s="46">
        <f t="shared" si="30"/>
        <v>36430.2</v>
      </c>
      <c r="G72" s="59"/>
      <c r="H72" s="59">
        <v>36292.2</v>
      </c>
      <c r="I72" s="17">
        <v>138</v>
      </c>
      <c r="J72" s="17">
        <v>15</v>
      </c>
      <c r="K72" s="17">
        <v>181.4</v>
      </c>
      <c r="L72" s="20">
        <f t="shared" si="27"/>
        <v>0.4979385235326735</v>
      </c>
      <c r="M72" s="18">
        <f>K72*100/E72</f>
        <v>0.49773358357204794</v>
      </c>
      <c r="N72" s="18">
        <f>K72*100/D72</f>
        <v>199.34065934065933</v>
      </c>
    </row>
    <row r="73" spans="1:14" ht="18" customHeight="1">
      <c r="A73" s="21" t="s">
        <v>12</v>
      </c>
      <c r="B73" s="21"/>
      <c r="C73" s="28" t="s">
        <v>7</v>
      </c>
      <c r="D73" s="60"/>
      <c r="E73" s="60">
        <f t="shared" si="31"/>
        <v>508</v>
      </c>
      <c r="F73" s="46">
        <f t="shared" si="30"/>
        <v>508</v>
      </c>
      <c r="G73" s="59"/>
      <c r="H73" s="59"/>
      <c r="I73" s="17">
        <v>508</v>
      </c>
      <c r="J73" s="17"/>
      <c r="K73" s="17">
        <v>509.3</v>
      </c>
      <c r="L73" s="20">
        <f t="shared" si="27"/>
        <v>100.25590551181102</v>
      </c>
      <c r="M73" s="18">
        <f>K73*100/E73</f>
        <v>100.25590551181102</v>
      </c>
      <c r="N73" s="18"/>
    </row>
    <row r="74" spans="1:14" ht="16.5" customHeight="1">
      <c r="A74" s="31" t="s">
        <v>37</v>
      </c>
      <c r="B74" s="63"/>
      <c r="C74" s="16" t="s">
        <v>38</v>
      </c>
      <c r="D74" s="60"/>
      <c r="E74" s="60">
        <f t="shared" si="31"/>
        <v>0</v>
      </c>
      <c r="F74" s="46">
        <f t="shared" si="30"/>
        <v>0</v>
      </c>
      <c r="G74" s="59"/>
      <c r="H74" s="59"/>
      <c r="I74" s="17"/>
      <c r="J74" s="17"/>
      <c r="K74" s="17"/>
      <c r="L74" s="20"/>
      <c r="M74" s="18"/>
      <c r="N74" s="18"/>
    </row>
    <row r="75" spans="1:14" ht="12.75">
      <c r="A75" s="25" t="s">
        <v>1</v>
      </c>
      <c r="B75" s="25"/>
      <c r="C75" s="32" t="s">
        <v>0</v>
      </c>
      <c r="D75" s="33">
        <f aca="true" t="shared" si="32" ref="D75:K75">D76+D77</f>
        <v>30757.1</v>
      </c>
      <c r="E75" s="33">
        <f t="shared" si="32"/>
        <v>66646.2</v>
      </c>
      <c r="F75" s="33">
        <f t="shared" si="32"/>
        <v>61402</v>
      </c>
      <c r="G75" s="33">
        <f t="shared" si="32"/>
        <v>4400.4</v>
      </c>
      <c r="H75" s="33">
        <f t="shared" si="32"/>
        <v>42146.7</v>
      </c>
      <c r="I75" s="33">
        <f t="shared" si="32"/>
        <v>14854.9</v>
      </c>
      <c r="J75" s="33">
        <f t="shared" si="32"/>
        <v>5244.2</v>
      </c>
      <c r="K75" s="33">
        <f t="shared" si="32"/>
        <v>55470.8</v>
      </c>
      <c r="L75" s="27">
        <f>K75*100/F75</f>
        <v>90.34037979218918</v>
      </c>
      <c r="M75" s="24">
        <f>K75*100/E75</f>
        <v>83.23175214790942</v>
      </c>
      <c r="N75" s="24">
        <f>K75*100/D75</f>
        <v>180.3512034619649</v>
      </c>
    </row>
    <row r="76" spans="1:14" ht="24">
      <c r="A76" s="83" t="s">
        <v>63</v>
      </c>
      <c r="B76" s="12"/>
      <c r="C76" s="34" t="s">
        <v>20</v>
      </c>
      <c r="D76" s="59">
        <v>30757.1</v>
      </c>
      <c r="E76" s="60">
        <f t="shared" si="31"/>
        <v>66621.2</v>
      </c>
      <c r="F76" s="46">
        <f t="shared" si="30"/>
        <v>61377</v>
      </c>
      <c r="G76" s="59">
        <f>4390.4+10</f>
        <v>4400.4</v>
      </c>
      <c r="H76" s="59">
        <v>42126.7</v>
      </c>
      <c r="I76" s="17">
        <v>14849.9</v>
      </c>
      <c r="J76" s="18">
        <v>5244.2</v>
      </c>
      <c r="K76" s="18">
        <v>55445.8</v>
      </c>
      <c r="L76" s="20">
        <f>K76*100/F76</f>
        <v>90.33644524822002</v>
      </c>
      <c r="M76" s="18">
        <f>K76*100/E76</f>
        <v>83.22545976355875</v>
      </c>
      <c r="N76" s="18">
        <f>K76*100/D76</f>
        <v>180.26992141651846</v>
      </c>
    </row>
    <row r="77" spans="1:14" ht="12.75">
      <c r="A77" s="83" t="s">
        <v>71</v>
      </c>
      <c r="B77" s="14"/>
      <c r="C77" s="35" t="s">
        <v>19</v>
      </c>
      <c r="D77" s="67"/>
      <c r="E77" s="60">
        <f t="shared" si="31"/>
        <v>25</v>
      </c>
      <c r="F77" s="46">
        <f t="shared" si="30"/>
        <v>25</v>
      </c>
      <c r="G77" s="76"/>
      <c r="H77" s="76">
        <v>20</v>
      </c>
      <c r="I77" s="17">
        <v>5</v>
      </c>
      <c r="J77" s="18"/>
      <c r="K77" s="18">
        <v>25</v>
      </c>
      <c r="L77" s="20">
        <f>K77*100/F77</f>
        <v>100</v>
      </c>
      <c r="M77" s="18">
        <f>K77*100/E77</f>
        <v>100</v>
      </c>
      <c r="N77" s="18"/>
    </row>
    <row r="78" spans="1:14" ht="12.75">
      <c r="A78" s="21"/>
      <c r="B78" s="22"/>
      <c r="C78" s="23" t="s">
        <v>4</v>
      </c>
      <c r="D78" s="24">
        <f aca="true" t="shared" si="33" ref="D78:K78">D75+D64</f>
        <v>74005.4</v>
      </c>
      <c r="E78" s="24">
        <f t="shared" si="33"/>
        <v>150409.2</v>
      </c>
      <c r="F78" s="24">
        <f t="shared" si="33"/>
        <v>130896.7</v>
      </c>
      <c r="G78" s="24">
        <f t="shared" si="33"/>
        <v>13026.6</v>
      </c>
      <c r="H78" s="24">
        <f t="shared" si="33"/>
        <v>88114.59999999999</v>
      </c>
      <c r="I78" s="24">
        <f t="shared" si="33"/>
        <v>29755.5</v>
      </c>
      <c r="J78" s="24">
        <f t="shared" si="33"/>
        <v>19512.5</v>
      </c>
      <c r="K78" s="24">
        <f t="shared" si="33"/>
        <v>90650.20000000001</v>
      </c>
      <c r="L78" s="27">
        <f>K78*100/F78</f>
        <v>69.25323556667206</v>
      </c>
      <c r="M78" s="24">
        <f>K78*100/E78</f>
        <v>60.269052690925825</v>
      </c>
      <c r="N78" s="24">
        <f>K78*100/D78</f>
        <v>122.49133171363174</v>
      </c>
    </row>
    <row r="79" spans="1:14" ht="12.75">
      <c r="A79" s="189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27"/>
      <c r="M79" s="24"/>
      <c r="N79" s="18"/>
    </row>
    <row r="80" spans="1:14" ht="12.75">
      <c r="A80" s="195" t="s">
        <v>26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</row>
    <row r="81" spans="1:14" ht="12.75">
      <c r="A81" s="25" t="s">
        <v>3</v>
      </c>
      <c r="B81" s="25"/>
      <c r="C81" s="26" t="s">
        <v>64</v>
      </c>
      <c r="D81" s="27">
        <f aca="true" t="shared" si="34" ref="D81:J81">D82+D84+D85+D86+D87+D88+D89+D90+D91+D83</f>
        <v>37868.3</v>
      </c>
      <c r="E81" s="27">
        <f t="shared" si="34"/>
        <v>46141.799999999996</v>
      </c>
      <c r="F81" s="27">
        <f t="shared" si="34"/>
        <v>34973.6</v>
      </c>
      <c r="G81" s="27">
        <f t="shared" si="34"/>
        <v>10794</v>
      </c>
      <c r="H81" s="27">
        <f t="shared" si="34"/>
        <v>10289.800000000001</v>
      </c>
      <c r="I81" s="27">
        <f t="shared" si="34"/>
        <v>13889.800000000001</v>
      </c>
      <c r="J81" s="27">
        <f t="shared" si="34"/>
        <v>11168.2</v>
      </c>
      <c r="K81" s="27">
        <f>K82+K84+K85+K86+K87+K88+K89+K90+K91+K83</f>
        <v>32280</v>
      </c>
      <c r="L81" s="27">
        <f aca="true" t="shared" si="35" ref="L81:L88">K81*100/F81</f>
        <v>92.298190635222</v>
      </c>
      <c r="M81" s="24">
        <f aca="true" t="shared" si="36" ref="M81:M88">K81*100/E81</f>
        <v>69.95825910562658</v>
      </c>
      <c r="N81" s="24">
        <f aca="true" t="shared" si="37" ref="N81:N87">K81*100/D81</f>
        <v>85.24280202702523</v>
      </c>
    </row>
    <row r="82" spans="1:18" ht="13.5" customHeight="1">
      <c r="A82" s="12" t="s">
        <v>76</v>
      </c>
      <c r="B82" s="12"/>
      <c r="C82" s="55" t="s">
        <v>77</v>
      </c>
      <c r="D82" s="60">
        <v>25300</v>
      </c>
      <c r="E82" s="60">
        <f>G82+H82+I82+J82</f>
        <v>28571.299999999996</v>
      </c>
      <c r="F82" s="46">
        <f aca="true" t="shared" si="38" ref="F82:F91">G82+H82+I82</f>
        <v>21439.199999999997</v>
      </c>
      <c r="G82" s="59">
        <v>8426.3</v>
      </c>
      <c r="H82" s="59">
        <v>5880.9</v>
      </c>
      <c r="I82" s="17">
        <v>7132</v>
      </c>
      <c r="J82" s="17">
        <v>7132.1</v>
      </c>
      <c r="K82" s="18">
        <v>17519</v>
      </c>
      <c r="L82" s="20">
        <f t="shared" si="35"/>
        <v>81.71480279114894</v>
      </c>
      <c r="M82" s="18">
        <f t="shared" si="36"/>
        <v>61.316775925491676</v>
      </c>
      <c r="N82" s="18">
        <f t="shared" si="37"/>
        <v>69.24505928853755</v>
      </c>
      <c r="R82" s="2"/>
    </row>
    <row r="83" spans="1:14" ht="24.75" customHeight="1">
      <c r="A83" s="12" t="s">
        <v>73</v>
      </c>
      <c r="B83" s="12"/>
      <c r="C83" s="28" t="s">
        <v>72</v>
      </c>
      <c r="D83" s="60">
        <v>4207.6</v>
      </c>
      <c r="E83" s="60">
        <f>G83+H83+I83+J83</f>
        <v>4207.6</v>
      </c>
      <c r="F83" s="46">
        <f t="shared" si="38"/>
        <v>3155.7</v>
      </c>
      <c r="G83" s="59">
        <v>1051.9</v>
      </c>
      <c r="H83" s="59">
        <v>841.5</v>
      </c>
      <c r="I83" s="17">
        <v>1262.3</v>
      </c>
      <c r="J83" s="17">
        <v>1051.9</v>
      </c>
      <c r="K83" s="18">
        <v>3484.4</v>
      </c>
      <c r="L83" s="20">
        <f t="shared" si="35"/>
        <v>110.41607250372343</v>
      </c>
      <c r="M83" s="18">
        <f t="shared" si="36"/>
        <v>82.81205437779256</v>
      </c>
      <c r="N83" s="18">
        <f t="shared" si="37"/>
        <v>82.81205437779256</v>
      </c>
    </row>
    <row r="84" spans="1:14" ht="15" customHeight="1" hidden="1">
      <c r="A84" s="12" t="s">
        <v>8</v>
      </c>
      <c r="B84" s="12"/>
      <c r="C84" s="28" t="s">
        <v>5</v>
      </c>
      <c r="D84" s="60"/>
      <c r="E84" s="60">
        <f aca="true" t="shared" si="39" ref="E84:E91">G84+H84+I84+J84</f>
        <v>0</v>
      </c>
      <c r="F84" s="46">
        <f t="shared" si="38"/>
        <v>0</v>
      </c>
      <c r="G84" s="59"/>
      <c r="H84" s="59"/>
      <c r="I84" s="17"/>
      <c r="J84" s="17"/>
      <c r="K84" s="18"/>
      <c r="L84" s="20" t="e">
        <f t="shared" si="35"/>
        <v>#DIV/0!</v>
      </c>
      <c r="M84" s="18" t="e">
        <f t="shared" si="36"/>
        <v>#DIV/0!</v>
      </c>
      <c r="N84" s="18" t="e">
        <f t="shared" si="37"/>
        <v>#DIV/0!</v>
      </c>
    </row>
    <row r="85" spans="1:14" ht="12.75">
      <c r="A85" s="12" t="s">
        <v>9</v>
      </c>
      <c r="B85" s="12"/>
      <c r="C85" s="28" t="s">
        <v>6</v>
      </c>
      <c r="D85" s="60">
        <v>2202.9</v>
      </c>
      <c r="E85" s="60">
        <f t="shared" si="39"/>
        <v>2452.8999999999996</v>
      </c>
      <c r="F85" s="46">
        <f t="shared" si="38"/>
        <v>1178.1999999999998</v>
      </c>
      <c r="G85" s="59">
        <v>430.9</v>
      </c>
      <c r="H85" s="59">
        <v>302.2</v>
      </c>
      <c r="I85" s="17">
        <v>445.1</v>
      </c>
      <c r="J85" s="17">
        <v>1274.7</v>
      </c>
      <c r="K85" s="18">
        <v>1613.6</v>
      </c>
      <c r="L85" s="20">
        <f t="shared" si="35"/>
        <v>136.95467662536075</v>
      </c>
      <c r="M85" s="18">
        <f t="shared" si="36"/>
        <v>65.78335847364345</v>
      </c>
      <c r="N85" s="18">
        <f t="shared" si="37"/>
        <v>73.2488991783558</v>
      </c>
    </row>
    <row r="86" spans="1:14" ht="12.75" hidden="1">
      <c r="A86" s="12" t="s">
        <v>10</v>
      </c>
      <c r="B86" s="12"/>
      <c r="C86" s="28" t="s">
        <v>21</v>
      </c>
      <c r="D86" s="60"/>
      <c r="E86" s="60">
        <f t="shared" si="39"/>
        <v>0</v>
      </c>
      <c r="F86" s="46">
        <f t="shared" si="38"/>
        <v>0</v>
      </c>
      <c r="G86" s="59"/>
      <c r="H86" s="59"/>
      <c r="I86" s="17"/>
      <c r="J86" s="17"/>
      <c r="K86" s="18"/>
      <c r="L86" s="20" t="e">
        <f t="shared" si="35"/>
        <v>#DIV/0!</v>
      </c>
      <c r="M86" s="18" t="e">
        <f t="shared" si="36"/>
        <v>#DIV/0!</v>
      </c>
      <c r="N86" s="18" t="e">
        <f t="shared" si="37"/>
        <v>#DIV/0!</v>
      </c>
    </row>
    <row r="87" spans="1:14" ht="26.25" customHeight="1">
      <c r="A87" s="13" t="s">
        <v>11</v>
      </c>
      <c r="B87" s="13"/>
      <c r="C87" s="28" t="s">
        <v>17</v>
      </c>
      <c r="D87" s="60">
        <v>6104</v>
      </c>
      <c r="E87" s="60">
        <f t="shared" si="39"/>
        <v>6767.2</v>
      </c>
      <c r="F87" s="46">
        <f t="shared" si="38"/>
        <v>6144.5</v>
      </c>
      <c r="G87" s="59">
        <v>651.6</v>
      </c>
      <c r="H87" s="59">
        <v>3145.3</v>
      </c>
      <c r="I87" s="17">
        <v>2347.6</v>
      </c>
      <c r="J87" s="17">
        <v>622.7</v>
      </c>
      <c r="K87" s="18">
        <v>5564.5</v>
      </c>
      <c r="L87" s="20">
        <f t="shared" si="35"/>
        <v>90.56066400846285</v>
      </c>
      <c r="M87" s="18">
        <f t="shared" si="36"/>
        <v>82.22750916183946</v>
      </c>
      <c r="N87" s="18">
        <f t="shared" si="37"/>
        <v>91.16153342070773</v>
      </c>
    </row>
    <row r="88" spans="1:14" ht="28.5" customHeight="1">
      <c r="A88" s="30" t="s">
        <v>40</v>
      </c>
      <c r="B88" s="30"/>
      <c r="C88" s="28" t="s">
        <v>41</v>
      </c>
      <c r="D88" s="60">
        <v>0</v>
      </c>
      <c r="E88" s="60">
        <f t="shared" si="39"/>
        <v>228.8</v>
      </c>
      <c r="F88" s="46">
        <f t="shared" si="38"/>
        <v>228.8</v>
      </c>
      <c r="G88" s="59">
        <v>114.1</v>
      </c>
      <c r="H88" s="59"/>
      <c r="I88" s="17">
        <v>114.7</v>
      </c>
      <c r="J88" s="17"/>
      <c r="K88" s="18">
        <v>228.8</v>
      </c>
      <c r="L88" s="20">
        <f t="shared" si="35"/>
        <v>100</v>
      </c>
      <c r="M88" s="18">
        <f t="shared" si="36"/>
        <v>100</v>
      </c>
      <c r="N88" s="18"/>
    </row>
    <row r="89" spans="1:14" ht="24">
      <c r="A89" s="29" t="s">
        <v>18</v>
      </c>
      <c r="B89" s="29"/>
      <c r="C89" s="28" t="s">
        <v>15</v>
      </c>
      <c r="D89" s="60">
        <v>53.8</v>
      </c>
      <c r="E89" s="60">
        <f t="shared" si="39"/>
        <v>3795.3</v>
      </c>
      <c r="F89" s="46">
        <f t="shared" si="38"/>
        <v>2708.5</v>
      </c>
      <c r="G89" s="59">
        <v>119.2</v>
      </c>
      <c r="H89" s="59">
        <v>1.2</v>
      </c>
      <c r="I89" s="17">
        <v>2588.1</v>
      </c>
      <c r="J89" s="17">
        <v>1086.8</v>
      </c>
      <c r="K89" s="18">
        <v>3751</v>
      </c>
      <c r="L89" s="20">
        <f>K89*100/F89</f>
        <v>138.48993908067195</v>
      </c>
      <c r="M89" s="18">
        <f>K89*100/E89</f>
        <v>98.8327668432008</v>
      </c>
      <c r="N89" s="18">
        <f>K89*100/D89</f>
        <v>6972.118959107807</v>
      </c>
    </row>
    <row r="90" spans="1:14" ht="15.75" customHeight="1">
      <c r="A90" s="21" t="s">
        <v>12</v>
      </c>
      <c r="B90" s="21"/>
      <c r="C90" s="28" t="s">
        <v>7</v>
      </c>
      <c r="D90" s="60"/>
      <c r="E90" s="60">
        <f t="shared" si="39"/>
        <v>118.7</v>
      </c>
      <c r="F90" s="46">
        <f t="shared" si="38"/>
        <v>118.7</v>
      </c>
      <c r="G90" s="59"/>
      <c r="H90" s="59">
        <v>118.7</v>
      </c>
      <c r="I90" s="17"/>
      <c r="J90" s="17"/>
      <c r="K90" s="18">
        <v>118.7</v>
      </c>
      <c r="L90" s="20">
        <f>K90*100/F90</f>
        <v>100</v>
      </c>
      <c r="M90" s="18">
        <f>K90*100/E90</f>
        <v>100</v>
      </c>
      <c r="N90" s="18"/>
    </row>
    <row r="91" spans="1:14" ht="12.75">
      <c r="A91" s="31" t="s">
        <v>37</v>
      </c>
      <c r="B91" s="63"/>
      <c r="C91" s="16" t="s">
        <v>38</v>
      </c>
      <c r="D91" s="60"/>
      <c r="E91" s="60">
        <f t="shared" si="39"/>
        <v>0</v>
      </c>
      <c r="F91" s="46">
        <f t="shared" si="38"/>
        <v>0</v>
      </c>
      <c r="G91" s="59"/>
      <c r="H91" s="59"/>
      <c r="I91" s="17"/>
      <c r="J91" s="17"/>
      <c r="K91" s="18"/>
      <c r="L91" s="20"/>
      <c r="M91" s="18"/>
      <c r="N91" s="18"/>
    </row>
    <row r="92" spans="1:14" ht="12.75" hidden="1">
      <c r="A92" s="31" t="s">
        <v>42</v>
      </c>
      <c r="B92" s="63"/>
      <c r="C92" s="16" t="s">
        <v>43</v>
      </c>
      <c r="D92" s="74"/>
      <c r="E92" s="16"/>
      <c r="F92" s="46">
        <f>G92+H92</f>
        <v>0</v>
      </c>
      <c r="G92" s="59"/>
      <c r="H92" s="59"/>
      <c r="I92" s="17" t="e">
        <f>J92+#REF!+#REF!+#REF!</f>
        <v>#REF!</v>
      </c>
      <c r="J92" s="17"/>
      <c r="K92" s="18"/>
      <c r="L92" s="27" t="e">
        <f>K92*100/F92</f>
        <v>#DIV/0!</v>
      </c>
      <c r="M92" s="24" t="e">
        <f>K92*100/E92</f>
        <v>#DIV/0!</v>
      </c>
      <c r="N92" s="18" t="e">
        <f>K92*100/D92</f>
        <v>#DIV/0!</v>
      </c>
    </row>
    <row r="93" spans="1:14" ht="12.75">
      <c r="A93" s="25" t="s">
        <v>1</v>
      </c>
      <c r="B93" s="25"/>
      <c r="C93" s="32" t="s">
        <v>0</v>
      </c>
      <c r="D93" s="33">
        <f aca="true" t="shared" si="40" ref="D93:K93">D94+D95</f>
        <v>49702.6</v>
      </c>
      <c r="E93" s="33">
        <f t="shared" si="40"/>
        <v>61057.09999999999</v>
      </c>
      <c r="F93" s="81">
        <f t="shared" si="40"/>
        <v>51467.399999999994</v>
      </c>
      <c r="G93" s="33">
        <f t="shared" si="40"/>
        <v>10467.6</v>
      </c>
      <c r="H93" s="33">
        <f t="shared" si="40"/>
        <v>17132.1</v>
      </c>
      <c r="I93" s="33">
        <f t="shared" si="40"/>
        <v>23867.7</v>
      </c>
      <c r="J93" s="33">
        <f t="shared" si="40"/>
        <v>9589.7</v>
      </c>
      <c r="K93" s="33">
        <f t="shared" si="40"/>
        <v>51643.9</v>
      </c>
      <c r="L93" s="27">
        <f>K93*100/F93</f>
        <v>100.34293552812072</v>
      </c>
      <c r="M93" s="24">
        <f>K93*100/E93</f>
        <v>84.58295595434438</v>
      </c>
      <c r="N93" s="24">
        <f>K93*100/D93</f>
        <v>103.90583188807024</v>
      </c>
    </row>
    <row r="94" spans="1:14" ht="24">
      <c r="A94" s="83" t="s">
        <v>63</v>
      </c>
      <c r="B94" s="12"/>
      <c r="C94" s="34" t="s">
        <v>20</v>
      </c>
      <c r="D94" s="59">
        <v>49702.6</v>
      </c>
      <c r="E94" s="60">
        <f>G94+H94+I94+J94</f>
        <v>61057.09999999999</v>
      </c>
      <c r="F94" s="46">
        <f>G94+H94+I94</f>
        <v>51467.399999999994</v>
      </c>
      <c r="G94" s="59">
        <v>10467.6</v>
      </c>
      <c r="H94" s="59">
        <v>17132.1</v>
      </c>
      <c r="I94" s="17">
        <v>23867.7</v>
      </c>
      <c r="J94" s="17">
        <v>9589.7</v>
      </c>
      <c r="K94" s="18">
        <v>51643.9</v>
      </c>
      <c r="L94" s="20">
        <f>K94*100/F94</f>
        <v>100.34293552812072</v>
      </c>
      <c r="M94" s="18">
        <f>K94*100/E94</f>
        <v>84.58295595434438</v>
      </c>
      <c r="N94" s="18">
        <f>K94*100/D94</f>
        <v>103.90583188807024</v>
      </c>
    </row>
    <row r="95" spans="1:14" ht="12.75" hidden="1">
      <c r="A95" s="14" t="s">
        <v>71</v>
      </c>
      <c r="B95" s="14"/>
      <c r="C95" s="35" t="s">
        <v>19</v>
      </c>
      <c r="D95" s="67"/>
      <c r="E95" s="60">
        <f>G95+H95+I95+J95</f>
        <v>0</v>
      </c>
      <c r="F95" s="46">
        <f>G95</f>
        <v>0</v>
      </c>
      <c r="G95" s="70"/>
      <c r="H95" s="70"/>
      <c r="I95" s="17"/>
      <c r="J95" s="17"/>
      <c r="K95" s="18"/>
      <c r="L95" s="20" t="e">
        <f>K95*100/F95</f>
        <v>#DIV/0!</v>
      </c>
      <c r="M95" s="18" t="e">
        <f>K95*100/E95</f>
        <v>#DIV/0!</v>
      </c>
      <c r="N95" s="18"/>
    </row>
    <row r="96" spans="1:14" ht="12.75">
      <c r="A96" s="21"/>
      <c r="B96" s="22"/>
      <c r="C96" s="23" t="s">
        <v>4</v>
      </c>
      <c r="D96" s="24">
        <f aca="true" t="shared" si="41" ref="D96:K96">D93+D81</f>
        <v>87570.9</v>
      </c>
      <c r="E96" s="24">
        <f t="shared" si="41"/>
        <v>107198.9</v>
      </c>
      <c r="F96" s="24">
        <f t="shared" si="41"/>
        <v>86441</v>
      </c>
      <c r="G96" s="24">
        <f t="shared" si="41"/>
        <v>21261.6</v>
      </c>
      <c r="H96" s="24">
        <f t="shared" si="41"/>
        <v>27421.9</v>
      </c>
      <c r="I96" s="24">
        <f t="shared" si="41"/>
        <v>37757.5</v>
      </c>
      <c r="J96" s="24">
        <f t="shared" si="41"/>
        <v>20757.9</v>
      </c>
      <c r="K96" s="24">
        <f t="shared" si="41"/>
        <v>83923.9</v>
      </c>
      <c r="L96" s="27">
        <f>K96*100/F96</f>
        <v>97.08807163267431</v>
      </c>
      <c r="M96" s="24">
        <f>K96*100/E96</f>
        <v>78.28802347785286</v>
      </c>
      <c r="N96" s="24">
        <f>K96*100/D96</f>
        <v>95.83537453651842</v>
      </c>
    </row>
    <row r="97" spans="1:14" ht="12.75">
      <c r="A97" s="189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27"/>
      <c r="M97" s="24"/>
      <c r="N97" s="18"/>
    </row>
    <row r="98" spans="1:14" ht="12.75">
      <c r="A98" s="195" t="s">
        <v>27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</row>
    <row r="99" spans="1:14" ht="12.75">
      <c r="A99" s="25" t="s">
        <v>3</v>
      </c>
      <c r="B99" s="25"/>
      <c r="C99" s="26" t="s">
        <v>64</v>
      </c>
      <c r="D99" s="27">
        <f aca="true" t="shared" si="42" ref="D99:J99">D100+D103+D107+D104+D105+D108+D106+D102+D101</f>
        <v>2928.3999999999996</v>
      </c>
      <c r="E99" s="27">
        <f t="shared" si="42"/>
        <v>2928.3999999999996</v>
      </c>
      <c r="F99" s="27">
        <f t="shared" si="42"/>
        <v>2178.7</v>
      </c>
      <c r="G99" s="27">
        <f t="shared" si="42"/>
        <v>701.6</v>
      </c>
      <c r="H99" s="27">
        <f t="shared" si="42"/>
        <v>729.2</v>
      </c>
      <c r="I99" s="27">
        <f t="shared" si="42"/>
        <v>747.9000000000001</v>
      </c>
      <c r="J99" s="27">
        <f t="shared" si="42"/>
        <v>749.7</v>
      </c>
      <c r="K99" s="27">
        <f>K100+K103+K107+K104+K105+K108+K106+K102+K101</f>
        <v>2361.5</v>
      </c>
      <c r="L99" s="27">
        <f aca="true" t="shared" si="43" ref="L99:L105">K99*100/F99</f>
        <v>108.39032450543903</v>
      </c>
      <c r="M99" s="24">
        <f aca="true" t="shared" si="44" ref="M99:M105">K99*100/E99</f>
        <v>80.64130583253655</v>
      </c>
      <c r="N99" s="24">
        <f aca="true" t="shared" si="45" ref="N99:N105">K99*100/D99</f>
        <v>80.64130583253655</v>
      </c>
    </row>
    <row r="100" spans="1:18" ht="12.75">
      <c r="A100" s="12" t="s">
        <v>76</v>
      </c>
      <c r="B100" s="12"/>
      <c r="C100" s="55" t="s">
        <v>77</v>
      </c>
      <c r="D100" s="60">
        <v>1330</v>
      </c>
      <c r="E100" s="60">
        <f>G100+H100+I100+J100</f>
        <v>1330</v>
      </c>
      <c r="F100" s="46">
        <f aca="true" t="shared" si="46" ref="F100:F110">G100+H100+I100</f>
        <v>1000</v>
      </c>
      <c r="G100" s="59">
        <v>340</v>
      </c>
      <c r="H100" s="59">
        <v>330</v>
      </c>
      <c r="I100" s="17">
        <v>330</v>
      </c>
      <c r="J100" s="18">
        <v>330</v>
      </c>
      <c r="K100" s="18">
        <v>1001.5</v>
      </c>
      <c r="L100" s="20">
        <f t="shared" si="43"/>
        <v>100.15</v>
      </c>
      <c r="M100" s="18">
        <f t="shared" si="44"/>
        <v>75.30075187969925</v>
      </c>
      <c r="N100" s="18">
        <f t="shared" si="45"/>
        <v>75.30075187969925</v>
      </c>
      <c r="R100" s="2"/>
    </row>
    <row r="101" spans="1:14" ht="25.5" customHeight="1">
      <c r="A101" s="12" t="s">
        <v>73</v>
      </c>
      <c r="B101" s="12"/>
      <c r="C101" s="28" t="s">
        <v>72</v>
      </c>
      <c r="D101" s="60">
        <v>1368.8</v>
      </c>
      <c r="E101" s="60">
        <f>G101+H101+I101+J101</f>
        <v>1368.8</v>
      </c>
      <c r="F101" s="46">
        <f t="shared" si="46"/>
        <v>1026.6</v>
      </c>
      <c r="G101" s="59">
        <v>342.2</v>
      </c>
      <c r="H101" s="59">
        <v>342.2</v>
      </c>
      <c r="I101" s="17">
        <v>342.2</v>
      </c>
      <c r="J101" s="18">
        <v>342.2</v>
      </c>
      <c r="K101" s="18">
        <v>1133.5</v>
      </c>
      <c r="L101" s="20">
        <f t="shared" si="43"/>
        <v>110.41301383206702</v>
      </c>
      <c r="M101" s="18">
        <f t="shared" si="44"/>
        <v>82.80976037405027</v>
      </c>
      <c r="N101" s="18">
        <f t="shared" si="45"/>
        <v>82.80976037405027</v>
      </c>
    </row>
    <row r="102" spans="1:14" ht="12.75" hidden="1">
      <c r="A102" s="12" t="s">
        <v>8</v>
      </c>
      <c r="B102" s="12"/>
      <c r="C102" s="28" t="s">
        <v>5</v>
      </c>
      <c r="D102" s="60"/>
      <c r="E102" s="60">
        <f>G102+H102+I102+J102</f>
        <v>0</v>
      </c>
      <c r="F102" s="46">
        <f t="shared" si="46"/>
        <v>0</v>
      </c>
      <c r="G102" s="59"/>
      <c r="H102" s="59"/>
      <c r="I102" s="17"/>
      <c r="J102" s="18"/>
      <c r="K102" s="18"/>
      <c r="L102" s="20" t="e">
        <f t="shared" si="43"/>
        <v>#DIV/0!</v>
      </c>
      <c r="M102" s="18" t="e">
        <f t="shared" si="44"/>
        <v>#DIV/0!</v>
      </c>
      <c r="N102" s="18" t="e">
        <f t="shared" si="45"/>
        <v>#DIV/0!</v>
      </c>
    </row>
    <row r="103" spans="1:14" ht="12.75">
      <c r="A103" s="12" t="s">
        <v>9</v>
      </c>
      <c r="B103" s="12"/>
      <c r="C103" s="28" t="s">
        <v>6</v>
      </c>
      <c r="D103" s="60">
        <v>202.1</v>
      </c>
      <c r="E103" s="60">
        <f aca="true" t="shared" si="47" ref="E103:E111">G103+H103+I103+J103</f>
        <v>202.09999999999997</v>
      </c>
      <c r="F103" s="46">
        <f t="shared" si="46"/>
        <v>132.39999999999998</v>
      </c>
      <c r="G103" s="59">
        <v>16.2</v>
      </c>
      <c r="H103" s="59">
        <v>48.6</v>
      </c>
      <c r="I103" s="17">
        <v>67.6</v>
      </c>
      <c r="J103" s="18">
        <v>69.7</v>
      </c>
      <c r="K103" s="18">
        <v>97.9</v>
      </c>
      <c r="L103" s="20">
        <f t="shared" si="43"/>
        <v>73.94259818731119</v>
      </c>
      <c r="M103" s="18">
        <f t="shared" si="44"/>
        <v>48.44136566056409</v>
      </c>
      <c r="N103" s="18">
        <f t="shared" si="45"/>
        <v>48.44136566056408</v>
      </c>
    </row>
    <row r="104" spans="1:14" ht="12.75">
      <c r="A104" s="12" t="s">
        <v>10</v>
      </c>
      <c r="B104" s="12"/>
      <c r="C104" s="28" t="s">
        <v>21</v>
      </c>
      <c r="D104" s="60">
        <v>1.5</v>
      </c>
      <c r="E104" s="60">
        <f t="shared" si="47"/>
        <v>1.5</v>
      </c>
      <c r="F104" s="46">
        <f t="shared" si="46"/>
        <v>1.5</v>
      </c>
      <c r="G104" s="59">
        <v>0.6</v>
      </c>
      <c r="H104" s="59">
        <v>0.6</v>
      </c>
      <c r="I104" s="17">
        <v>0.3</v>
      </c>
      <c r="J104" s="18"/>
      <c r="K104" s="18">
        <v>2.1</v>
      </c>
      <c r="L104" s="20">
        <f t="shared" si="43"/>
        <v>140</v>
      </c>
      <c r="M104" s="18">
        <f t="shared" si="44"/>
        <v>140</v>
      </c>
      <c r="N104" s="18">
        <f t="shared" si="45"/>
        <v>140</v>
      </c>
    </row>
    <row r="105" spans="1:14" ht="24">
      <c r="A105" s="13" t="s">
        <v>11</v>
      </c>
      <c r="B105" s="13"/>
      <c r="C105" s="28" t="s">
        <v>17</v>
      </c>
      <c r="D105" s="60">
        <v>26</v>
      </c>
      <c r="E105" s="60">
        <f t="shared" si="47"/>
        <v>26</v>
      </c>
      <c r="F105" s="46">
        <f t="shared" si="46"/>
        <v>18.2</v>
      </c>
      <c r="G105" s="59">
        <v>2.6</v>
      </c>
      <c r="H105" s="59">
        <v>7.8</v>
      </c>
      <c r="I105" s="17">
        <v>7.8</v>
      </c>
      <c r="J105" s="18">
        <v>7.8</v>
      </c>
      <c r="K105" s="18">
        <v>111</v>
      </c>
      <c r="L105" s="20">
        <f t="shared" si="43"/>
        <v>609.8901098901099</v>
      </c>
      <c r="M105" s="18">
        <f t="shared" si="44"/>
        <v>426.9230769230769</v>
      </c>
      <c r="N105" s="18">
        <f t="shared" si="45"/>
        <v>426.9230769230769</v>
      </c>
    </row>
    <row r="106" spans="1:14" ht="25.5" customHeight="1">
      <c r="A106" s="30" t="s">
        <v>40</v>
      </c>
      <c r="B106" s="30"/>
      <c r="C106" s="28" t="s">
        <v>41</v>
      </c>
      <c r="D106" s="60"/>
      <c r="E106" s="60">
        <f t="shared" si="47"/>
        <v>0</v>
      </c>
      <c r="F106" s="46">
        <f t="shared" si="46"/>
        <v>0</v>
      </c>
      <c r="G106" s="59"/>
      <c r="H106" s="59"/>
      <c r="I106" s="17"/>
      <c r="J106" s="18"/>
      <c r="K106" s="18">
        <v>15.5</v>
      </c>
      <c r="L106" s="20"/>
      <c r="M106" s="18"/>
      <c r="N106" s="18"/>
    </row>
    <row r="107" spans="1:14" ht="15" customHeight="1" hidden="1">
      <c r="A107" s="21" t="s">
        <v>12</v>
      </c>
      <c r="B107" s="21"/>
      <c r="C107" s="82" t="s">
        <v>7</v>
      </c>
      <c r="D107" s="60"/>
      <c r="E107" s="60">
        <f t="shared" si="47"/>
        <v>0</v>
      </c>
      <c r="F107" s="46">
        <f t="shared" si="46"/>
        <v>0</v>
      </c>
      <c r="G107" s="59"/>
      <c r="H107" s="59"/>
      <c r="I107" s="17"/>
      <c r="J107" s="18"/>
      <c r="K107" s="18"/>
      <c r="L107" s="20"/>
      <c r="M107" s="18"/>
      <c r="N107" s="18"/>
    </row>
    <row r="108" spans="1:14" ht="16.5" customHeight="1">
      <c r="A108" s="30" t="s">
        <v>37</v>
      </c>
      <c r="B108" s="69"/>
      <c r="C108" s="16" t="s">
        <v>38</v>
      </c>
      <c r="D108" s="60"/>
      <c r="E108" s="60">
        <f t="shared" si="47"/>
        <v>0</v>
      </c>
      <c r="F108" s="46">
        <f t="shared" si="46"/>
        <v>0</v>
      </c>
      <c r="G108" s="59"/>
      <c r="H108" s="59"/>
      <c r="I108" s="17"/>
      <c r="J108" s="18"/>
      <c r="K108" s="18"/>
      <c r="L108" s="27"/>
      <c r="M108" s="24"/>
      <c r="N108" s="18"/>
    </row>
    <row r="109" spans="1:14" ht="12.75">
      <c r="A109" s="65" t="s">
        <v>1</v>
      </c>
      <c r="B109" s="65"/>
      <c r="C109" s="32" t="s">
        <v>0</v>
      </c>
      <c r="D109" s="33">
        <f aca="true" t="shared" si="48" ref="D109:K109">D110+D111</f>
        <v>24190.4</v>
      </c>
      <c r="E109" s="33">
        <f t="shared" si="48"/>
        <v>32544.6</v>
      </c>
      <c r="F109" s="33">
        <f t="shared" si="48"/>
        <v>26497</v>
      </c>
      <c r="G109" s="33">
        <f t="shared" si="48"/>
        <v>6314.1</v>
      </c>
      <c r="H109" s="33">
        <f t="shared" si="48"/>
        <v>9427.1</v>
      </c>
      <c r="I109" s="33">
        <f t="shared" si="48"/>
        <v>10755.8</v>
      </c>
      <c r="J109" s="33">
        <f t="shared" si="48"/>
        <v>6047.6</v>
      </c>
      <c r="K109" s="33">
        <f t="shared" si="48"/>
        <v>26295.5</v>
      </c>
      <c r="L109" s="27">
        <f>K109*100/F109</f>
        <v>99.2395365513077</v>
      </c>
      <c r="M109" s="24">
        <f>K109*100/E109</f>
        <v>80.79835057121612</v>
      </c>
      <c r="N109" s="24">
        <f>K109*100/D109</f>
        <v>108.70221244791321</v>
      </c>
    </row>
    <row r="110" spans="1:14" ht="24">
      <c r="A110" s="14" t="s">
        <v>63</v>
      </c>
      <c r="B110" s="12"/>
      <c r="C110" s="34" t="s">
        <v>20</v>
      </c>
      <c r="D110" s="59">
        <v>24190.4</v>
      </c>
      <c r="E110" s="60">
        <f>G110+H110+I110+J110</f>
        <v>32544.6</v>
      </c>
      <c r="F110" s="46">
        <f t="shared" si="46"/>
        <v>26497</v>
      </c>
      <c r="G110" s="59">
        <f>6047.6+266.5</f>
        <v>6314.1</v>
      </c>
      <c r="H110" s="59">
        <v>9427.1</v>
      </c>
      <c r="I110" s="17">
        <v>10755.8</v>
      </c>
      <c r="J110" s="18">
        <v>6047.6</v>
      </c>
      <c r="K110" s="18">
        <v>26283.1</v>
      </c>
      <c r="L110" s="20">
        <f>K110*100/F110</f>
        <v>99.19273880061894</v>
      </c>
      <c r="M110" s="18">
        <f>K110*100/E110</f>
        <v>80.7602490121249</v>
      </c>
      <c r="N110" s="18">
        <f>K110*100/D110</f>
        <v>108.6509524439447</v>
      </c>
    </row>
    <row r="111" spans="1:14" ht="24" customHeight="1">
      <c r="A111" s="83" t="s">
        <v>71</v>
      </c>
      <c r="B111" s="14"/>
      <c r="C111" s="35" t="s">
        <v>19</v>
      </c>
      <c r="D111" s="35"/>
      <c r="E111" s="60">
        <f t="shared" si="47"/>
        <v>0</v>
      </c>
      <c r="F111" s="60">
        <f>G111+H111</f>
        <v>0</v>
      </c>
      <c r="G111" s="70"/>
      <c r="H111" s="70"/>
      <c r="I111" s="17"/>
      <c r="J111" s="18"/>
      <c r="K111" s="18">
        <v>12.4</v>
      </c>
      <c r="L111" s="27"/>
      <c r="M111" s="24"/>
      <c r="N111" s="18"/>
    </row>
    <row r="112" spans="1:14" ht="12.75">
      <c r="A112" s="21"/>
      <c r="B112" s="22"/>
      <c r="C112" s="23" t="s">
        <v>4</v>
      </c>
      <c r="D112" s="24">
        <f aca="true" t="shared" si="49" ref="D112:K112">D109+D99</f>
        <v>27118.800000000003</v>
      </c>
      <c r="E112" s="24">
        <f t="shared" si="49"/>
        <v>35473</v>
      </c>
      <c r="F112" s="64">
        <f t="shared" si="49"/>
        <v>28675.7</v>
      </c>
      <c r="G112" s="64">
        <f t="shared" si="49"/>
        <v>7015.700000000001</v>
      </c>
      <c r="H112" s="64">
        <f>H109+H99</f>
        <v>10156.300000000001</v>
      </c>
      <c r="I112" s="24">
        <f t="shared" si="49"/>
        <v>11503.699999999999</v>
      </c>
      <c r="J112" s="24">
        <f t="shared" si="49"/>
        <v>6797.3</v>
      </c>
      <c r="K112" s="24">
        <f t="shared" si="49"/>
        <v>28657</v>
      </c>
      <c r="L112" s="27">
        <f>K112*100/F112</f>
        <v>99.93478799122602</v>
      </c>
      <c r="M112" s="24">
        <f>K112*100/E112</f>
        <v>80.78538606827728</v>
      </c>
      <c r="N112" s="24">
        <f>K112*100/D112</f>
        <v>105.67207988554064</v>
      </c>
    </row>
    <row r="113" spans="1:14" ht="12.75">
      <c r="A113" s="189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27"/>
      <c r="M113" s="24"/>
      <c r="N113" s="18"/>
    </row>
    <row r="114" spans="1:14" ht="12.75">
      <c r="A114" s="195" t="s">
        <v>28</v>
      </c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</row>
    <row r="115" spans="1:14" ht="12.75">
      <c r="A115" s="25" t="s">
        <v>3</v>
      </c>
      <c r="B115" s="25"/>
      <c r="C115" s="26" t="s">
        <v>64</v>
      </c>
      <c r="D115" s="27">
        <f>D116+D120+D124+D121+D122+D125+D123+D126+D117+D118+D119</f>
        <v>5340.700000000001</v>
      </c>
      <c r="E115" s="27">
        <f aca="true" t="shared" si="50" ref="E115:J115">E116+E120+E124+E121+E122+E125+E123+E126+E117+E118+E119</f>
        <v>5545.700000000001</v>
      </c>
      <c r="F115" s="27">
        <f t="shared" si="50"/>
        <v>4151</v>
      </c>
      <c r="G115" s="27">
        <f t="shared" si="50"/>
        <v>1344</v>
      </c>
      <c r="H115" s="27">
        <f t="shared" si="50"/>
        <v>1499</v>
      </c>
      <c r="I115" s="27">
        <f t="shared" si="50"/>
        <v>1308</v>
      </c>
      <c r="J115" s="27">
        <f t="shared" si="50"/>
        <v>1394.6999999999998</v>
      </c>
      <c r="K115" s="27">
        <f>K116+K120+K124+K121+K122+K125+K123+K126+K117+K118+K119</f>
        <v>4432</v>
      </c>
      <c r="L115" s="27">
        <f>K115*100/F115</f>
        <v>106.76945314382077</v>
      </c>
      <c r="M115" s="24">
        <f>K115*100/E115</f>
        <v>79.91777413130893</v>
      </c>
      <c r="N115" s="24">
        <f>K115*100/D115</f>
        <v>82.98537644878012</v>
      </c>
    </row>
    <row r="116" spans="1:18" ht="12.75">
      <c r="A116" s="12" t="s">
        <v>76</v>
      </c>
      <c r="B116" s="12"/>
      <c r="C116" s="55" t="s">
        <v>77</v>
      </c>
      <c r="D116" s="60">
        <v>1350</v>
      </c>
      <c r="E116" s="60">
        <f>G116+H116+I116+J116</f>
        <v>1350</v>
      </c>
      <c r="F116" s="46">
        <f aca="true" t="shared" si="51" ref="F116:F128">G116+H116+I116</f>
        <v>1002</v>
      </c>
      <c r="G116" s="60">
        <v>334</v>
      </c>
      <c r="H116" s="60">
        <v>332</v>
      </c>
      <c r="I116" s="18">
        <v>336</v>
      </c>
      <c r="J116" s="18">
        <v>348</v>
      </c>
      <c r="K116" s="18">
        <v>1146.1</v>
      </c>
      <c r="L116" s="20">
        <f>K116*100/F116</f>
        <v>114.38123752495008</v>
      </c>
      <c r="M116" s="18">
        <f>K116*100/E116</f>
        <v>84.89629629629628</v>
      </c>
      <c r="N116" s="18">
        <f>K116*100/D116</f>
        <v>84.89629629629628</v>
      </c>
      <c r="R116" s="2"/>
    </row>
    <row r="117" spans="1:14" ht="36" hidden="1">
      <c r="A117" s="12" t="s">
        <v>73</v>
      </c>
      <c r="B117" s="12"/>
      <c r="C117" s="28" t="s">
        <v>72</v>
      </c>
      <c r="D117" s="60"/>
      <c r="E117" s="60">
        <f>G117+H117+I117+J117</f>
        <v>0</v>
      </c>
      <c r="F117" s="46">
        <f t="shared" si="51"/>
        <v>0</v>
      </c>
      <c r="G117" s="60"/>
      <c r="H117" s="60"/>
      <c r="I117" s="18"/>
      <c r="J117" s="18"/>
      <c r="K117" s="18"/>
      <c r="L117" s="20" t="e">
        <f>K117*100/F117</f>
        <v>#DIV/0!</v>
      </c>
      <c r="M117" s="18" t="e">
        <f>K117*100/E117</f>
        <v>#DIV/0!</v>
      </c>
      <c r="N117" s="18" t="e">
        <f>K117*100/D117</f>
        <v>#DIV/0!</v>
      </c>
    </row>
    <row r="118" spans="1:14" ht="26.25" customHeight="1">
      <c r="A118" s="12" t="s">
        <v>73</v>
      </c>
      <c r="B118" s="12"/>
      <c r="C118" s="28" t="s">
        <v>72</v>
      </c>
      <c r="D118" s="60">
        <v>2957.8</v>
      </c>
      <c r="E118" s="60">
        <f>G118+H118+I118+J118</f>
        <v>2957.8</v>
      </c>
      <c r="F118" s="46">
        <f t="shared" si="51"/>
        <v>2205</v>
      </c>
      <c r="G118" s="60">
        <v>735</v>
      </c>
      <c r="H118" s="60">
        <v>735</v>
      </c>
      <c r="I118" s="18">
        <v>735</v>
      </c>
      <c r="J118" s="18">
        <v>752.8</v>
      </c>
      <c r="K118" s="18">
        <v>2449.4</v>
      </c>
      <c r="L118" s="20">
        <f>K118*100/F118</f>
        <v>111.08390022675736</v>
      </c>
      <c r="M118" s="18">
        <f>K118*100/E118</f>
        <v>82.81154912434917</v>
      </c>
      <c r="N118" s="18">
        <f>K118*100/D118</f>
        <v>82.81154912434917</v>
      </c>
    </row>
    <row r="119" spans="1:14" ht="16.5" customHeight="1">
      <c r="A119" s="12" t="s">
        <v>8</v>
      </c>
      <c r="B119" s="12"/>
      <c r="C119" s="28" t="s">
        <v>5</v>
      </c>
      <c r="D119" s="60">
        <v>0</v>
      </c>
      <c r="E119" s="60">
        <f>G119+H119+I119+J119</f>
        <v>0</v>
      </c>
      <c r="F119" s="46">
        <f t="shared" si="51"/>
        <v>0</v>
      </c>
      <c r="G119" s="60"/>
      <c r="H119" s="60"/>
      <c r="I119" s="18"/>
      <c r="J119" s="18"/>
      <c r="K119" s="18">
        <v>24.4</v>
      </c>
      <c r="L119" s="20"/>
      <c r="M119" s="18"/>
      <c r="N119" s="18"/>
    </row>
    <row r="120" spans="1:14" ht="12.75">
      <c r="A120" s="12" t="s">
        <v>9</v>
      </c>
      <c r="B120" s="12"/>
      <c r="C120" s="28" t="s">
        <v>6</v>
      </c>
      <c r="D120" s="60">
        <v>256.2</v>
      </c>
      <c r="E120" s="60">
        <f aca="true" t="shared" si="52" ref="E120:E128">G120+H120+I120+J120</f>
        <v>256.2</v>
      </c>
      <c r="F120" s="46">
        <f t="shared" si="51"/>
        <v>175</v>
      </c>
      <c r="G120" s="60">
        <v>97</v>
      </c>
      <c r="H120" s="60">
        <v>39</v>
      </c>
      <c r="I120" s="18">
        <v>39</v>
      </c>
      <c r="J120" s="18">
        <v>81.2</v>
      </c>
      <c r="K120" s="18">
        <v>113.7</v>
      </c>
      <c r="L120" s="20">
        <f>K120*100/F120</f>
        <v>64.97142857142858</v>
      </c>
      <c r="M120" s="18">
        <f>K120*100/E120</f>
        <v>44.37939110070258</v>
      </c>
      <c r="N120" s="18">
        <f>K120*100/D120</f>
        <v>44.37939110070258</v>
      </c>
    </row>
    <row r="121" spans="1:14" ht="12.75">
      <c r="A121" s="12" t="s">
        <v>10</v>
      </c>
      <c r="B121" s="12"/>
      <c r="C121" s="28" t="s">
        <v>21</v>
      </c>
      <c r="D121" s="60">
        <v>13.5</v>
      </c>
      <c r="E121" s="60">
        <f t="shared" si="52"/>
        <v>13.5</v>
      </c>
      <c r="F121" s="46">
        <f t="shared" si="51"/>
        <v>9</v>
      </c>
      <c r="G121" s="60">
        <v>3</v>
      </c>
      <c r="H121" s="60">
        <v>3</v>
      </c>
      <c r="I121" s="18">
        <v>3</v>
      </c>
      <c r="J121" s="18">
        <v>4.5</v>
      </c>
      <c r="K121" s="18">
        <v>15.5</v>
      </c>
      <c r="L121" s="20">
        <f>K121*100/F121</f>
        <v>172.22222222222223</v>
      </c>
      <c r="M121" s="18">
        <f>K121*100/E121</f>
        <v>114.81481481481481</v>
      </c>
      <c r="N121" s="18">
        <f>K121*100/D121</f>
        <v>114.81481481481481</v>
      </c>
    </row>
    <row r="122" spans="1:14" ht="23.25" customHeight="1">
      <c r="A122" s="13" t="s">
        <v>11</v>
      </c>
      <c r="B122" s="13"/>
      <c r="C122" s="28" t="s">
        <v>17</v>
      </c>
      <c r="D122" s="60">
        <v>763.2</v>
      </c>
      <c r="E122" s="60">
        <f t="shared" si="52"/>
        <v>763.2</v>
      </c>
      <c r="F122" s="46">
        <f t="shared" si="51"/>
        <v>555</v>
      </c>
      <c r="G122" s="60">
        <v>175</v>
      </c>
      <c r="H122" s="60">
        <v>185</v>
      </c>
      <c r="I122" s="18">
        <v>195</v>
      </c>
      <c r="J122" s="18">
        <v>208.2</v>
      </c>
      <c r="K122" s="18">
        <v>363.4</v>
      </c>
      <c r="L122" s="20">
        <f>K122*100/F122</f>
        <v>65.47747747747748</v>
      </c>
      <c r="M122" s="18">
        <f>K122*100/E122</f>
        <v>47.61530398322851</v>
      </c>
      <c r="N122" s="18">
        <f>K122*100/D122</f>
        <v>47.61530398322851</v>
      </c>
    </row>
    <row r="123" spans="1:14" ht="24.75" customHeight="1">
      <c r="A123" s="30" t="s">
        <v>40</v>
      </c>
      <c r="B123" s="30"/>
      <c r="C123" s="28" t="s">
        <v>41</v>
      </c>
      <c r="D123" s="60">
        <v>0</v>
      </c>
      <c r="E123" s="60">
        <f t="shared" si="52"/>
        <v>0</v>
      </c>
      <c r="F123" s="46">
        <f t="shared" si="51"/>
        <v>0</v>
      </c>
      <c r="G123" s="60"/>
      <c r="H123" s="60"/>
      <c r="I123" s="18"/>
      <c r="J123" s="18"/>
      <c r="K123" s="18">
        <v>114.5</v>
      </c>
      <c r="L123" s="20"/>
      <c r="M123" s="18"/>
      <c r="N123" s="18"/>
    </row>
    <row r="124" spans="1:14" ht="27" customHeight="1" hidden="1">
      <c r="A124" s="29" t="s">
        <v>18</v>
      </c>
      <c r="B124" s="29"/>
      <c r="C124" s="28" t="s">
        <v>15</v>
      </c>
      <c r="D124" s="60"/>
      <c r="E124" s="60">
        <f t="shared" si="52"/>
        <v>0</v>
      </c>
      <c r="F124" s="46">
        <f t="shared" si="51"/>
        <v>0</v>
      </c>
      <c r="G124" s="60"/>
      <c r="H124" s="60"/>
      <c r="I124" s="18"/>
      <c r="J124" s="18"/>
      <c r="K124" s="18"/>
      <c r="L124" s="20"/>
      <c r="M124" s="18"/>
      <c r="N124" s="18"/>
    </row>
    <row r="125" spans="1:14" ht="23.25" customHeight="1" hidden="1">
      <c r="A125" s="21" t="s">
        <v>12</v>
      </c>
      <c r="B125" s="21"/>
      <c r="C125" s="28" t="s">
        <v>7</v>
      </c>
      <c r="D125" s="60"/>
      <c r="E125" s="60">
        <f t="shared" si="52"/>
        <v>0</v>
      </c>
      <c r="F125" s="46">
        <f t="shared" si="51"/>
        <v>0</v>
      </c>
      <c r="G125" s="60"/>
      <c r="H125" s="60"/>
      <c r="I125" s="18"/>
      <c r="J125" s="18"/>
      <c r="K125" s="18"/>
      <c r="L125" s="27" t="e">
        <f>K125*100/F125</f>
        <v>#DIV/0!</v>
      </c>
      <c r="M125" s="24" t="e">
        <f>K125*100/E125</f>
        <v>#DIV/0!</v>
      </c>
      <c r="N125" s="18" t="e">
        <f>K125*100/D125</f>
        <v>#DIV/0!</v>
      </c>
    </row>
    <row r="126" spans="1:14" ht="14.25" customHeight="1">
      <c r="A126" s="29" t="s">
        <v>37</v>
      </c>
      <c r="B126" s="69"/>
      <c r="C126" s="16" t="s">
        <v>38</v>
      </c>
      <c r="D126" s="60"/>
      <c r="E126" s="60">
        <f t="shared" si="52"/>
        <v>205</v>
      </c>
      <c r="F126" s="46">
        <f t="shared" si="51"/>
        <v>205</v>
      </c>
      <c r="G126" s="60"/>
      <c r="H126" s="60">
        <v>205</v>
      </c>
      <c r="I126" s="18"/>
      <c r="J126" s="18"/>
      <c r="K126" s="18">
        <v>205</v>
      </c>
      <c r="L126" s="27"/>
      <c r="M126" s="24"/>
      <c r="N126" s="18"/>
    </row>
    <row r="127" spans="1:14" ht="12.75">
      <c r="A127" s="25" t="s">
        <v>1</v>
      </c>
      <c r="B127" s="25"/>
      <c r="C127" s="32" t="s">
        <v>0</v>
      </c>
      <c r="D127" s="33">
        <f aca="true" t="shared" si="53" ref="D127:K127">D128</f>
        <v>30240.8</v>
      </c>
      <c r="E127" s="33">
        <f t="shared" si="53"/>
        <v>39547.3</v>
      </c>
      <c r="F127" s="66">
        <f t="shared" si="53"/>
        <v>32052.100000000002</v>
      </c>
      <c r="G127" s="66">
        <f t="shared" si="53"/>
        <v>7860.700000000001</v>
      </c>
      <c r="H127" s="66">
        <f t="shared" si="53"/>
        <v>15390.7</v>
      </c>
      <c r="I127" s="66">
        <f t="shared" si="53"/>
        <v>8800.7</v>
      </c>
      <c r="J127" s="33">
        <f t="shared" si="53"/>
        <v>7495.2</v>
      </c>
      <c r="K127" s="33">
        <f t="shared" si="53"/>
        <v>28847.5</v>
      </c>
      <c r="L127" s="27">
        <f>K127*100/F127</f>
        <v>90.00190315143156</v>
      </c>
      <c r="M127" s="24">
        <f>K127*100/E127</f>
        <v>72.94429708222812</v>
      </c>
      <c r="N127" s="24">
        <f>K127*100/D127</f>
        <v>95.39264834263643</v>
      </c>
    </row>
    <row r="128" spans="1:14" ht="24">
      <c r="A128" s="83" t="s">
        <v>63</v>
      </c>
      <c r="B128" s="12"/>
      <c r="C128" s="34" t="s">
        <v>20</v>
      </c>
      <c r="D128" s="59">
        <v>30240.8</v>
      </c>
      <c r="E128" s="60">
        <f t="shared" si="52"/>
        <v>39547.3</v>
      </c>
      <c r="F128" s="46">
        <f t="shared" si="51"/>
        <v>32052.100000000002</v>
      </c>
      <c r="G128" s="60">
        <f>7839.1+21.6</f>
        <v>7860.700000000001</v>
      </c>
      <c r="H128" s="60">
        <v>15390.7</v>
      </c>
      <c r="I128" s="18">
        <v>8800.7</v>
      </c>
      <c r="J128" s="18">
        <v>7495.2</v>
      </c>
      <c r="K128" s="18">
        <v>28847.5</v>
      </c>
      <c r="L128" s="20">
        <f>K128*100/F128</f>
        <v>90.00190315143156</v>
      </c>
      <c r="M128" s="18">
        <f>K128*100/E128</f>
        <v>72.94429708222812</v>
      </c>
      <c r="N128" s="18">
        <f>K128*100/D128</f>
        <v>95.39264834263643</v>
      </c>
    </row>
    <row r="129" spans="1:14" ht="12.75">
      <c r="A129" s="21"/>
      <c r="B129" s="22"/>
      <c r="C129" s="23" t="s">
        <v>4</v>
      </c>
      <c r="D129" s="24">
        <f aca="true" t="shared" si="54" ref="D129:K129">D127+D115</f>
        <v>35581.5</v>
      </c>
      <c r="E129" s="24">
        <f t="shared" si="54"/>
        <v>45093</v>
      </c>
      <c r="F129" s="24">
        <f t="shared" si="54"/>
        <v>36203.100000000006</v>
      </c>
      <c r="G129" s="24">
        <f t="shared" si="54"/>
        <v>9204.7</v>
      </c>
      <c r="H129" s="24">
        <f t="shared" si="54"/>
        <v>16889.7</v>
      </c>
      <c r="I129" s="24">
        <f t="shared" si="54"/>
        <v>10108.7</v>
      </c>
      <c r="J129" s="24">
        <f t="shared" si="54"/>
        <v>8889.9</v>
      </c>
      <c r="K129" s="24">
        <f t="shared" si="54"/>
        <v>33279.5</v>
      </c>
      <c r="L129" s="27">
        <f>K129*100/F129</f>
        <v>91.92444845883362</v>
      </c>
      <c r="M129" s="24">
        <f>K129*100/E129</f>
        <v>73.80192047546183</v>
      </c>
      <c r="N129" s="24">
        <f>K129*100/D129</f>
        <v>93.53034582578024</v>
      </c>
    </row>
    <row r="130" spans="1:14" ht="12.75">
      <c r="A130" s="189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27"/>
      <c r="M130" s="24"/>
      <c r="N130" s="18"/>
    </row>
    <row r="131" spans="1:14" ht="12.75">
      <c r="A131" s="195" t="s">
        <v>29</v>
      </c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</row>
    <row r="132" spans="1:14" ht="12.75">
      <c r="A132" s="25" t="s">
        <v>3</v>
      </c>
      <c r="B132" s="25"/>
      <c r="C132" s="26" t="s">
        <v>64</v>
      </c>
      <c r="D132" s="27">
        <f aca="true" t="shared" si="55" ref="D132:J132">D133+D135+D136+D137+D139+D141+D138+D140+D134</f>
        <v>9980</v>
      </c>
      <c r="E132" s="27">
        <f t="shared" si="55"/>
        <v>10005</v>
      </c>
      <c r="F132" s="27">
        <f t="shared" si="55"/>
        <v>7507.5</v>
      </c>
      <c r="G132" s="27">
        <f t="shared" si="55"/>
        <v>2492.5</v>
      </c>
      <c r="H132" s="27">
        <f t="shared" si="55"/>
        <v>2519.5</v>
      </c>
      <c r="I132" s="27">
        <f t="shared" si="55"/>
        <v>2495.5</v>
      </c>
      <c r="J132" s="27">
        <f t="shared" si="55"/>
        <v>2497.5</v>
      </c>
      <c r="K132" s="27">
        <f>K133+K135+K136+K137+K139+K141+K138+K140+K134</f>
        <v>8266.599999999999</v>
      </c>
      <c r="L132" s="27">
        <f aca="true" t="shared" si="56" ref="L132:L137">K132*100/F132</f>
        <v>110.11122211122209</v>
      </c>
      <c r="M132" s="24">
        <f aca="true" t="shared" si="57" ref="M132:M137">K132*100/E132</f>
        <v>82.6246876561719</v>
      </c>
      <c r="N132" s="24">
        <f aca="true" t="shared" si="58" ref="N132:N137">K132*100/D132</f>
        <v>82.8316633266533</v>
      </c>
    </row>
    <row r="133" spans="1:18" ht="12.75">
      <c r="A133" s="12" t="s">
        <v>76</v>
      </c>
      <c r="B133" s="12"/>
      <c r="C133" s="55" t="s">
        <v>77</v>
      </c>
      <c r="D133" s="60">
        <v>2850</v>
      </c>
      <c r="E133" s="60">
        <f>G133+H133+I133+J133</f>
        <v>2850</v>
      </c>
      <c r="F133" s="46">
        <f aca="true" t="shared" si="59" ref="F133:F146">G133+H133+I133</f>
        <v>2137.5</v>
      </c>
      <c r="G133" s="59">
        <v>712.5</v>
      </c>
      <c r="H133" s="59">
        <v>712.5</v>
      </c>
      <c r="I133" s="17">
        <v>712.5</v>
      </c>
      <c r="J133" s="18">
        <v>712.5</v>
      </c>
      <c r="K133" s="18">
        <v>2545.5</v>
      </c>
      <c r="L133" s="20">
        <f t="shared" si="56"/>
        <v>119.08771929824562</v>
      </c>
      <c r="M133" s="18">
        <f t="shared" si="57"/>
        <v>89.3157894736842</v>
      </c>
      <c r="N133" s="18">
        <f t="shared" si="58"/>
        <v>89.3157894736842</v>
      </c>
      <c r="R133" s="2"/>
    </row>
    <row r="134" spans="1:14" ht="23.25" customHeight="1">
      <c r="A134" s="12" t="s">
        <v>73</v>
      </c>
      <c r="B134" s="12"/>
      <c r="C134" s="28" t="s">
        <v>72</v>
      </c>
      <c r="D134" s="60">
        <v>6463.1</v>
      </c>
      <c r="E134" s="60">
        <f>G134+H134+I134+J134</f>
        <v>6463.099999999999</v>
      </c>
      <c r="F134" s="46">
        <f t="shared" si="59"/>
        <v>4847.4</v>
      </c>
      <c r="G134" s="59">
        <v>1615.8</v>
      </c>
      <c r="H134" s="59">
        <v>1615.8</v>
      </c>
      <c r="I134" s="17">
        <v>1615.8</v>
      </c>
      <c r="J134" s="18">
        <v>1615.7</v>
      </c>
      <c r="K134" s="18">
        <v>5352.2</v>
      </c>
      <c r="L134" s="20">
        <f t="shared" si="56"/>
        <v>110.41383009448364</v>
      </c>
      <c r="M134" s="18">
        <f t="shared" si="57"/>
        <v>82.81165385031952</v>
      </c>
      <c r="N134" s="18">
        <f t="shared" si="58"/>
        <v>82.8116538503195</v>
      </c>
    </row>
    <row r="135" spans="1:14" ht="12.75">
      <c r="A135" s="12" t="s">
        <v>9</v>
      </c>
      <c r="B135" s="12"/>
      <c r="C135" s="28" t="s">
        <v>6</v>
      </c>
      <c r="D135" s="60">
        <v>526.9</v>
      </c>
      <c r="E135" s="60">
        <f aca="true" t="shared" si="60" ref="E135:E146">G135+H135+I135+J135</f>
        <v>526.9</v>
      </c>
      <c r="F135" s="46">
        <f t="shared" si="59"/>
        <v>394.5</v>
      </c>
      <c r="G135" s="59">
        <v>131.5</v>
      </c>
      <c r="H135" s="59">
        <v>131.5</v>
      </c>
      <c r="I135" s="17">
        <v>131.5</v>
      </c>
      <c r="J135" s="18">
        <v>132.4</v>
      </c>
      <c r="K135" s="18">
        <v>247.2</v>
      </c>
      <c r="L135" s="20">
        <f t="shared" si="56"/>
        <v>62.661596958174904</v>
      </c>
      <c r="M135" s="18">
        <f t="shared" si="57"/>
        <v>46.915923325109134</v>
      </c>
      <c r="N135" s="18">
        <f t="shared" si="58"/>
        <v>46.915923325109134</v>
      </c>
    </row>
    <row r="136" spans="1:14" ht="12.75">
      <c r="A136" s="12" t="s">
        <v>10</v>
      </c>
      <c r="B136" s="12"/>
      <c r="C136" s="28" t="s">
        <v>21</v>
      </c>
      <c r="D136" s="60">
        <v>20</v>
      </c>
      <c r="E136" s="60">
        <f t="shared" si="60"/>
        <v>20</v>
      </c>
      <c r="F136" s="46">
        <f t="shared" si="59"/>
        <v>14.399999999999999</v>
      </c>
      <c r="G136" s="59">
        <v>4.8</v>
      </c>
      <c r="H136" s="59">
        <v>4.8</v>
      </c>
      <c r="I136" s="17">
        <v>4.8</v>
      </c>
      <c r="J136" s="18">
        <v>5.6</v>
      </c>
      <c r="K136" s="18">
        <v>9.7</v>
      </c>
      <c r="L136" s="20">
        <f t="shared" si="56"/>
        <v>67.36111111111111</v>
      </c>
      <c r="M136" s="18">
        <f t="shared" si="57"/>
        <v>48.49999999999999</v>
      </c>
      <c r="N136" s="18">
        <f t="shared" si="58"/>
        <v>48.49999999999999</v>
      </c>
    </row>
    <row r="137" spans="1:14" ht="24">
      <c r="A137" s="13" t="s">
        <v>11</v>
      </c>
      <c r="B137" s="13"/>
      <c r="C137" s="28" t="s">
        <v>17</v>
      </c>
      <c r="D137" s="60">
        <v>120</v>
      </c>
      <c r="E137" s="60">
        <f t="shared" si="60"/>
        <v>119.99999999999999</v>
      </c>
      <c r="F137" s="46">
        <f t="shared" si="59"/>
        <v>88.69999999999999</v>
      </c>
      <c r="G137" s="59">
        <v>27.9</v>
      </c>
      <c r="H137" s="59">
        <v>29.9</v>
      </c>
      <c r="I137" s="17">
        <v>30.9</v>
      </c>
      <c r="J137" s="18">
        <v>31.3</v>
      </c>
      <c r="K137" s="18">
        <v>112</v>
      </c>
      <c r="L137" s="20">
        <f t="shared" si="56"/>
        <v>126.26832018038333</v>
      </c>
      <c r="M137" s="18">
        <f t="shared" si="57"/>
        <v>93.33333333333334</v>
      </c>
      <c r="N137" s="18">
        <f t="shared" si="58"/>
        <v>93.33333333333333</v>
      </c>
    </row>
    <row r="138" spans="1:14" ht="24" hidden="1">
      <c r="A138" s="30" t="s">
        <v>40</v>
      </c>
      <c r="B138" s="30"/>
      <c r="C138" s="28" t="s">
        <v>41</v>
      </c>
      <c r="D138" s="60">
        <v>0</v>
      </c>
      <c r="E138" s="60">
        <f t="shared" si="60"/>
        <v>0</v>
      </c>
      <c r="F138" s="46">
        <f t="shared" si="59"/>
        <v>0</v>
      </c>
      <c r="G138" s="59"/>
      <c r="H138" s="59"/>
      <c r="I138" s="17"/>
      <c r="J138" s="18"/>
      <c r="K138" s="18"/>
      <c r="L138" s="20"/>
      <c r="M138" s="18"/>
      <c r="N138" s="18"/>
    </row>
    <row r="139" spans="1:14" ht="18.75" customHeight="1" hidden="1">
      <c r="A139" s="30" t="s">
        <v>18</v>
      </c>
      <c r="B139" s="30"/>
      <c r="C139" s="28" t="s">
        <v>15</v>
      </c>
      <c r="D139" s="60">
        <v>0</v>
      </c>
      <c r="E139" s="60">
        <f t="shared" si="60"/>
        <v>0</v>
      </c>
      <c r="F139" s="46">
        <f t="shared" si="59"/>
        <v>0</v>
      </c>
      <c r="G139" s="59"/>
      <c r="H139" s="59"/>
      <c r="I139" s="17"/>
      <c r="J139" s="18"/>
      <c r="K139" s="18"/>
      <c r="L139" s="20" t="e">
        <f>K139*100/F139</f>
        <v>#DIV/0!</v>
      </c>
      <c r="M139" s="18" t="e">
        <f>K139*100/E139</f>
        <v>#DIV/0!</v>
      </c>
      <c r="N139" s="18"/>
    </row>
    <row r="140" spans="1:14" ht="15" customHeight="1" hidden="1">
      <c r="A140" s="21" t="s">
        <v>12</v>
      </c>
      <c r="B140" s="21"/>
      <c r="C140" s="28" t="s">
        <v>7</v>
      </c>
      <c r="D140" s="60"/>
      <c r="E140" s="60">
        <f t="shared" si="60"/>
        <v>0</v>
      </c>
      <c r="F140" s="46">
        <f t="shared" si="59"/>
        <v>0</v>
      </c>
      <c r="G140" s="59"/>
      <c r="H140" s="59"/>
      <c r="I140" s="17"/>
      <c r="J140" s="18"/>
      <c r="K140" s="18"/>
      <c r="L140" s="20"/>
      <c r="M140" s="18"/>
      <c r="N140" s="18"/>
    </row>
    <row r="141" spans="1:14" ht="18" customHeight="1">
      <c r="A141" s="30" t="s">
        <v>37</v>
      </c>
      <c r="B141" s="69"/>
      <c r="C141" s="16" t="s">
        <v>38</v>
      </c>
      <c r="D141" s="60"/>
      <c r="E141" s="60">
        <f t="shared" si="60"/>
        <v>25</v>
      </c>
      <c r="F141" s="46">
        <f t="shared" si="59"/>
        <v>25</v>
      </c>
      <c r="G141" s="59"/>
      <c r="H141" s="59">
        <v>25</v>
      </c>
      <c r="I141" s="17"/>
      <c r="J141" s="18"/>
      <c r="K141" s="17"/>
      <c r="L141" s="20"/>
      <c r="M141" s="18"/>
      <c r="N141" s="18"/>
    </row>
    <row r="142" spans="1:14" ht="18" customHeight="1">
      <c r="A142" s="65" t="s">
        <v>1</v>
      </c>
      <c r="B142" s="65"/>
      <c r="C142" s="32" t="s">
        <v>0</v>
      </c>
      <c r="D142" s="33">
        <f aca="true" t="shared" si="61" ref="D142:J142">D143+D144+D145</f>
        <v>46099.1</v>
      </c>
      <c r="E142" s="33">
        <f>E143+E144+E146</f>
        <v>69787.8</v>
      </c>
      <c r="F142" s="33">
        <f t="shared" si="61"/>
        <v>57792.8</v>
      </c>
      <c r="G142" s="33">
        <f>G143+G144+G145+G146</f>
        <v>22701.5</v>
      </c>
      <c r="H142" s="33">
        <f t="shared" si="61"/>
        <v>21088.8</v>
      </c>
      <c r="I142" s="33">
        <f t="shared" si="61"/>
        <v>14002.5</v>
      </c>
      <c r="J142" s="33">
        <f t="shared" si="61"/>
        <v>11995</v>
      </c>
      <c r="K142" s="33">
        <f>K143+K144+K145+K146</f>
        <v>48251</v>
      </c>
      <c r="L142" s="27">
        <f aca="true" t="shared" si="62" ref="L142:L147">K142*100/F142</f>
        <v>83.48963884774574</v>
      </c>
      <c r="M142" s="24">
        <f aca="true" t="shared" si="63" ref="M142:M147">K142*100/E142</f>
        <v>69.13959173379874</v>
      </c>
      <c r="N142" s="24">
        <f>K142*100/D142</f>
        <v>104.6679870105924</v>
      </c>
    </row>
    <row r="143" spans="1:14" ht="24">
      <c r="A143" s="83" t="s">
        <v>63</v>
      </c>
      <c r="B143" s="12"/>
      <c r="C143" s="34" t="s">
        <v>20</v>
      </c>
      <c r="D143" s="59">
        <v>46099.1</v>
      </c>
      <c r="E143" s="60">
        <f>G143+H143+I143+J143</f>
        <v>69787.8</v>
      </c>
      <c r="F143" s="46">
        <f t="shared" si="59"/>
        <v>57792.8</v>
      </c>
      <c r="G143" s="59">
        <f>22671.5+30</f>
        <v>22701.5</v>
      </c>
      <c r="H143" s="59">
        <v>21088.8</v>
      </c>
      <c r="I143" s="17">
        <v>14002.5</v>
      </c>
      <c r="J143" s="18">
        <v>11995</v>
      </c>
      <c r="K143" s="18">
        <v>48226</v>
      </c>
      <c r="L143" s="20">
        <f t="shared" si="62"/>
        <v>83.44638086405226</v>
      </c>
      <c r="M143" s="18">
        <f t="shared" si="63"/>
        <v>69.10376885358185</v>
      </c>
      <c r="N143" s="18">
        <f>K143*100/D143</f>
        <v>104.61375601692875</v>
      </c>
    </row>
    <row r="144" spans="1:14" ht="12.75" customHeight="1" hidden="1">
      <c r="A144" s="83" t="s">
        <v>2</v>
      </c>
      <c r="B144" s="14"/>
      <c r="C144" s="35" t="s">
        <v>19</v>
      </c>
      <c r="D144" s="35"/>
      <c r="E144" s="60">
        <f t="shared" si="60"/>
        <v>0</v>
      </c>
      <c r="F144" s="46">
        <f t="shared" si="59"/>
        <v>0</v>
      </c>
      <c r="G144" s="70"/>
      <c r="H144" s="70"/>
      <c r="I144" s="17"/>
      <c r="J144" s="18"/>
      <c r="K144" s="18"/>
      <c r="L144" s="20" t="e">
        <f t="shared" si="62"/>
        <v>#DIV/0!</v>
      </c>
      <c r="M144" s="18" t="e">
        <f t="shared" si="63"/>
        <v>#DIV/0!</v>
      </c>
      <c r="N144" s="18" t="e">
        <f>K144*100/D144</f>
        <v>#DIV/0!</v>
      </c>
    </row>
    <row r="145" spans="1:14" ht="33" customHeight="1" hidden="1">
      <c r="A145" s="83" t="s">
        <v>62</v>
      </c>
      <c r="B145" s="68"/>
      <c r="C145" s="19" t="s">
        <v>60</v>
      </c>
      <c r="D145" s="35"/>
      <c r="E145" s="60">
        <f t="shared" si="60"/>
        <v>0</v>
      </c>
      <c r="F145" s="46">
        <f t="shared" si="59"/>
        <v>0</v>
      </c>
      <c r="G145" s="70"/>
      <c r="H145" s="70"/>
      <c r="I145" s="17"/>
      <c r="J145" s="18"/>
      <c r="K145" s="18"/>
      <c r="L145" s="20" t="e">
        <f t="shared" si="62"/>
        <v>#DIV/0!</v>
      </c>
      <c r="M145" s="18" t="e">
        <f t="shared" si="63"/>
        <v>#DIV/0!</v>
      </c>
      <c r="N145" s="18" t="e">
        <f>K145*100/D145</f>
        <v>#DIV/0!</v>
      </c>
    </row>
    <row r="146" spans="1:14" ht="16.5" customHeight="1">
      <c r="A146" s="83" t="s">
        <v>71</v>
      </c>
      <c r="B146" s="14"/>
      <c r="C146" s="35" t="s">
        <v>19</v>
      </c>
      <c r="D146" s="35"/>
      <c r="E146" s="60">
        <f t="shared" si="60"/>
        <v>0</v>
      </c>
      <c r="F146" s="46">
        <f t="shared" si="59"/>
        <v>0</v>
      </c>
      <c r="G146" s="70"/>
      <c r="H146" s="70"/>
      <c r="I146" s="17"/>
      <c r="J146" s="18"/>
      <c r="K146" s="18">
        <v>25</v>
      </c>
      <c r="L146" s="20"/>
      <c r="M146" s="18"/>
      <c r="N146" s="18"/>
    </row>
    <row r="147" spans="1:14" ht="12.75">
      <c r="A147" s="21"/>
      <c r="B147" s="22"/>
      <c r="C147" s="23" t="s">
        <v>4</v>
      </c>
      <c r="D147" s="24">
        <f aca="true" t="shared" si="64" ref="D147:J147">D142+D132</f>
        <v>56079.1</v>
      </c>
      <c r="E147" s="24">
        <f t="shared" si="64"/>
        <v>79792.8</v>
      </c>
      <c r="F147" s="24">
        <f t="shared" si="64"/>
        <v>65300.3</v>
      </c>
      <c r="G147" s="64">
        <f t="shared" si="64"/>
        <v>25194</v>
      </c>
      <c r="H147" s="64">
        <f t="shared" si="64"/>
        <v>23608.3</v>
      </c>
      <c r="I147" s="64">
        <f t="shared" si="64"/>
        <v>16498</v>
      </c>
      <c r="J147" s="24">
        <f t="shared" si="64"/>
        <v>14492.5</v>
      </c>
      <c r="K147" s="24">
        <f>K142+K132</f>
        <v>56517.6</v>
      </c>
      <c r="L147" s="27">
        <f t="shared" si="62"/>
        <v>86.55029149942649</v>
      </c>
      <c r="M147" s="24">
        <f t="shared" si="63"/>
        <v>70.83045086774746</v>
      </c>
      <c r="N147" s="24">
        <f>K147*100/D147</f>
        <v>100.78193123641428</v>
      </c>
    </row>
    <row r="148" spans="1:14" ht="12.75">
      <c r="A148" s="202"/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7"/>
      <c r="M148" s="24"/>
      <c r="N148" s="18"/>
    </row>
    <row r="149" spans="1:14" ht="12.75">
      <c r="A149" s="195" t="s">
        <v>30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</row>
    <row r="150" spans="1:14" ht="12.75">
      <c r="A150" s="25" t="s">
        <v>3</v>
      </c>
      <c r="B150" s="25"/>
      <c r="C150" s="26" t="s">
        <v>64</v>
      </c>
      <c r="D150" s="27">
        <f aca="true" t="shared" si="65" ref="D150:J150">D151+D154+D156+D158+D155+D159+D157+D160+D153+D152</f>
        <v>22876.9</v>
      </c>
      <c r="E150" s="27">
        <f t="shared" si="65"/>
        <v>24317.6</v>
      </c>
      <c r="F150" s="27">
        <f t="shared" si="65"/>
        <v>18556.1</v>
      </c>
      <c r="G150" s="27">
        <f t="shared" si="65"/>
        <v>5434.6</v>
      </c>
      <c r="H150" s="27">
        <f t="shared" si="65"/>
        <v>6141.4</v>
      </c>
      <c r="I150" s="27">
        <f t="shared" si="65"/>
        <v>6980.1</v>
      </c>
      <c r="J150" s="27">
        <f t="shared" si="65"/>
        <v>5761.5</v>
      </c>
      <c r="K150" s="27">
        <f>K151+K154+K156+K158+K155+K159+K157+K160+K153+K152</f>
        <v>19265.1</v>
      </c>
      <c r="L150" s="27">
        <f aca="true" t="shared" si="66" ref="L150:L156">K150*100/F150</f>
        <v>103.82084597517797</v>
      </c>
      <c r="M150" s="24">
        <f aca="true" t="shared" si="67" ref="M150:M156">K150*100/E150</f>
        <v>79.22286738822909</v>
      </c>
      <c r="N150" s="24">
        <f aca="true" t="shared" si="68" ref="N150:N156">K150*100/D150</f>
        <v>84.21202173371391</v>
      </c>
    </row>
    <row r="151" spans="1:18" ht="12.75">
      <c r="A151" s="12" t="s">
        <v>76</v>
      </c>
      <c r="B151" s="12"/>
      <c r="C151" s="55" t="s">
        <v>77</v>
      </c>
      <c r="D151" s="60">
        <v>14100</v>
      </c>
      <c r="E151" s="59">
        <f>G151+H151+I151+J151</f>
        <v>14464.199999999999</v>
      </c>
      <c r="F151" s="46">
        <f aca="true" t="shared" si="69" ref="F151:F164">G151+H151+I151</f>
        <v>11114.8</v>
      </c>
      <c r="G151" s="59">
        <v>3250</v>
      </c>
      <c r="H151" s="59">
        <v>3463.2</v>
      </c>
      <c r="I151" s="17">
        <v>4401.6</v>
      </c>
      <c r="J151" s="18">
        <v>3349.4</v>
      </c>
      <c r="K151" s="18">
        <v>11704.8</v>
      </c>
      <c r="L151" s="20">
        <f t="shared" si="66"/>
        <v>105.30823766509519</v>
      </c>
      <c r="M151" s="18">
        <f t="shared" si="67"/>
        <v>80.92255361513254</v>
      </c>
      <c r="N151" s="18">
        <f t="shared" si="68"/>
        <v>83.0127659574468</v>
      </c>
      <c r="R151" s="2"/>
    </row>
    <row r="152" spans="1:14" ht="25.5" customHeight="1">
      <c r="A152" s="12" t="s">
        <v>73</v>
      </c>
      <c r="B152" s="12"/>
      <c r="C152" s="28" t="s">
        <v>72</v>
      </c>
      <c r="D152" s="60">
        <v>6790.4</v>
      </c>
      <c r="E152" s="59">
        <f>G152+H152+I152+J152</f>
        <v>6790.4</v>
      </c>
      <c r="F152" s="46">
        <f t="shared" si="69"/>
        <v>5119.9</v>
      </c>
      <c r="G152" s="59">
        <v>1789.6</v>
      </c>
      <c r="H152" s="59">
        <v>1607.6</v>
      </c>
      <c r="I152" s="17">
        <v>1722.7</v>
      </c>
      <c r="J152" s="18">
        <v>1670.5</v>
      </c>
      <c r="K152" s="18">
        <v>5623.3</v>
      </c>
      <c r="L152" s="20">
        <f t="shared" si="66"/>
        <v>109.83222328561105</v>
      </c>
      <c r="M152" s="18">
        <f t="shared" si="67"/>
        <v>82.8125</v>
      </c>
      <c r="N152" s="18">
        <f t="shared" si="68"/>
        <v>82.8125</v>
      </c>
    </row>
    <row r="153" spans="1:14" ht="12.75" customHeight="1">
      <c r="A153" s="12" t="s">
        <v>8</v>
      </c>
      <c r="B153" s="12"/>
      <c r="C153" s="28" t="s">
        <v>5</v>
      </c>
      <c r="D153" s="60">
        <v>5</v>
      </c>
      <c r="E153" s="59">
        <f aca="true" t="shared" si="70" ref="E153:E164">G153+H153+I153+J153</f>
        <v>84.4</v>
      </c>
      <c r="F153" s="46">
        <f t="shared" si="69"/>
        <v>83.2</v>
      </c>
      <c r="G153" s="59">
        <v>1.3</v>
      </c>
      <c r="H153" s="59">
        <v>80.9</v>
      </c>
      <c r="I153" s="17">
        <v>1</v>
      </c>
      <c r="J153" s="18">
        <v>1.2</v>
      </c>
      <c r="K153" s="18">
        <v>78.4</v>
      </c>
      <c r="L153" s="20">
        <f t="shared" si="66"/>
        <v>94.23076923076924</v>
      </c>
      <c r="M153" s="18">
        <f t="shared" si="67"/>
        <v>92.89099526066352</v>
      </c>
      <c r="N153" s="18">
        <f t="shared" si="68"/>
        <v>1568.0000000000002</v>
      </c>
    </row>
    <row r="154" spans="1:14" ht="12.75">
      <c r="A154" s="12" t="s">
        <v>9</v>
      </c>
      <c r="B154" s="12"/>
      <c r="C154" s="28" t="s">
        <v>6</v>
      </c>
      <c r="D154" s="60">
        <v>1658.2</v>
      </c>
      <c r="E154" s="59">
        <f t="shared" si="70"/>
        <v>1658.2</v>
      </c>
      <c r="F154" s="46">
        <f t="shared" si="69"/>
        <v>1006</v>
      </c>
      <c r="G154" s="59">
        <v>314.2</v>
      </c>
      <c r="H154" s="59">
        <v>327.1</v>
      </c>
      <c r="I154" s="17">
        <v>364.7</v>
      </c>
      <c r="J154" s="18">
        <v>652.2</v>
      </c>
      <c r="K154" s="18">
        <v>743.4</v>
      </c>
      <c r="L154" s="20">
        <f t="shared" si="66"/>
        <v>73.89662027833002</v>
      </c>
      <c r="M154" s="18">
        <f t="shared" si="67"/>
        <v>44.83174526595103</v>
      </c>
      <c r="N154" s="18">
        <f t="shared" si="68"/>
        <v>44.83174526595103</v>
      </c>
    </row>
    <row r="155" spans="1:14" ht="12.75">
      <c r="A155" s="12" t="s">
        <v>10</v>
      </c>
      <c r="B155" s="12"/>
      <c r="C155" s="28" t="s">
        <v>21</v>
      </c>
      <c r="D155" s="60">
        <v>67</v>
      </c>
      <c r="E155" s="59">
        <f t="shared" si="70"/>
        <v>76.6</v>
      </c>
      <c r="F155" s="46">
        <f t="shared" si="69"/>
        <v>60.5</v>
      </c>
      <c r="G155" s="59">
        <v>18.3</v>
      </c>
      <c r="H155" s="59">
        <v>13.7</v>
      </c>
      <c r="I155" s="17">
        <v>28.5</v>
      </c>
      <c r="J155" s="18">
        <v>16.1</v>
      </c>
      <c r="K155" s="18">
        <v>90.4</v>
      </c>
      <c r="L155" s="20">
        <f t="shared" si="66"/>
        <v>149.4214876033058</v>
      </c>
      <c r="M155" s="18">
        <f t="shared" si="67"/>
        <v>118.01566579634466</v>
      </c>
      <c r="N155" s="18">
        <f t="shared" si="68"/>
        <v>134.92537313432837</v>
      </c>
    </row>
    <row r="156" spans="1:14" ht="24">
      <c r="A156" s="13" t="s">
        <v>11</v>
      </c>
      <c r="B156" s="13"/>
      <c r="C156" s="28" t="s">
        <v>17</v>
      </c>
      <c r="D156" s="60">
        <v>256.3</v>
      </c>
      <c r="E156" s="59">
        <f t="shared" si="70"/>
        <v>256.29999999999995</v>
      </c>
      <c r="F156" s="46">
        <f t="shared" si="69"/>
        <v>184.2</v>
      </c>
      <c r="G156" s="59">
        <v>61.2</v>
      </c>
      <c r="H156" s="59">
        <v>61.4</v>
      </c>
      <c r="I156" s="17">
        <v>61.6</v>
      </c>
      <c r="J156" s="18">
        <v>72.1</v>
      </c>
      <c r="K156" s="18">
        <v>99.2</v>
      </c>
      <c r="L156" s="20">
        <f t="shared" si="66"/>
        <v>53.85450597176982</v>
      </c>
      <c r="M156" s="18">
        <f t="shared" si="67"/>
        <v>38.704642996488495</v>
      </c>
      <c r="N156" s="18">
        <f t="shared" si="68"/>
        <v>38.70464299648849</v>
      </c>
    </row>
    <row r="157" spans="1:14" ht="24" customHeight="1">
      <c r="A157" s="30" t="s">
        <v>40</v>
      </c>
      <c r="B157" s="30"/>
      <c r="C157" s="28" t="s">
        <v>41</v>
      </c>
      <c r="D157" s="60"/>
      <c r="E157" s="59">
        <f t="shared" si="70"/>
        <v>900</v>
      </c>
      <c r="F157" s="46">
        <f t="shared" si="69"/>
        <v>900</v>
      </c>
      <c r="G157" s="59"/>
      <c r="H157" s="59">
        <v>500</v>
      </c>
      <c r="I157" s="17">
        <v>400</v>
      </c>
      <c r="J157" s="18"/>
      <c r="K157" s="18">
        <v>837.8</v>
      </c>
      <c r="L157" s="20">
        <f>K157*100/F157</f>
        <v>93.08888888888889</v>
      </c>
      <c r="M157" s="18">
        <f>K157*100/E157</f>
        <v>93.08888888888889</v>
      </c>
      <c r="N157" s="18"/>
    </row>
    <row r="158" spans="1:14" ht="18" customHeight="1" hidden="1">
      <c r="A158" s="29" t="s">
        <v>18</v>
      </c>
      <c r="B158" s="29"/>
      <c r="C158" s="28" t="s">
        <v>15</v>
      </c>
      <c r="D158" s="60"/>
      <c r="E158" s="59">
        <f t="shared" si="70"/>
        <v>0</v>
      </c>
      <c r="F158" s="46">
        <f t="shared" si="69"/>
        <v>0</v>
      </c>
      <c r="G158" s="59"/>
      <c r="H158" s="59"/>
      <c r="I158" s="17"/>
      <c r="J158" s="18"/>
      <c r="K158" s="18"/>
      <c r="L158" s="20" t="e">
        <f>K158*100/F158</f>
        <v>#DIV/0!</v>
      </c>
      <c r="M158" s="18" t="e">
        <f>K158*100/E158</f>
        <v>#DIV/0!</v>
      </c>
      <c r="N158" s="18"/>
    </row>
    <row r="159" spans="1:14" ht="21" customHeight="1">
      <c r="A159" s="21" t="s">
        <v>12</v>
      </c>
      <c r="B159" s="21"/>
      <c r="C159" s="28" t="s">
        <v>7</v>
      </c>
      <c r="D159" s="60"/>
      <c r="E159" s="59">
        <f t="shared" si="70"/>
        <v>87.5</v>
      </c>
      <c r="F159" s="46">
        <f t="shared" si="69"/>
        <v>87.5</v>
      </c>
      <c r="G159" s="59"/>
      <c r="H159" s="59">
        <v>87.5</v>
      </c>
      <c r="I159" s="17"/>
      <c r="J159" s="18"/>
      <c r="K159" s="18">
        <v>92</v>
      </c>
      <c r="L159" s="20">
        <f>K159*100/F159</f>
        <v>105.14285714285714</v>
      </c>
      <c r="M159" s="18">
        <f>K159*100/E159</f>
        <v>105.14285714285714</v>
      </c>
      <c r="N159" s="18"/>
    </row>
    <row r="160" spans="1:14" ht="16.5" customHeight="1">
      <c r="A160" s="29" t="s">
        <v>37</v>
      </c>
      <c r="B160" s="61"/>
      <c r="C160" s="16" t="s">
        <v>38</v>
      </c>
      <c r="D160" s="60"/>
      <c r="E160" s="59">
        <f t="shared" si="70"/>
        <v>0</v>
      </c>
      <c r="F160" s="46">
        <f t="shared" si="69"/>
        <v>0</v>
      </c>
      <c r="G160" s="59"/>
      <c r="H160" s="59"/>
      <c r="I160" s="17"/>
      <c r="J160" s="18"/>
      <c r="K160" s="18">
        <v>-4.2</v>
      </c>
      <c r="L160" s="27"/>
      <c r="M160" s="24"/>
      <c r="N160" s="18"/>
    </row>
    <row r="161" spans="1:14" ht="12.75">
      <c r="A161" s="25" t="s">
        <v>1</v>
      </c>
      <c r="B161" s="25"/>
      <c r="C161" s="32" t="s">
        <v>0</v>
      </c>
      <c r="D161" s="33">
        <f>D162+D163+D164</f>
        <v>29090.1</v>
      </c>
      <c r="E161" s="33">
        <f aca="true" t="shared" si="71" ref="E161:J161">E162+E163+E164</f>
        <v>41621.799999999996</v>
      </c>
      <c r="F161" s="33">
        <f t="shared" si="71"/>
        <v>35166.7</v>
      </c>
      <c r="G161" s="33">
        <f t="shared" si="71"/>
        <v>21775.899999999998</v>
      </c>
      <c r="H161" s="33">
        <f t="shared" si="71"/>
        <v>-35.9</v>
      </c>
      <c r="I161" s="33">
        <f t="shared" si="71"/>
        <v>13426.7</v>
      </c>
      <c r="J161" s="33">
        <f t="shared" si="71"/>
        <v>6455.1</v>
      </c>
      <c r="K161" s="33">
        <f>K162+K163+K164-0.1</f>
        <v>31495.4</v>
      </c>
      <c r="L161" s="27">
        <f>K161*100/F161</f>
        <v>89.56029425564526</v>
      </c>
      <c r="M161" s="24">
        <f>K161*100/E161</f>
        <v>75.67044193187225</v>
      </c>
      <c r="N161" s="24">
        <f>K161*100/D161</f>
        <v>108.26844871622993</v>
      </c>
    </row>
    <row r="162" spans="1:14" ht="24">
      <c r="A162" s="83" t="s">
        <v>63</v>
      </c>
      <c r="B162" s="12"/>
      <c r="C162" s="34" t="s">
        <v>20</v>
      </c>
      <c r="D162" s="59">
        <v>29090.1</v>
      </c>
      <c r="E162" s="59">
        <f t="shared" si="70"/>
        <v>42092.49999999999</v>
      </c>
      <c r="F162" s="46">
        <f t="shared" si="69"/>
        <v>35637.399999999994</v>
      </c>
      <c r="G162" s="59">
        <f>22182.5+64.1</f>
        <v>22246.6</v>
      </c>
      <c r="H162" s="59">
        <v>-35.9</v>
      </c>
      <c r="I162" s="17">
        <v>13426.7</v>
      </c>
      <c r="J162" s="18">
        <v>6455.1</v>
      </c>
      <c r="K162" s="18">
        <v>31966.2</v>
      </c>
      <c r="L162" s="20">
        <f>K162*100/F162</f>
        <v>89.69846285082527</v>
      </c>
      <c r="M162" s="18">
        <f>K162*100/E162</f>
        <v>75.94274514462198</v>
      </c>
      <c r="N162" s="18">
        <f>K162*100/D162</f>
        <v>109.88686872853651</v>
      </c>
    </row>
    <row r="163" spans="1:14" ht="30.75" customHeight="1" hidden="1">
      <c r="A163" s="83" t="s">
        <v>71</v>
      </c>
      <c r="B163" s="14"/>
      <c r="C163" s="35" t="s">
        <v>19</v>
      </c>
      <c r="D163" s="35"/>
      <c r="E163" s="59">
        <f t="shared" si="70"/>
        <v>0</v>
      </c>
      <c r="F163" s="46">
        <f t="shared" si="69"/>
        <v>0</v>
      </c>
      <c r="G163" s="59"/>
      <c r="H163" s="59"/>
      <c r="I163" s="17"/>
      <c r="J163" s="18"/>
      <c r="K163" s="18"/>
      <c r="L163" s="20" t="e">
        <f>K163*100/F163</f>
        <v>#DIV/0!</v>
      </c>
      <c r="M163" s="18" t="e">
        <f>K163*100/E163</f>
        <v>#DIV/0!</v>
      </c>
      <c r="N163" s="18"/>
    </row>
    <row r="164" spans="1:14" ht="36">
      <c r="A164" s="83" t="s">
        <v>62</v>
      </c>
      <c r="B164" s="68"/>
      <c r="C164" s="19" t="s">
        <v>60</v>
      </c>
      <c r="D164" s="35"/>
      <c r="E164" s="59">
        <f t="shared" si="70"/>
        <v>-470.7</v>
      </c>
      <c r="F164" s="46">
        <f t="shared" si="69"/>
        <v>-470.7</v>
      </c>
      <c r="G164" s="59">
        <v>-470.7</v>
      </c>
      <c r="H164" s="59"/>
      <c r="I164" s="17"/>
      <c r="J164" s="18"/>
      <c r="K164" s="18">
        <v>-470.7</v>
      </c>
      <c r="L164" s="20">
        <f>K164*100/F164</f>
        <v>100</v>
      </c>
      <c r="M164" s="18">
        <f>K164*100/E164</f>
        <v>100</v>
      </c>
      <c r="N164" s="18"/>
    </row>
    <row r="165" spans="1:14" ht="12.75">
      <c r="A165" s="21"/>
      <c r="B165" s="22"/>
      <c r="C165" s="23" t="s">
        <v>4</v>
      </c>
      <c r="D165" s="24">
        <f aca="true" t="shared" si="72" ref="D165:J165">D161+D150</f>
        <v>51967</v>
      </c>
      <c r="E165" s="24">
        <f t="shared" si="72"/>
        <v>65939.4</v>
      </c>
      <c r="F165" s="24">
        <f t="shared" si="72"/>
        <v>53722.799999999996</v>
      </c>
      <c r="G165" s="24">
        <f t="shared" si="72"/>
        <v>27210.5</v>
      </c>
      <c r="H165" s="24">
        <f t="shared" si="72"/>
        <v>6105.5</v>
      </c>
      <c r="I165" s="24">
        <f t="shared" si="72"/>
        <v>20406.800000000003</v>
      </c>
      <c r="J165" s="24">
        <f t="shared" si="72"/>
        <v>12216.6</v>
      </c>
      <c r="K165" s="24">
        <f>K161+K150</f>
        <v>50760.5</v>
      </c>
      <c r="L165" s="27">
        <f>K165*100/F165</f>
        <v>94.48595382221329</v>
      </c>
      <c r="M165" s="24">
        <f>K165*100/E165</f>
        <v>76.98053060840712</v>
      </c>
      <c r="N165" s="24">
        <f>K165*100/D165</f>
        <v>97.67833432755403</v>
      </c>
    </row>
    <row r="166" spans="1:14" ht="12.75">
      <c r="A166" s="189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27"/>
      <c r="M166" s="24"/>
      <c r="N166" s="18"/>
    </row>
    <row r="167" spans="1:14" ht="12.75">
      <c r="A167" s="195" t="s">
        <v>31</v>
      </c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</row>
    <row r="168" spans="1:14" ht="12.75">
      <c r="A168" s="25" t="s">
        <v>3</v>
      </c>
      <c r="B168" s="25"/>
      <c r="C168" s="26" t="s">
        <v>64</v>
      </c>
      <c r="D168" s="27">
        <f aca="true" t="shared" si="73" ref="D168:J168">D169+D172+D173+D174+D176+D177+D178+D175+D170+D171</f>
        <v>7424.099999999999</v>
      </c>
      <c r="E168" s="27">
        <f t="shared" si="73"/>
        <v>7424.099999999999</v>
      </c>
      <c r="F168" s="27">
        <f t="shared" si="73"/>
        <v>5005.7</v>
      </c>
      <c r="G168" s="27">
        <f t="shared" si="73"/>
        <v>1540.9</v>
      </c>
      <c r="H168" s="27">
        <f t="shared" si="73"/>
        <v>1799.1</v>
      </c>
      <c r="I168" s="27">
        <f t="shared" si="73"/>
        <v>1665.6999999999998</v>
      </c>
      <c r="J168" s="27">
        <f t="shared" si="73"/>
        <v>2418.3999999999996</v>
      </c>
      <c r="K168" s="27">
        <f>K169+K172+K173+K174+K176+K177+K178+K175+K170+K171</f>
        <v>5064.8</v>
      </c>
      <c r="L168" s="27">
        <f aca="true" t="shared" si="74" ref="L168:L176">K168*100/F168</f>
        <v>101.18065405437801</v>
      </c>
      <c r="M168" s="24">
        <f aca="true" t="shared" si="75" ref="M168:M176">K168*100/E168</f>
        <v>68.22106383265312</v>
      </c>
      <c r="N168" s="24">
        <f>K168*100/D168</f>
        <v>68.22106383265312</v>
      </c>
    </row>
    <row r="169" spans="1:18" ht="12.75">
      <c r="A169" s="12" t="s">
        <v>76</v>
      </c>
      <c r="B169" s="12"/>
      <c r="C169" s="55" t="s">
        <v>77</v>
      </c>
      <c r="D169" s="60">
        <v>3000</v>
      </c>
      <c r="E169" s="59">
        <f>G169+H169+I169+J169</f>
        <v>3000</v>
      </c>
      <c r="F169" s="46">
        <f aca="true" t="shared" si="76" ref="F169:F180">G169+H169+I169</f>
        <v>2180</v>
      </c>
      <c r="G169" s="60">
        <v>730</v>
      </c>
      <c r="H169" s="60">
        <v>791.7</v>
      </c>
      <c r="I169" s="17">
        <v>658.3</v>
      </c>
      <c r="J169" s="18">
        <v>820</v>
      </c>
      <c r="K169" s="18">
        <v>1936.5</v>
      </c>
      <c r="L169" s="20">
        <f t="shared" si="74"/>
        <v>88.8302752293578</v>
      </c>
      <c r="M169" s="18">
        <f t="shared" si="75"/>
        <v>64.55</v>
      </c>
      <c r="N169" s="18">
        <f>K169*100/D169</f>
        <v>64.55</v>
      </c>
      <c r="R169" s="2"/>
    </row>
    <row r="170" spans="1:14" ht="26.25" customHeight="1">
      <c r="A170" s="12" t="s">
        <v>73</v>
      </c>
      <c r="B170" s="12"/>
      <c r="C170" s="28" t="s">
        <v>72</v>
      </c>
      <c r="D170" s="60">
        <v>2791.2</v>
      </c>
      <c r="E170" s="59">
        <f>G170+H170+I170+J170</f>
        <v>2791.2</v>
      </c>
      <c r="F170" s="46">
        <f t="shared" si="76"/>
        <v>2093.3999999999996</v>
      </c>
      <c r="G170" s="60">
        <v>697.8</v>
      </c>
      <c r="H170" s="60">
        <v>697.8</v>
      </c>
      <c r="I170" s="17">
        <v>697.8</v>
      </c>
      <c r="J170" s="18">
        <v>697.8</v>
      </c>
      <c r="K170" s="18">
        <v>2311.4</v>
      </c>
      <c r="L170" s="20">
        <f t="shared" si="74"/>
        <v>110.41368109295884</v>
      </c>
      <c r="M170" s="18">
        <f t="shared" si="75"/>
        <v>82.81026081971912</v>
      </c>
      <c r="N170" s="18">
        <f>K170*100/D170</f>
        <v>82.81026081971912</v>
      </c>
    </row>
    <row r="171" spans="1:14" ht="17.25" customHeight="1">
      <c r="A171" s="12" t="s">
        <v>8</v>
      </c>
      <c r="B171" s="12"/>
      <c r="C171" s="28" t="s">
        <v>5</v>
      </c>
      <c r="D171" s="60">
        <v>0</v>
      </c>
      <c r="E171" s="59">
        <f>G171+H171+I171+J171</f>
        <v>23.5</v>
      </c>
      <c r="F171" s="46">
        <f t="shared" si="76"/>
        <v>23.5</v>
      </c>
      <c r="G171" s="60"/>
      <c r="H171" s="60">
        <v>23.5</v>
      </c>
      <c r="I171" s="17"/>
      <c r="J171" s="18"/>
      <c r="K171" s="18">
        <v>23.7</v>
      </c>
      <c r="L171" s="20">
        <f t="shared" si="74"/>
        <v>100.85106382978724</v>
      </c>
      <c r="M171" s="18">
        <f t="shared" si="75"/>
        <v>100.85106382978724</v>
      </c>
      <c r="N171" s="18"/>
    </row>
    <row r="172" spans="1:14" ht="12.75">
      <c r="A172" s="12" t="s">
        <v>9</v>
      </c>
      <c r="B172" s="12"/>
      <c r="C172" s="28" t="s">
        <v>6</v>
      </c>
      <c r="D172" s="60">
        <v>818.5</v>
      </c>
      <c r="E172" s="59">
        <f>G172+H172+I172+J172</f>
        <v>818.5</v>
      </c>
      <c r="F172" s="46">
        <f t="shared" si="76"/>
        <v>212</v>
      </c>
      <c r="G172" s="60"/>
      <c r="H172" s="60">
        <v>106</v>
      </c>
      <c r="I172" s="17">
        <v>106</v>
      </c>
      <c r="J172" s="18">
        <v>606.5</v>
      </c>
      <c r="K172" s="18">
        <v>263.4</v>
      </c>
      <c r="L172" s="20">
        <f t="shared" si="74"/>
        <v>124.24528301886791</v>
      </c>
      <c r="M172" s="18">
        <f t="shared" si="75"/>
        <v>32.18081857055589</v>
      </c>
      <c r="N172" s="18">
        <f>K172*100/D172</f>
        <v>32.18081857055589</v>
      </c>
    </row>
    <row r="173" spans="1:14" ht="12.75">
      <c r="A173" s="12" t="s">
        <v>10</v>
      </c>
      <c r="B173" s="12"/>
      <c r="C173" s="28" t="s">
        <v>21</v>
      </c>
      <c r="D173" s="60">
        <v>8</v>
      </c>
      <c r="E173" s="59">
        <f aca="true" t="shared" si="77" ref="E173:E180">G173+H173+I173+J173</f>
        <v>8</v>
      </c>
      <c r="F173" s="46">
        <f t="shared" si="76"/>
        <v>6</v>
      </c>
      <c r="G173" s="60">
        <v>2</v>
      </c>
      <c r="H173" s="60">
        <v>2</v>
      </c>
      <c r="I173" s="17">
        <v>2</v>
      </c>
      <c r="J173" s="18">
        <v>2</v>
      </c>
      <c r="K173" s="18">
        <v>9.1</v>
      </c>
      <c r="L173" s="20">
        <f t="shared" si="74"/>
        <v>151.66666666666666</v>
      </c>
      <c r="M173" s="18">
        <f t="shared" si="75"/>
        <v>113.75</v>
      </c>
      <c r="N173" s="18">
        <f>K173*100/D173</f>
        <v>113.75</v>
      </c>
    </row>
    <row r="174" spans="1:14" ht="24">
      <c r="A174" s="13" t="s">
        <v>11</v>
      </c>
      <c r="B174" s="13"/>
      <c r="C174" s="28" t="s">
        <v>17</v>
      </c>
      <c r="D174" s="60">
        <v>806.4</v>
      </c>
      <c r="E174" s="59">
        <f t="shared" si="77"/>
        <v>782.9</v>
      </c>
      <c r="F174" s="46">
        <f t="shared" si="76"/>
        <v>490.79999999999995</v>
      </c>
      <c r="G174" s="60">
        <v>111.1</v>
      </c>
      <c r="H174" s="60">
        <f>201.6-23.5</f>
        <v>178.1</v>
      </c>
      <c r="I174" s="17">
        <v>201.6</v>
      </c>
      <c r="J174" s="18">
        <v>292.1</v>
      </c>
      <c r="K174" s="18">
        <v>520.6</v>
      </c>
      <c r="L174" s="20">
        <f t="shared" si="74"/>
        <v>106.0717196414018</v>
      </c>
      <c r="M174" s="18">
        <f t="shared" si="75"/>
        <v>66.49635968833823</v>
      </c>
      <c r="N174" s="18">
        <f>K174*100/D174</f>
        <v>64.55853174603175</v>
      </c>
    </row>
    <row r="175" spans="1:14" ht="24" hidden="1">
      <c r="A175" s="30" t="s">
        <v>40</v>
      </c>
      <c r="B175" s="30"/>
      <c r="C175" s="28" t="s">
        <v>41</v>
      </c>
      <c r="D175" s="60"/>
      <c r="E175" s="59">
        <f t="shared" si="77"/>
        <v>0</v>
      </c>
      <c r="F175" s="46">
        <f t="shared" si="76"/>
        <v>0</v>
      </c>
      <c r="G175" s="60"/>
      <c r="H175" s="60"/>
      <c r="I175" s="17"/>
      <c r="J175" s="18"/>
      <c r="K175" s="18"/>
      <c r="L175" s="20" t="e">
        <f t="shared" si="74"/>
        <v>#DIV/0!</v>
      </c>
      <c r="M175" s="18" t="e">
        <f t="shared" si="75"/>
        <v>#DIV/0!</v>
      </c>
      <c r="N175" s="18"/>
    </row>
    <row r="176" spans="1:14" ht="24" hidden="1">
      <c r="A176" s="29" t="s">
        <v>18</v>
      </c>
      <c r="B176" s="29"/>
      <c r="C176" s="28" t="s">
        <v>15</v>
      </c>
      <c r="D176" s="60"/>
      <c r="E176" s="59">
        <f t="shared" si="77"/>
        <v>0</v>
      </c>
      <c r="F176" s="46">
        <f t="shared" si="76"/>
        <v>0</v>
      </c>
      <c r="G176" s="60"/>
      <c r="H176" s="60"/>
      <c r="I176" s="17"/>
      <c r="J176" s="18"/>
      <c r="K176" s="18"/>
      <c r="L176" s="20" t="e">
        <f t="shared" si="74"/>
        <v>#DIV/0!</v>
      </c>
      <c r="M176" s="18" t="e">
        <f t="shared" si="75"/>
        <v>#DIV/0!</v>
      </c>
      <c r="N176" s="18"/>
    </row>
    <row r="177" spans="1:14" ht="15.75" customHeight="1">
      <c r="A177" s="21" t="s">
        <v>12</v>
      </c>
      <c r="B177" s="21"/>
      <c r="C177" s="28" t="s">
        <v>7</v>
      </c>
      <c r="D177" s="60"/>
      <c r="E177" s="59">
        <f t="shared" si="77"/>
        <v>0</v>
      </c>
      <c r="F177" s="46">
        <f t="shared" si="76"/>
        <v>0</v>
      </c>
      <c r="G177" s="60"/>
      <c r="H177" s="60"/>
      <c r="I177" s="17"/>
      <c r="J177" s="18"/>
      <c r="K177" s="18">
        <v>0.1</v>
      </c>
      <c r="L177" s="20"/>
      <c r="M177" s="18"/>
      <c r="N177" s="18"/>
    </row>
    <row r="178" spans="1:14" ht="14.25" customHeight="1">
      <c r="A178" s="62" t="s">
        <v>37</v>
      </c>
      <c r="B178" s="63"/>
      <c r="C178" s="16" t="s">
        <v>38</v>
      </c>
      <c r="D178" s="60"/>
      <c r="E178" s="59">
        <f t="shared" si="77"/>
        <v>0</v>
      </c>
      <c r="F178" s="46">
        <f t="shared" si="76"/>
        <v>0</v>
      </c>
      <c r="G178" s="60"/>
      <c r="H178" s="60"/>
      <c r="I178" s="17"/>
      <c r="J178" s="18"/>
      <c r="K178" s="18"/>
      <c r="L178" s="27"/>
      <c r="M178" s="24"/>
      <c r="N178" s="18"/>
    </row>
    <row r="179" spans="1:14" ht="12.75">
      <c r="A179" s="25" t="s">
        <v>1</v>
      </c>
      <c r="B179" s="25"/>
      <c r="C179" s="32" t="s">
        <v>0</v>
      </c>
      <c r="D179" s="33">
        <f aca="true" t="shared" si="78" ref="D179:K179">D180+D181</f>
        <v>28988.5</v>
      </c>
      <c r="E179" s="33">
        <f t="shared" si="78"/>
        <v>36035.2</v>
      </c>
      <c r="F179" s="66">
        <f t="shared" si="78"/>
        <v>28152.6</v>
      </c>
      <c r="G179" s="66">
        <f t="shared" si="78"/>
        <v>7376</v>
      </c>
      <c r="H179" s="66">
        <f t="shared" si="78"/>
        <v>9127.5</v>
      </c>
      <c r="I179" s="33">
        <f t="shared" si="78"/>
        <v>11649.1</v>
      </c>
      <c r="J179" s="33">
        <f t="shared" si="78"/>
        <v>7882.6</v>
      </c>
      <c r="K179" s="33">
        <f t="shared" si="78"/>
        <v>25608.1</v>
      </c>
      <c r="L179" s="27">
        <f>K179*100/F179</f>
        <v>90.96175841662938</v>
      </c>
      <c r="M179" s="24">
        <f>K179*100/E179</f>
        <v>71.06412618772757</v>
      </c>
      <c r="N179" s="24">
        <f>K179*100/D179</f>
        <v>88.3388240164203</v>
      </c>
    </row>
    <row r="180" spans="1:14" ht="23.25" customHeight="1">
      <c r="A180" s="83" t="s">
        <v>63</v>
      </c>
      <c r="B180" s="12"/>
      <c r="C180" s="34" t="s">
        <v>20</v>
      </c>
      <c r="D180" s="59">
        <v>28988.5</v>
      </c>
      <c r="E180" s="59">
        <f t="shared" si="77"/>
        <v>36035.2</v>
      </c>
      <c r="F180" s="46">
        <f t="shared" si="76"/>
        <v>28152.6</v>
      </c>
      <c r="G180" s="60">
        <f>7246+130</f>
        <v>7376</v>
      </c>
      <c r="H180" s="60">
        <v>9127.5</v>
      </c>
      <c r="I180" s="17">
        <v>11649.1</v>
      </c>
      <c r="J180" s="18">
        <v>7882.6</v>
      </c>
      <c r="K180" s="18">
        <v>25608.1</v>
      </c>
      <c r="L180" s="20">
        <f>K180*100/F180</f>
        <v>90.96175841662938</v>
      </c>
      <c r="M180" s="18">
        <f>K180*100/E180</f>
        <v>71.06412618772757</v>
      </c>
      <c r="N180" s="18">
        <f>K180*100/D180</f>
        <v>88.3388240164203</v>
      </c>
    </row>
    <row r="181" spans="1:14" ht="15.75" customHeight="1" hidden="1">
      <c r="A181" s="14" t="s">
        <v>2</v>
      </c>
      <c r="B181" s="14"/>
      <c r="C181" s="35" t="s">
        <v>19</v>
      </c>
      <c r="D181" s="67"/>
      <c r="E181" s="59">
        <f>G181+H181+I181+J181</f>
        <v>0</v>
      </c>
      <c r="F181" s="46">
        <f>G181+H181</f>
        <v>0</v>
      </c>
      <c r="G181" s="67"/>
      <c r="H181" s="67"/>
      <c r="I181" s="17"/>
      <c r="J181" s="18"/>
      <c r="K181" s="18"/>
      <c r="L181" s="20"/>
      <c r="M181" s="18"/>
      <c r="N181" s="18"/>
    </row>
    <row r="182" spans="1:14" ht="12.75">
      <c r="A182" s="21"/>
      <c r="B182" s="22"/>
      <c r="C182" s="23" t="s">
        <v>4</v>
      </c>
      <c r="D182" s="24">
        <f aca="true" t="shared" si="79" ref="D182:K182">D179+D168</f>
        <v>36412.6</v>
      </c>
      <c r="E182" s="24">
        <f t="shared" si="79"/>
        <v>43459.299999999996</v>
      </c>
      <c r="F182" s="24">
        <f t="shared" si="79"/>
        <v>33158.299999999996</v>
      </c>
      <c r="G182" s="24">
        <f t="shared" si="79"/>
        <v>8916.9</v>
      </c>
      <c r="H182" s="24">
        <f t="shared" si="79"/>
        <v>10926.6</v>
      </c>
      <c r="I182" s="24">
        <f t="shared" si="79"/>
        <v>13314.8</v>
      </c>
      <c r="J182" s="24">
        <f t="shared" si="79"/>
        <v>10301</v>
      </c>
      <c r="K182" s="24">
        <f t="shared" si="79"/>
        <v>30672.899999999998</v>
      </c>
      <c r="L182" s="27">
        <f>K182*100/F182</f>
        <v>92.50444081873921</v>
      </c>
      <c r="M182" s="24">
        <f>K182*100/E182</f>
        <v>70.57844926172305</v>
      </c>
      <c r="N182" s="24">
        <f>K182*100/D182</f>
        <v>84.23704981242757</v>
      </c>
    </row>
    <row r="183" spans="1:14" ht="12.75">
      <c r="A183" s="189"/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27"/>
      <c r="M183" s="24"/>
      <c r="N183" s="18"/>
    </row>
    <row r="184" spans="1:14" ht="12.75">
      <c r="A184" s="195" t="s">
        <v>32</v>
      </c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</row>
    <row r="185" spans="1:14" ht="12.75">
      <c r="A185" s="25" t="s">
        <v>3</v>
      </c>
      <c r="B185" s="25"/>
      <c r="C185" s="26" t="s">
        <v>64</v>
      </c>
      <c r="D185" s="27">
        <f aca="true" t="shared" si="80" ref="D185:J185">D186+D188+D189+D190+D191+D193+D195+D194+D192+D187</f>
        <v>25802.800000000003</v>
      </c>
      <c r="E185" s="27">
        <f t="shared" si="80"/>
        <v>26053.399999999998</v>
      </c>
      <c r="F185" s="27">
        <f t="shared" si="80"/>
        <v>18157.1</v>
      </c>
      <c r="G185" s="27">
        <f t="shared" si="80"/>
        <v>5976.3</v>
      </c>
      <c r="H185" s="27">
        <f t="shared" si="80"/>
        <v>6217.3</v>
      </c>
      <c r="I185" s="27">
        <f t="shared" si="80"/>
        <v>5963.5</v>
      </c>
      <c r="J185" s="27">
        <f t="shared" si="80"/>
        <v>7896.299999999999</v>
      </c>
      <c r="K185" s="27">
        <f>K186+K188+K189+K190+K191+K193+K195+K194+K192+K187-0.1</f>
        <v>20317.100000000002</v>
      </c>
      <c r="L185" s="27">
        <f>K185*100/F185</f>
        <v>111.8961728469855</v>
      </c>
      <c r="M185" s="24">
        <f aca="true" t="shared" si="81" ref="M185:M191">K185*100/E185</f>
        <v>77.98252819209779</v>
      </c>
      <c r="N185" s="24">
        <f aca="true" t="shared" si="82" ref="N185:N191">K185*100/D185</f>
        <v>78.7399041964438</v>
      </c>
    </row>
    <row r="186" spans="1:18" ht="12.75">
      <c r="A186" s="12" t="s">
        <v>76</v>
      </c>
      <c r="B186" s="12"/>
      <c r="C186" s="55" t="s">
        <v>77</v>
      </c>
      <c r="D186" s="60">
        <v>18100</v>
      </c>
      <c r="E186" s="59">
        <f>G186+H186+I186+J186</f>
        <v>18100</v>
      </c>
      <c r="F186" s="46">
        <f aca="true" t="shared" si="83" ref="F186:F197">G186+H186+I186</f>
        <v>13500</v>
      </c>
      <c r="G186" s="59">
        <v>4500</v>
      </c>
      <c r="H186" s="59">
        <v>4500</v>
      </c>
      <c r="I186" s="17">
        <v>4500</v>
      </c>
      <c r="J186" s="18">
        <v>4600</v>
      </c>
      <c r="K186" s="18">
        <v>14589.5</v>
      </c>
      <c r="L186" s="20">
        <f>K186*100/F186</f>
        <v>108.07037037037037</v>
      </c>
      <c r="M186" s="18">
        <f t="shared" si="81"/>
        <v>80.60497237569061</v>
      </c>
      <c r="N186" s="18">
        <f t="shared" si="82"/>
        <v>80.60497237569061</v>
      </c>
      <c r="R186" s="2"/>
    </row>
    <row r="187" spans="1:14" ht="23.25" customHeight="1">
      <c r="A187" s="12" t="s">
        <v>73</v>
      </c>
      <c r="B187" s="12"/>
      <c r="C187" s="28" t="s">
        <v>72</v>
      </c>
      <c r="D187" s="60">
        <v>4499.1</v>
      </c>
      <c r="E187" s="59">
        <f>G187+H187+I187+J187</f>
        <v>4499.099999999999</v>
      </c>
      <c r="F187" s="46">
        <f t="shared" si="83"/>
        <v>3365.3999999999996</v>
      </c>
      <c r="G187" s="59">
        <v>1121.8</v>
      </c>
      <c r="H187" s="59">
        <v>1121.8</v>
      </c>
      <c r="I187" s="17">
        <v>1121.8</v>
      </c>
      <c r="J187" s="18">
        <v>1133.7</v>
      </c>
      <c r="K187" s="18">
        <v>3725.9</v>
      </c>
      <c r="L187" s="20">
        <f>K187*100/F187</f>
        <v>110.71195103108101</v>
      </c>
      <c r="M187" s="18">
        <f t="shared" si="81"/>
        <v>82.81434064590697</v>
      </c>
      <c r="N187" s="18">
        <f t="shared" si="82"/>
        <v>82.81434064590695</v>
      </c>
    </row>
    <row r="188" spans="1:14" ht="13.5" customHeight="1" hidden="1">
      <c r="A188" s="12" t="s">
        <v>8</v>
      </c>
      <c r="B188" s="12"/>
      <c r="C188" s="28" t="s">
        <v>5</v>
      </c>
      <c r="D188" s="60">
        <v>0</v>
      </c>
      <c r="E188" s="59">
        <f aca="true" t="shared" si="84" ref="E188:E198">G188+H188+I188+J188</f>
        <v>0</v>
      </c>
      <c r="F188" s="46">
        <f t="shared" si="83"/>
        <v>0</v>
      </c>
      <c r="G188" s="59"/>
      <c r="H188" s="59"/>
      <c r="I188" s="17"/>
      <c r="J188" s="18"/>
      <c r="K188" s="18"/>
      <c r="L188" s="20"/>
      <c r="M188" s="18" t="e">
        <f t="shared" si="81"/>
        <v>#DIV/0!</v>
      </c>
      <c r="N188" s="18" t="e">
        <f t="shared" si="82"/>
        <v>#DIV/0!</v>
      </c>
    </row>
    <row r="189" spans="1:14" ht="12.75">
      <c r="A189" s="12" t="s">
        <v>9</v>
      </c>
      <c r="B189" s="12"/>
      <c r="C189" s="28" t="s">
        <v>6</v>
      </c>
      <c r="D189" s="60">
        <v>2794.7</v>
      </c>
      <c r="E189" s="59">
        <f t="shared" si="84"/>
        <v>2794.7</v>
      </c>
      <c r="F189" s="46">
        <f t="shared" si="83"/>
        <v>751.5</v>
      </c>
      <c r="G189" s="59">
        <v>250.5</v>
      </c>
      <c r="H189" s="59">
        <v>250.5</v>
      </c>
      <c r="I189" s="17">
        <v>250.5</v>
      </c>
      <c r="J189" s="18">
        <v>2043.2</v>
      </c>
      <c r="K189" s="18">
        <v>1293.8</v>
      </c>
      <c r="L189" s="20">
        <f>K189*100/F189</f>
        <v>172.16234198270126</v>
      </c>
      <c r="M189" s="18">
        <f t="shared" si="81"/>
        <v>46.29477224746842</v>
      </c>
      <c r="N189" s="18">
        <f t="shared" si="82"/>
        <v>46.29477224746842</v>
      </c>
    </row>
    <row r="190" spans="1:14" ht="12.75">
      <c r="A190" s="12" t="s">
        <v>10</v>
      </c>
      <c r="B190" s="12"/>
      <c r="C190" s="28" t="s">
        <v>21</v>
      </c>
      <c r="D190" s="60">
        <v>124</v>
      </c>
      <c r="E190" s="59">
        <f t="shared" si="84"/>
        <v>124</v>
      </c>
      <c r="F190" s="46">
        <f t="shared" si="83"/>
        <v>79.6</v>
      </c>
      <c r="G190" s="59">
        <v>34</v>
      </c>
      <c r="H190" s="59">
        <v>24.4</v>
      </c>
      <c r="I190" s="17">
        <v>21.2</v>
      </c>
      <c r="J190" s="18">
        <v>44.4</v>
      </c>
      <c r="K190" s="18">
        <v>97.1</v>
      </c>
      <c r="L190" s="20">
        <f>K190*100/F190</f>
        <v>121.98492462311559</v>
      </c>
      <c r="M190" s="18">
        <f t="shared" si="81"/>
        <v>78.30645161290323</v>
      </c>
      <c r="N190" s="18">
        <f t="shared" si="82"/>
        <v>78.30645161290323</v>
      </c>
    </row>
    <row r="191" spans="1:14" ht="24">
      <c r="A191" s="13" t="s">
        <v>11</v>
      </c>
      <c r="B191" s="13"/>
      <c r="C191" s="28" t="s">
        <v>17</v>
      </c>
      <c r="D191" s="60">
        <v>285</v>
      </c>
      <c r="E191" s="59">
        <f t="shared" si="84"/>
        <v>285</v>
      </c>
      <c r="F191" s="46">
        <f t="shared" si="83"/>
        <v>210</v>
      </c>
      <c r="G191" s="59">
        <v>70</v>
      </c>
      <c r="H191" s="59">
        <v>70</v>
      </c>
      <c r="I191" s="17">
        <v>70</v>
      </c>
      <c r="J191" s="18">
        <v>75</v>
      </c>
      <c r="K191" s="18">
        <v>167</v>
      </c>
      <c r="L191" s="20">
        <f>K191*100/F191</f>
        <v>79.52380952380952</v>
      </c>
      <c r="M191" s="18">
        <f t="shared" si="81"/>
        <v>58.59649122807018</v>
      </c>
      <c r="N191" s="18">
        <f t="shared" si="82"/>
        <v>58.59649122807018</v>
      </c>
    </row>
    <row r="192" spans="1:14" ht="24.75" customHeight="1">
      <c r="A192" s="29" t="s">
        <v>40</v>
      </c>
      <c r="B192" s="30"/>
      <c r="C192" s="28" t="s">
        <v>41</v>
      </c>
      <c r="D192" s="60"/>
      <c r="E192" s="59">
        <f t="shared" si="84"/>
        <v>250.6</v>
      </c>
      <c r="F192" s="46">
        <f t="shared" si="83"/>
        <v>250.6</v>
      </c>
      <c r="G192" s="59"/>
      <c r="H192" s="59">
        <v>250.6</v>
      </c>
      <c r="I192" s="17"/>
      <c r="J192" s="18"/>
      <c r="K192" s="18">
        <v>294.9</v>
      </c>
      <c r="L192" s="20">
        <f>K192*100/F192</f>
        <v>117.67757382282521</v>
      </c>
      <c r="M192" s="18">
        <f>K192*100/E192</f>
        <v>117.67757382282521</v>
      </c>
      <c r="N192" s="18"/>
    </row>
    <row r="193" spans="1:14" ht="26.25" customHeight="1">
      <c r="A193" s="29" t="s">
        <v>18</v>
      </c>
      <c r="B193" s="30"/>
      <c r="C193" s="28" t="s">
        <v>15</v>
      </c>
      <c r="D193" s="60"/>
      <c r="E193" s="59">
        <f t="shared" si="84"/>
        <v>0</v>
      </c>
      <c r="F193" s="46">
        <f t="shared" si="83"/>
        <v>0</v>
      </c>
      <c r="G193" s="59"/>
      <c r="H193" s="59"/>
      <c r="I193" s="17"/>
      <c r="J193" s="18"/>
      <c r="K193" s="18">
        <v>149</v>
      </c>
      <c r="L193" s="20"/>
      <c r="M193" s="18"/>
      <c r="N193" s="18"/>
    </row>
    <row r="194" spans="1:14" ht="15.75" customHeight="1" hidden="1">
      <c r="A194" s="21" t="s">
        <v>12</v>
      </c>
      <c r="B194" s="21"/>
      <c r="C194" s="28" t="s">
        <v>7</v>
      </c>
      <c r="D194" s="60"/>
      <c r="E194" s="59">
        <f t="shared" si="84"/>
        <v>0</v>
      </c>
      <c r="F194" s="46">
        <f t="shared" si="83"/>
        <v>0</v>
      </c>
      <c r="G194" s="59"/>
      <c r="H194" s="59"/>
      <c r="I194" s="17"/>
      <c r="J194" s="18"/>
      <c r="K194" s="18"/>
      <c r="L194" s="20"/>
      <c r="M194" s="18"/>
      <c r="N194" s="18"/>
    </row>
    <row r="195" spans="1:14" ht="15" customHeight="1">
      <c r="A195" s="62" t="s">
        <v>37</v>
      </c>
      <c r="B195" s="63"/>
      <c r="C195" s="16" t="s">
        <v>38</v>
      </c>
      <c r="D195" s="60"/>
      <c r="E195" s="59">
        <f t="shared" si="84"/>
        <v>0</v>
      </c>
      <c r="F195" s="46">
        <f t="shared" si="83"/>
        <v>0</v>
      </c>
      <c r="G195" s="59"/>
      <c r="H195" s="59"/>
      <c r="I195" s="17"/>
      <c r="J195" s="18"/>
      <c r="K195" s="18"/>
      <c r="L195" s="27"/>
      <c r="M195" s="24"/>
      <c r="N195" s="18"/>
    </row>
    <row r="196" spans="1:14" ht="12.75">
      <c r="A196" s="65" t="s">
        <v>1</v>
      </c>
      <c r="B196" s="25"/>
      <c r="C196" s="32" t="s">
        <v>0</v>
      </c>
      <c r="D196" s="64">
        <f aca="true" t="shared" si="85" ref="D196:J196">D197</f>
        <v>36955.1</v>
      </c>
      <c r="E196" s="64">
        <f>E197+E198</f>
        <v>65981.5</v>
      </c>
      <c r="F196" s="64">
        <f>F197</f>
        <v>58904.8</v>
      </c>
      <c r="G196" s="64">
        <f t="shared" si="85"/>
        <v>8687.4</v>
      </c>
      <c r="H196" s="64">
        <f t="shared" si="85"/>
        <v>34029.5</v>
      </c>
      <c r="I196" s="64">
        <f t="shared" si="85"/>
        <v>16187.9</v>
      </c>
      <c r="J196" s="64">
        <f t="shared" si="85"/>
        <v>7076.7</v>
      </c>
      <c r="K196" s="64">
        <f>K197+K198</f>
        <v>37002.2</v>
      </c>
      <c r="L196" s="27">
        <f>K196*100/F196</f>
        <v>62.81695209898004</v>
      </c>
      <c r="M196" s="24">
        <f>K196*100/E196</f>
        <v>56.07965869220917</v>
      </c>
      <c r="N196" s="24">
        <f>K196*100/D196</f>
        <v>100.12745196197547</v>
      </c>
    </row>
    <row r="197" spans="1:14" ht="24">
      <c r="A197" s="84" t="s">
        <v>63</v>
      </c>
      <c r="B197" s="12"/>
      <c r="C197" s="34" t="s">
        <v>20</v>
      </c>
      <c r="D197" s="59">
        <v>36955.1</v>
      </c>
      <c r="E197" s="59">
        <f t="shared" si="84"/>
        <v>65981.5</v>
      </c>
      <c r="F197" s="46">
        <f t="shared" si="83"/>
        <v>58904.8</v>
      </c>
      <c r="G197" s="59">
        <f>7939.2+748.2</f>
        <v>8687.4</v>
      </c>
      <c r="H197" s="59">
        <v>34029.5</v>
      </c>
      <c r="I197" s="17">
        <v>16187.9</v>
      </c>
      <c r="J197" s="18">
        <v>7076.7</v>
      </c>
      <c r="K197" s="18">
        <v>37002.2</v>
      </c>
      <c r="L197" s="20">
        <f>K197*100/F197</f>
        <v>62.81695209898004</v>
      </c>
      <c r="M197" s="18">
        <f>K197*100/E197</f>
        <v>56.07965869220917</v>
      </c>
      <c r="N197" s="18">
        <f>K197*100/D197</f>
        <v>100.12745196197547</v>
      </c>
    </row>
    <row r="198" spans="1:14" ht="12.75" hidden="1">
      <c r="A198" s="14" t="s">
        <v>71</v>
      </c>
      <c r="B198" s="14"/>
      <c r="C198" s="35" t="s">
        <v>19</v>
      </c>
      <c r="D198" s="59"/>
      <c r="E198" s="59">
        <f t="shared" si="84"/>
        <v>0</v>
      </c>
      <c r="F198" s="46">
        <f>G198+H198+I198</f>
        <v>0</v>
      </c>
      <c r="G198" s="59"/>
      <c r="H198" s="59"/>
      <c r="I198" s="17"/>
      <c r="J198" s="18"/>
      <c r="K198" s="18"/>
      <c r="L198" s="20" t="e">
        <f>K198*100/F198</f>
        <v>#DIV/0!</v>
      </c>
      <c r="M198" s="18" t="e">
        <f>K198*100/E198</f>
        <v>#DIV/0!</v>
      </c>
      <c r="N198" s="18"/>
    </row>
    <row r="199" spans="1:14" ht="12.75">
      <c r="A199" s="21"/>
      <c r="B199" s="22"/>
      <c r="C199" s="23" t="s">
        <v>4</v>
      </c>
      <c r="D199" s="24">
        <f aca="true" t="shared" si="86" ref="D199:K199">D196+D185</f>
        <v>62757.9</v>
      </c>
      <c r="E199" s="24">
        <f t="shared" si="86"/>
        <v>92034.9</v>
      </c>
      <c r="F199" s="24">
        <f t="shared" si="86"/>
        <v>77061.9</v>
      </c>
      <c r="G199" s="24">
        <f t="shared" si="86"/>
        <v>14663.7</v>
      </c>
      <c r="H199" s="24">
        <f t="shared" si="86"/>
        <v>40246.8</v>
      </c>
      <c r="I199" s="24">
        <f t="shared" si="86"/>
        <v>22151.4</v>
      </c>
      <c r="J199" s="24">
        <f t="shared" si="86"/>
        <v>14973</v>
      </c>
      <c r="K199" s="24">
        <f t="shared" si="86"/>
        <v>57319.3</v>
      </c>
      <c r="L199" s="27">
        <f>K199*100/F199</f>
        <v>74.38085487121393</v>
      </c>
      <c r="M199" s="24">
        <f>K199*100/E199</f>
        <v>62.27996118863605</v>
      </c>
      <c r="N199" s="24">
        <f>K199*100/D199</f>
        <v>91.333999384938</v>
      </c>
    </row>
    <row r="200" spans="1:14" ht="12.75">
      <c r="A200" s="189"/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27"/>
      <c r="M200" s="24"/>
      <c r="N200" s="18"/>
    </row>
    <row r="201" spans="1:14" ht="12.75">
      <c r="A201" s="195" t="s">
        <v>33</v>
      </c>
      <c r="B201" s="196"/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</row>
    <row r="202" spans="1:14" ht="12.75">
      <c r="A202" s="25" t="s">
        <v>3</v>
      </c>
      <c r="B202" s="25"/>
      <c r="C202" s="26" t="s">
        <v>64</v>
      </c>
      <c r="D202" s="27">
        <f aca="true" t="shared" si="87" ref="D202:J202">D203+D206+D208+D209+D207+D210+D211+D205+D204</f>
        <v>5245.7</v>
      </c>
      <c r="E202" s="27">
        <f t="shared" si="87"/>
        <v>6004.7</v>
      </c>
      <c r="F202" s="27">
        <f t="shared" si="87"/>
        <v>4607</v>
      </c>
      <c r="G202" s="27">
        <f t="shared" si="87"/>
        <v>1265.1999999999998</v>
      </c>
      <c r="H202" s="27">
        <f t="shared" si="87"/>
        <v>1278.9</v>
      </c>
      <c r="I202" s="27">
        <f t="shared" si="87"/>
        <v>2062.9</v>
      </c>
      <c r="J202" s="27">
        <f t="shared" si="87"/>
        <v>1397.6999999999998</v>
      </c>
      <c r="K202" s="27">
        <f>K203+K206+K208+K209+K207+K210+K211+K205+K204</f>
        <v>4897.6</v>
      </c>
      <c r="L202" s="27">
        <f>K202*100/F202</f>
        <v>106.30779248968962</v>
      </c>
      <c r="M202" s="24">
        <f aca="true" t="shared" si="88" ref="M202:M208">K202*100/E202</f>
        <v>81.5627758256033</v>
      </c>
      <c r="N202" s="24">
        <f aca="true" t="shared" si="89" ref="N202:N209">K202*100/D202</f>
        <v>93.36408868215874</v>
      </c>
    </row>
    <row r="203" spans="1:18" ht="12.75">
      <c r="A203" s="12" t="s">
        <v>76</v>
      </c>
      <c r="B203" s="12"/>
      <c r="C203" s="55" t="s">
        <v>77</v>
      </c>
      <c r="D203" s="60">
        <v>1340</v>
      </c>
      <c r="E203" s="59">
        <f>G203+H203+I203+J203</f>
        <v>1340</v>
      </c>
      <c r="F203" s="46">
        <f aca="true" t="shared" si="90" ref="F203:F214">G203+H203+I203</f>
        <v>990</v>
      </c>
      <c r="G203" s="59">
        <v>330</v>
      </c>
      <c r="H203" s="59">
        <v>330</v>
      </c>
      <c r="I203" s="17">
        <v>330</v>
      </c>
      <c r="J203" s="17">
        <v>350</v>
      </c>
      <c r="K203" s="18">
        <v>1010</v>
      </c>
      <c r="L203" s="20">
        <f>K203*100/F203</f>
        <v>102.02020202020202</v>
      </c>
      <c r="M203" s="18">
        <f t="shared" si="88"/>
        <v>75.3731343283582</v>
      </c>
      <c r="N203" s="18">
        <f t="shared" si="89"/>
        <v>75.3731343283582</v>
      </c>
      <c r="R203" s="2"/>
    </row>
    <row r="204" spans="1:14" ht="24" customHeight="1">
      <c r="A204" s="12" t="s">
        <v>73</v>
      </c>
      <c r="B204" s="12"/>
      <c r="C204" s="28" t="s">
        <v>72</v>
      </c>
      <c r="D204" s="60">
        <v>3475.5</v>
      </c>
      <c r="E204" s="59">
        <f>G204+H204+I204+J204</f>
        <v>3475.5</v>
      </c>
      <c r="F204" s="46">
        <f t="shared" si="90"/>
        <v>2606.7</v>
      </c>
      <c r="G204" s="59">
        <v>868.9</v>
      </c>
      <c r="H204" s="59">
        <v>868.9</v>
      </c>
      <c r="I204" s="17">
        <v>868.9</v>
      </c>
      <c r="J204" s="17">
        <v>868.8</v>
      </c>
      <c r="K204" s="18">
        <v>2878.2</v>
      </c>
      <c r="L204" s="20">
        <f>K204*100/F204</f>
        <v>110.41546783289218</v>
      </c>
      <c r="M204" s="18">
        <f t="shared" si="88"/>
        <v>82.81398359948209</v>
      </c>
      <c r="N204" s="18">
        <f t="shared" si="89"/>
        <v>82.81398359948209</v>
      </c>
    </row>
    <row r="205" spans="1:14" ht="12.75">
      <c r="A205" s="12" t="s">
        <v>8</v>
      </c>
      <c r="B205" s="36" t="s">
        <v>52</v>
      </c>
      <c r="C205" s="28" t="s">
        <v>5</v>
      </c>
      <c r="D205" s="60">
        <v>7</v>
      </c>
      <c r="E205" s="59">
        <f aca="true" t="shared" si="91" ref="E205:E214">G205+H205+I205+J205</f>
        <v>7</v>
      </c>
      <c r="F205" s="46">
        <f t="shared" si="90"/>
        <v>7</v>
      </c>
      <c r="G205" s="59"/>
      <c r="H205" s="59">
        <v>7</v>
      </c>
      <c r="I205" s="17"/>
      <c r="J205" s="17"/>
      <c r="K205" s="18"/>
      <c r="L205" s="20"/>
      <c r="M205" s="18">
        <f t="shared" si="88"/>
        <v>0</v>
      </c>
      <c r="N205" s="18">
        <f t="shared" si="89"/>
        <v>0</v>
      </c>
    </row>
    <row r="206" spans="1:14" ht="12.75">
      <c r="A206" s="12" t="s">
        <v>9</v>
      </c>
      <c r="B206" s="12"/>
      <c r="C206" s="28" t="s">
        <v>6</v>
      </c>
      <c r="D206" s="60">
        <v>260.9</v>
      </c>
      <c r="E206" s="59">
        <f t="shared" si="91"/>
        <v>260.9</v>
      </c>
      <c r="F206" s="46">
        <f t="shared" si="90"/>
        <v>124.1</v>
      </c>
      <c r="G206" s="59">
        <v>16.7</v>
      </c>
      <c r="H206" s="59">
        <v>28.2</v>
      </c>
      <c r="I206" s="17">
        <v>79.2</v>
      </c>
      <c r="J206" s="17">
        <v>136.8</v>
      </c>
      <c r="K206" s="18">
        <v>121.4</v>
      </c>
      <c r="L206" s="20">
        <f>K206*100/F206</f>
        <v>97.82433521353748</v>
      </c>
      <c r="M206" s="18">
        <f t="shared" si="88"/>
        <v>46.531238022230745</v>
      </c>
      <c r="N206" s="18">
        <f t="shared" si="89"/>
        <v>46.531238022230745</v>
      </c>
    </row>
    <row r="207" spans="1:14" ht="12.75">
      <c r="A207" s="12" t="s">
        <v>10</v>
      </c>
      <c r="B207" s="12"/>
      <c r="C207" s="28" t="s">
        <v>21</v>
      </c>
      <c r="D207" s="60">
        <v>19</v>
      </c>
      <c r="E207" s="59">
        <f t="shared" si="91"/>
        <v>19</v>
      </c>
      <c r="F207" s="46">
        <f t="shared" si="90"/>
        <v>8.7</v>
      </c>
      <c r="G207" s="59">
        <v>1.7</v>
      </c>
      <c r="H207" s="59">
        <v>3</v>
      </c>
      <c r="I207" s="17">
        <v>4</v>
      </c>
      <c r="J207" s="17">
        <v>10.3</v>
      </c>
      <c r="K207" s="18">
        <v>10.4</v>
      </c>
      <c r="L207" s="20">
        <f>K207*100/F207</f>
        <v>119.54022988505749</v>
      </c>
      <c r="M207" s="18">
        <f t="shared" si="88"/>
        <v>54.73684210526316</v>
      </c>
      <c r="N207" s="18">
        <f t="shared" si="89"/>
        <v>54.73684210526316</v>
      </c>
    </row>
    <row r="208" spans="1:14" ht="24">
      <c r="A208" s="13" t="s">
        <v>11</v>
      </c>
      <c r="B208" s="13"/>
      <c r="C208" s="28" t="s">
        <v>17</v>
      </c>
      <c r="D208" s="60">
        <v>143.3</v>
      </c>
      <c r="E208" s="59">
        <f t="shared" si="91"/>
        <v>153.29999999999998</v>
      </c>
      <c r="F208" s="46">
        <f t="shared" si="90"/>
        <v>121.49999999999999</v>
      </c>
      <c r="G208" s="59">
        <v>47.9</v>
      </c>
      <c r="H208" s="59">
        <f>31.8+10</f>
        <v>41.8</v>
      </c>
      <c r="I208" s="17">
        <v>31.8</v>
      </c>
      <c r="J208" s="17">
        <v>31.8</v>
      </c>
      <c r="K208" s="18">
        <v>104.9</v>
      </c>
      <c r="L208" s="20">
        <f>K208*100/F208</f>
        <v>86.33744855967079</v>
      </c>
      <c r="M208" s="18">
        <f t="shared" si="88"/>
        <v>68.42791911285063</v>
      </c>
      <c r="N208" s="18">
        <f t="shared" si="89"/>
        <v>73.20307048150732</v>
      </c>
    </row>
    <row r="209" spans="1:14" ht="24" hidden="1">
      <c r="A209" s="29" t="s">
        <v>18</v>
      </c>
      <c r="B209" s="29"/>
      <c r="C209" s="28" t="s">
        <v>15</v>
      </c>
      <c r="D209" s="60"/>
      <c r="E209" s="59">
        <f t="shared" si="91"/>
        <v>0</v>
      </c>
      <c r="F209" s="46">
        <f t="shared" si="90"/>
        <v>0</v>
      </c>
      <c r="G209" s="59"/>
      <c r="H209" s="59"/>
      <c r="I209" s="17"/>
      <c r="J209" s="17"/>
      <c r="K209" s="18"/>
      <c r="L209" s="20" t="e">
        <f>K209*100/F209</f>
        <v>#DIV/0!</v>
      </c>
      <c r="M209" s="18" t="e">
        <f aca="true" t="shared" si="92" ref="M209:M215">K209*100/E209</f>
        <v>#DIV/0!</v>
      </c>
      <c r="N209" s="18" t="e">
        <f t="shared" si="89"/>
        <v>#DIV/0!</v>
      </c>
    </row>
    <row r="210" spans="1:14" ht="16.5" customHeight="1">
      <c r="A210" s="29" t="s">
        <v>12</v>
      </c>
      <c r="B210" s="61"/>
      <c r="C210" s="28" t="s">
        <v>7</v>
      </c>
      <c r="D210" s="60"/>
      <c r="E210" s="59">
        <f t="shared" si="91"/>
        <v>0</v>
      </c>
      <c r="F210" s="46">
        <f t="shared" si="90"/>
        <v>0</v>
      </c>
      <c r="G210" s="59"/>
      <c r="H210" s="59"/>
      <c r="I210" s="17"/>
      <c r="J210" s="17"/>
      <c r="K210" s="18">
        <v>23.9</v>
      </c>
      <c r="L210" s="20"/>
      <c r="M210" s="18"/>
      <c r="N210" s="18"/>
    </row>
    <row r="211" spans="1:14" ht="13.5" customHeight="1">
      <c r="A211" s="62" t="s">
        <v>37</v>
      </c>
      <c r="B211" s="63"/>
      <c r="C211" s="16" t="s">
        <v>38</v>
      </c>
      <c r="D211" s="60"/>
      <c r="E211" s="59">
        <f t="shared" si="91"/>
        <v>749</v>
      </c>
      <c r="F211" s="46">
        <f t="shared" si="90"/>
        <v>749</v>
      </c>
      <c r="G211" s="59"/>
      <c r="H211" s="59"/>
      <c r="I211" s="17">
        <v>749</v>
      </c>
      <c r="J211" s="17"/>
      <c r="K211" s="18">
        <v>748.8</v>
      </c>
      <c r="L211" s="20">
        <f>K211*100/F211</f>
        <v>99.97329773030708</v>
      </c>
      <c r="M211" s="18">
        <f t="shared" si="92"/>
        <v>99.97329773030708</v>
      </c>
      <c r="N211" s="18"/>
    </row>
    <row r="212" spans="1:14" ht="12.75">
      <c r="A212" s="25" t="s">
        <v>1</v>
      </c>
      <c r="B212" s="25"/>
      <c r="C212" s="32" t="s">
        <v>0</v>
      </c>
      <c r="D212" s="33">
        <f aca="true" t="shared" si="93" ref="D212:J212">D213</f>
        <v>34559.5</v>
      </c>
      <c r="E212" s="33">
        <f>E213+E214</f>
        <v>50234.40000000001</v>
      </c>
      <c r="F212" s="33">
        <f t="shared" si="93"/>
        <v>43910.90000000001</v>
      </c>
      <c r="G212" s="33">
        <f t="shared" si="93"/>
        <v>6813.3</v>
      </c>
      <c r="H212" s="33">
        <f t="shared" si="93"/>
        <v>28805.4</v>
      </c>
      <c r="I212" s="33">
        <f t="shared" si="93"/>
        <v>8292.2</v>
      </c>
      <c r="J212" s="33">
        <f t="shared" si="93"/>
        <v>6208.5</v>
      </c>
      <c r="K212" s="33">
        <f>K213+K214</f>
        <v>35771.7</v>
      </c>
      <c r="L212" s="27">
        <f>K212*100/F212</f>
        <v>81.46428335561328</v>
      </c>
      <c r="M212" s="24">
        <f t="shared" si="92"/>
        <v>71.20956953800581</v>
      </c>
      <c r="N212" s="24">
        <f>K212*100/D212</f>
        <v>103.50757389429823</v>
      </c>
    </row>
    <row r="213" spans="1:14" ht="24">
      <c r="A213" s="83" t="s">
        <v>63</v>
      </c>
      <c r="B213" s="12"/>
      <c r="C213" s="34" t="s">
        <v>20</v>
      </c>
      <c r="D213" s="59">
        <v>34559.5</v>
      </c>
      <c r="E213" s="59">
        <f t="shared" si="91"/>
        <v>50119.40000000001</v>
      </c>
      <c r="F213" s="46">
        <f t="shared" si="90"/>
        <v>43910.90000000001</v>
      </c>
      <c r="G213" s="59">
        <v>6813.3</v>
      </c>
      <c r="H213" s="59">
        <v>28805.4</v>
      </c>
      <c r="I213" s="17">
        <v>8292.2</v>
      </c>
      <c r="J213" s="17">
        <v>6208.5</v>
      </c>
      <c r="K213" s="18">
        <v>35656.7</v>
      </c>
      <c r="L213" s="20">
        <f>K213*100/F213</f>
        <v>81.20238938395703</v>
      </c>
      <c r="M213" s="18">
        <f t="shared" si="92"/>
        <v>71.14350929979207</v>
      </c>
      <c r="N213" s="18">
        <f>K213*100/D213</f>
        <v>103.17481445044054</v>
      </c>
    </row>
    <row r="214" spans="1:14" ht="16.5" customHeight="1">
      <c r="A214" s="83" t="s">
        <v>71</v>
      </c>
      <c r="B214" s="14"/>
      <c r="C214" s="35" t="s">
        <v>19</v>
      </c>
      <c r="D214" s="59"/>
      <c r="E214" s="59">
        <f t="shared" si="91"/>
        <v>115</v>
      </c>
      <c r="F214" s="46">
        <f t="shared" si="90"/>
        <v>115</v>
      </c>
      <c r="G214" s="59"/>
      <c r="H214" s="59">
        <v>115</v>
      </c>
      <c r="I214" s="17"/>
      <c r="J214" s="17"/>
      <c r="K214" s="18">
        <v>115</v>
      </c>
      <c r="L214" s="20">
        <f>K214*100/F214</f>
        <v>100</v>
      </c>
      <c r="M214" s="18">
        <f t="shared" si="92"/>
        <v>100</v>
      </c>
      <c r="N214" s="18"/>
    </row>
    <row r="215" spans="1:14" ht="12.75">
      <c r="A215" s="21"/>
      <c r="B215" s="22"/>
      <c r="C215" s="23" t="s">
        <v>4</v>
      </c>
      <c r="D215" s="24">
        <f aca="true" t="shared" si="94" ref="D215:J215">D212+D202</f>
        <v>39805.2</v>
      </c>
      <c r="E215" s="24">
        <f t="shared" si="94"/>
        <v>56239.100000000006</v>
      </c>
      <c r="F215" s="24">
        <f t="shared" si="94"/>
        <v>48517.90000000001</v>
      </c>
      <c r="G215" s="64">
        <f t="shared" si="94"/>
        <v>8078.5</v>
      </c>
      <c r="H215" s="64">
        <f t="shared" si="94"/>
        <v>30084.300000000003</v>
      </c>
      <c r="I215" s="64">
        <f t="shared" si="94"/>
        <v>10355.1</v>
      </c>
      <c r="J215" s="64">
        <f t="shared" si="94"/>
        <v>7606.2</v>
      </c>
      <c r="K215" s="24">
        <f>K212+K202</f>
        <v>40669.299999999996</v>
      </c>
      <c r="L215" s="27">
        <f>K215*100/F215</f>
        <v>83.82328996102467</v>
      </c>
      <c r="M215" s="24">
        <f t="shared" si="92"/>
        <v>72.3149908159981</v>
      </c>
      <c r="N215" s="24">
        <f>K215*100/D215</f>
        <v>102.17082190266598</v>
      </c>
    </row>
    <row r="216" spans="1:14" ht="12.75">
      <c r="A216" s="189"/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27"/>
      <c r="M216" s="24"/>
      <c r="N216" s="18"/>
    </row>
    <row r="217" spans="1:14" ht="12.75">
      <c r="A217" s="195" t="s">
        <v>34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</row>
    <row r="218" spans="1:14" ht="12.75">
      <c r="A218" s="25" t="s">
        <v>3</v>
      </c>
      <c r="B218" s="37"/>
      <c r="C218" s="26" t="s">
        <v>64</v>
      </c>
      <c r="D218" s="27">
        <f aca="true" t="shared" si="95" ref="D218:J218">D219+D221+D222+D223+D225+D226+D228+D230+D227+D224+D231+D229+D220</f>
        <v>992028.5000000001</v>
      </c>
      <c r="E218" s="27">
        <f t="shared" si="95"/>
        <v>1135365.2000000002</v>
      </c>
      <c r="F218" s="27">
        <f t="shared" si="95"/>
        <v>876526.7</v>
      </c>
      <c r="G218" s="27">
        <f t="shared" si="95"/>
        <v>282494.19999999995</v>
      </c>
      <c r="H218" s="27">
        <f t="shared" si="95"/>
        <v>331704.9</v>
      </c>
      <c r="I218" s="27">
        <f t="shared" si="95"/>
        <v>262327.6</v>
      </c>
      <c r="J218" s="27">
        <f t="shared" si="95"/>
        <v>258838.5</v>
      </c>
      <c r="K218" s="27">
        <f>K219+K221+K222+K223+K225+K226+K228+K230+K227+K224+K231+K229+K220</f>
        <v>857294.9999999999</v>
      </c>
      <c r="L218" s="27">
        <f aca="true" t="shared" si="96" ref="L218:L223">K218*100/F218</f>
        <v>97.80591965994874</v>
      </c>
      <c r="M218" s="24">
        <f aca="true" t="shared" si="97" ref="M218:M223">K218*100/E218</f>
        <v>75.50830340757315</v>
      </c>
      <c r="N218" s="24">
        <f aca="true" t="shared" si="98" ref="N218:N230">K218*100/D218</f>
        <v>86.41838414924568</v>
      </c>
    </row>
    <row r="219" spans="1:14" ht="12.75">
      <c r="A219" s="12" t="s">
        <v>76</v>
      </c>
      <c r="B219" s="12"/>
      <c r="C219" s="55" t="s">
        <v>77</v>
      </c>
      <c r="D219" s="18">
        <f>D9+D31+D47+D65+D82+D100+D116+D133+D151+D169+D186+D203</f>
        <v>722151.9</v>
      </c>
      <c r="E219" s="59">
        <f>G219+H219+I219+J219</f>
        <v>726219.7</v>
      </c>
      <c r="F219" s="46">
        <f>G219+H219+I219</f>
        <v>534842</v>
      </c>
      <c r="G219" s="18">
        <f>G9+G31+G47+G65+G82+G100+G116+G133+G151+G169+G186+G203</f>
        <v>177564.3</v>
      </c>
      <c r="H219" s="18">
        <f>H9+H31+H47+H65+H82+H100+H116+H133+H151+H169+H186+H203</f>
        <v>184022.30000000002</v>
      </c>
      <c r="I219" s="18">
        <f>I9+I31+I47+I65+I82+I100+I116+I133+I151+I169+I186+I203</f>
        <v>173255.4</v>
      </c>
      <c r="J219" s="18">
        <f>J9+J31+J47+J65+J82+J100+J116+J133+J151+J169+J186+J203</f>
        <v>191377.7</v>
      </c>
      <c r="K219" s="18">
        <f>K9+K31+K47+K65+K82+K100+K116+K133+K151+K169+K186+K203</f>
        <v>536920.7</v>
      </c>
      <c r="L219" s="20">
        <f t="shared" si="96"/>
        <v>100.3886568369724</v>
      </c>
      <c r="M219" s="18">
        <f t="shared" si="97"/>
        <v>73.93364569977928</v>
      </c>
      <c r="N219" s="18">
        <f t="shared" si="98"/>
        <v>74.35010556643276</v>
      </c>
    </row>
    <row r="220" spans="1:14" ht="36">
      <c r="A220" s="12" t="s">
        <v>73</v>
      </c>
      <c r="B220" s="12"/>
      <c r="C220" s="28" t="s">
        <v>72</v>
      </c>
      <c r="D220" s="18">
        <f>D10+D32+D48+D66+D83+D101+D118+D134+D152+D170+D187+D204</f>
        <v>48098.299999999996</v>
      </c>
      <c r="E220" s="59">
        <f aca="true" t="shared" si="99" ref="E220:E233">G220+H220+I220+J220</f>
        <v>47778.29999999999</v>
      </c>
      <c r="F220" s="46">
        <f aca="true" t="shared" si="100" ref="F220:F236">G220+H220+I220</f>
        <v>35950.99999999999</v>
      </c>
      <c r="G220" s="18">
        <f>G10+G32+G48+G66+G83+G101+G118+G134+G152+G170+G187+G204</f>
        <v>12129.999999999998</v>
      </c>
      <c r="H220" s="18">
        <f>H10+H32+H48+H66+H83+H101+H118+H134+H152+H170+H187+H204</f>
        <v>11378.899999999998</v>
      </c>
      <c r="I220" s="18">
        <f>I10+I32+I48+I66+I83+I101+I118+I134+I152+I170+I187+I204</f>
        <v>12442.099999999999</v>
      </c>
      <c r="J220" s="18">
        <f>J10+J32+J48+J66+J83+J101+J118+J134+J152+J170+J187+J204</f>
        <v>11827.3</v>
      </c>
      <c r="K220" s="18">
        <f>K10+K32+K48+K66+K83+K101+K118+K134+K152+K170+K187+K204+0.1</f>
        <v>39831.3</v>
      </c>
      <c r="L220" s="20">
        <f t="shared" si="96"/>
        <v>110.79330199438128</v>
      </c>
      <c r="M220" s="18">
        <f t="shared" si="97"/>
        <v>83.36692598941363</v>
      </c>
      <c r="N220" s="18">
        <f t="shared" si="98"/>
        <v>82.81228234677735</v>
      </c>
    </row>
    <row r="221" spans="1:14" ht="12.75">
      <c r="A221" s="12" t="s">
        <v>8</v>
      </c>
      <c r="B221" s="36" t="s">
        <v>52</v>
      </c>
      <c r="C221" s="28" t="s">
        <v>5</v>
      </c>
      <c r="D221" s="18">
        <f>D11+D49+D67+D205+D153+D117+D188+D84+D102+D171+D119</f>
        <v>38336</v>
      </c>
      <c r="E221" s="59">
        <f>G221+H221+I221+J221</f>
        <v>53482.4</v>
      </c>
      <c r="F221" s="46">
        <f t="shared" si="100"/>
        <v>52499.6</v>
      </c>
      <c r="G221" s="18">
        <f>G11+G49+G67+G205+G153+G188+G84+G102+G171+G119</f>
        <v>14890.099999999999</v>
      </c>
      <c r="H221" s="18">
        <f>H11+H49+H67+H205+H153+H188+H84+H102+H171+H119</f>
        <v>26965</v>
      </c>
      <c r="I221" s="18">
        <f>I11+I49+I67+I205+I153+I188+I84+I102+I171+I119</f>
        <v>10644.5</v>
      </c>
      <c r="J221" s="18">
        <f>J11+J49+J67+J205+J153+J188+J84+J102+J171+J119</f>
        <v>982.8000000000001</v>
      </c>
      <c r="K221" s="18">
        <f>K11+K49+K67+K205+K153+K117+K188+K84+K102+K171+K119-0.1</f>
        <v>54406.9</v>
      </c>
      <c r="L221" s="20">
        <f t="shared" si="96"/>
        <v>103.63298006080046</v>
      </c>
      <c r="M221" s="18">
        <f t="shared" si="97"/>
        <v>101.72860604610115</v>
      </c>
      <c r="N221" s="18">
        <f t="shared" si="98"/>
        <v>141.92117070116862</v>
      </c>
    </row>
    <row r="222" spans="1:14" ht="12.75">
      <c r="A222" s="12" t="s">
        <v>9</v>
      </c>
      <c r="B222" s="36" t="s">
        <v>53</v>
      </c>
      <c r="C222" s="28" t="s">
        <v>6</v>
      </c>
      <c r="D222" s="18">
        <f>D12+D33+D50+D68+D85+D103+D120+D135+D154+D172+D189+D206</f>
        <v>28415.800000000007</v>
      </c>
      <c r="E222" s="59">
        <f t="shared" si="99"/>
        <v>29076.300000000003</v>
      </c>
      <c r="F222" s="46">
        <f t="shared" si="100"/>
        <v>13780.699999999999</v>
      </c>
      <c r="G222" s="18">
        <f>G12+G33+G50+G68+G85+G103+G120+G135+G154+G172+G189+G206</f>
        <v>4576.5</v>
      </c>
      <c r="H222" s="18">
        <f>H12+H33+H50+H68+H85+H103+H120+H135+H154+H172+H189+H206</f>
        <v>4220.299999999999</v>
      </c>
      <c r="I222" s="18">
        <f>I12+I33+I50+I68+I85+I103+I120+I135+I154+I172+I189+I206</f>
        <v>4983.9</v>
      </c>
      <c r="J222" s="18">
        <f>J12+J33+J50+J68+J85+J103+J120+J135+J154+J172+J189+J206</f>
        <v>15295.600000000004</v>
      </c>
      <c r="K222" s="18">
        <f>K12+K33+K50+K68+K85+K103+K120+K135+K154+K172+K189+K206</f>
        <v>14952.2</v>
      </c>
      <c r="L222" s="20">
        <f t="shared" si="96"/>
        <v>108.501019541823</v>
      </c>
      <c r="M222" s="18">
        <f t="shared" si="97"/>
        <v>51.42401199602425</v>
      </c>
      <c r="N222" s="18">
        <f t="shared" si="98"/>
        <v>52.61931742199761</v>
      </c>
    </row>
    <row r="223" spans="1:14" ht="12.75">
      <c r="A223" s="12" t="s">
        <v>10</v>
      </c>
      <c r="B223" s="36" t="s">
        <v>47</v>
      </c>
      <c r="C223" s="28" t="s">
        <v>21</v>
      </c>
      <c r="D223" s="18">
        <f>D13+D34+D51+D69+D86+D104+D121+D136+D155+D173+D190+D207</f>
        <v>4091</v>
      </c>
      <c r="E223" s="59">
        <f t="shared" si="99"/>
        <v>4100.599999999999</v>
      </c>
      <c r="F223" s="46">
        <f t="shared" si="100"/>
        <v>3187.3999999999996</v>
      </c>
      <c r="G223" s="18">
        <f>G13+G34+G69+G86+G104+G121+G136+G155+G173+G190+G207+G51</f>
        <v>943.9</v>
      </c>
      <c r="H223" s="18">
        <f>H13+H34+H69+H86+H104+H121+H136+H155+H173+H190+H207+H51</f>
        <v>1147.2</v>
      </c>
      <c r="I223" s="18">
        <f>I13+I34+I69+I86+I104+I121+I136+I155+I173+I190+I207+I51</f>
        <v>1096.3</v>
      </c>
      <c r="J223" s="18">
        <f>J13+J34+J69+J86+J104+J121+J136+J155+J173+J190+J207+J51</f>
        <v>913.1999999999999</v>
      </c>
      <c r="K223" s="18">
        <f>K13+K34+K69+K86+K104+K121+K136+K155+K173+K190+K207+K51-0.1</f>
        <v>3399.7</v>
      </c>
      <c r="L223" s="20">
        <f t="shared" si="96"/>
        <v>106.6606011168978</v>
      </c>
      <c r="M223" s="18">
        <f t="shared" si="97"/>
        <v>82.90737940789154</v>
      </c>
      <c r="N223" s="18">
        <f t="shared" si="98"/>
        <v>83.10193106819848</v>
      </c>
    </row>
    <row r="224" spans="1:14" ht="24" hidden="1">
      <c r="A224" s="12" t="s">
        <v>35</v>
      </c>
      <c r="B224" s="36" t="s">
        <v>54</v>
      </c>
      <c r="C224" s="28" t="s">
        <v>36</v>
      </c>
      <c r="D224" s="39">
        <f>D14</f>
        <v>0</v>
      </c>
      <c r="E224" s="59">
        <f t="shared" si="99"/>
        <v>0</v>
      </c>
      <c r="F224" s="46">
        <f t="shared" si="100"/>
        <v>0</v>
      </c>
      <c r="G224" s="39">
        <f>G14</f>
        <v>0</v>
      </c>
      <c r="H224" s="39">
        <f>H14</f>
        <v>0</v>
      </c>
      <c r="I224" s="39">
        <f>I14</f>
        <v>0</v>
      </c>
      <c r="J224" s="39">
        <f>J14</f>
        <v>0</v>
      </c>
      <c r="K224" s="39">
        <f>K14</f>
        <v>0</v>
      </c>
      <c r="L224" s="20"/>
      <c r="M224" s="18"/>
      <c r="N224" s="18" t="e">
        <f t="shared" si="98"/>
        <v>#DIV/0!</v>
      </c>
    </row>
    <row r="225" spans="1:14" ht="24">
      <c r="A225" s="13" t="s">
        <v>11</v>
      </c>
      <c r="B225" s="40" t="s">
        <v>46</v>
      </c>
      <c r="C225" s="28" t="s">
        <v>17</v>
      </c>
      <c r="D225" s="18">
        <f>D15+D35+D52+D70+D87+D105+D122+D137+D156+D174+D191+D208</f>
        <v>114947.59999999999</v>
      </c>
      <c r="E225" s="59">
        <f t="shared" si="99"/>
        <v>124899.80000000002</v>
      </c>
      <c r="F225" s="46">
        <f t="shared" si="100"/>
        <v>94872.20000000001</v>
      </c>
      <c r="G225" s="18">
        <f>G15+G35+G52+G70+G87+G105+G122+G137+G156+G174+G191+G208</f>
        <v>21614.3</v>
      </c>
      <c r="H225" s="18">
        <f>H15+H35+H52+H70+H87+H105+H122+H137+H156+H174+H191+H208</f>
        <v>34413.50000000001</v>
      </c>
      <c r="I225" s="18">
        <f>I15+I35+I52+I70+I87+I105+I122+I137+I156+I174+I191+I208</f>
        <v>38844.40000000001</v>
      </c>
      <c r="J225" s="18">
        <f>J15+J35+J52+J70+J87+J105+J122+J137+J156+J174+J191+J208</f>
        <v>30027.6</v>
      </c>
      <c r="K225" s="18">
        <f>K15+K35+K52+K70+K87+K105+K122+K137+K156+K174+K191+K208</f>
        <v>96662.29999999999</v>
      </c>
      <c r="L225" s="20">
        <f aca="true" t="shared" si="101" ref="L225:L230">K225*100/F225</f>
        <v>101.88685410478514</v>
      </c>
      <c r="M225" s="18">
        <f aca="true" t="shared" si="102" ref="M225:M230">K225*100/E225</f>
        <v>77.3918773288668</v>
      </c>
      <c r="N225" s="18">
        <f t="shared" si="98"/>
        <v>84.09249083930416</v>
      </c>
    </row>
    <row r="226" spans="1:14" ht="12.75">
      <c r="A226" s="29" t="s">
        <v>14</v>
      </c>
      <c r="B226" s="41" t="s">
        <v>45</v>
      </c>
      <c r="C226" s="28" t="s">
        <v>13</v>
      </c>
      <c r="D226" s="18">
        <f>D16</f>
        <v>6005.5</v>
      </c>
      <c r="E226" s="59">
        <f t="shared" si="99"/>
        <v>17533</v>
      </c>
      <c r="F226" s="46">
        <f t="shared" si="100"/>
        <v>15377.400000000001</v>
      </c>
      <c r="G226" s="18">
        <f>G16</f>
        <v>5285.3</v>
      </c>
      <c r="H226" s="18">
        <f>H16</f>
        <v>4913.9</v>
      </c>
      <c r="I226" s="18">
        <f>I16</f>
        <v>5178.2</v>
      </c>
      <c r="J226" s="18">
        <f>J16</f>
        <v>2155.6</v>
      </c>
      <c r="K226" s="18">
        <f>K16</f>
        <v>15568.8</v>
      </c>
      <c r="L226" s="20">
        <f t="shared" si="101"/>
        <v>101.24468375668188</v>
      </c>
      <c r="M226" s="18">
        <f t="shared" si="102"/>
        <v>88.79712542063537</v>
      </c>
      <c r="N226" s="18">
        <f t="shared" si="98"/>
        <v>259.2423611689285</v>
      </c>
    </row>
    <row r="227" spans="1:14" ht="24">
      <c r="A227" s="30" t="s">
        <v>40</v>
      </c>
      <c r="B227" s="42" t="s">
        <v>55</v>
      </c>
      <c r="C227" s="28" t="s">
        <v>41</v>
      </c>
      <c r="D227" s="43">
        <f>D17+D88+D53+D106+D138+D157+D175+D192+D123+D71+D36</f>
        <v>15466.8</v>
      </c>
      <c r="E227" s="59">
        <f>G227+H227+I227+J227</f>
        <v>23084</v>
      </c>
      <c r="F227" s="46">
        <f t="shared" si="100"/>
        <v>19383.5</v>
      </c>
      <c r="G227" s="43">
        <f>G17+G36+G123+G157+G192+G88+G106+G53</f>
        <v>4990.400000000001</v>
      </c>
      <c r="H227" s="43">
        <f>H17+H36+H123+H157+H192+H88+H106+H53</f>
        <v>10069.6</v>
      </c>
      <c r="I227" s="43">
        <f>I17+I36+I123+I157+I192+I88+I106+I53</f>
        <v>4323.5</v>
      </c>
      <c r="J227" s="43">
        <f>J17+J36+J123+J157+J192+J88+J106+J53</f>
        <v>3700.5</v>
      </c>
      <c r="K227" s="43">
        <f>K17+K36+K123+K157+K192+K88+K106+K53</f>
        <v>21557.5</v>
      </c>
      <c r="L227" s="20">
        <f t="shared" si="101"/>
        <v>111.21572471431888</v>
      </c>
      <c r="M227" s="18">
        <f t="shared" si="102"/>
        <v>93.38719459365794</v>
      </c>
      <c r="N227" s="18">
        <f t="shared" si="98"/>
        <v>139.37918638632425</v>
      </c>
    </row>
    <row r="228" spans="1:14" ht="24">
      <c r="A228" s="30" t="s">
        <v>18</v>
      </c>
      <c r="B228" s="42" t="s">
        <v>51</v>
      </c>
      <c r="C228" s="28" t="s">
        <v>15</v>
      </c>
      <c r="D228" s="18">
        <f>D18+D37+D54+D72+D89+D124+D158+D176+D193+D209+D139</f>
        <v>10909.599999999999</v>
      </c>
      <c r="E228" s="59">
        <f>G228+H228+I228+J228</f>
        <v>58637.49999999999</v>
      </c>
      <c r="F228" s="46">
        <f t="shared" si="100"/>
        <v>55867.09999999999</v>
      </c>
      <c r="G228" s="18">
        <f>G18+G37+G54+G72+G89+G107+G124+G158+G176+G193+G209+G139</f>
        <v>4194.8</v>
      </c>
      <c r="H228" s="18">
        <f>H18+H37+H54+H72+H89+H107+H124+H158+H176+H193+H209+H139</f>
        <v>44295.99999999999</v>
      </c>
      <c r="I228" s="18">
        <f>I18+I37+I54+I72+I89+I107+I124+I158+I176+I193+I209+I139</f>
        <v>7376.299999999999</v>
      </c>
      <c r="J228" s="18">
        <f>J18+J37+J54+J72+J89+J107+J124+J158+J176+J193+J209+J139</f>
        <v>2770.3999999999996</v>
      </c>
      <c r="K228" s="18">
        <f>K18+K37+K54+K72+K89+K124+K158+K176+K193+K209+K139</f>
        <v>22464.600000000002</v>
      </c>
      <c r="L228" s="20">
        <f t="shared" si="101"/>
        <v>40.210785954524226</v>
      </c>
      <c r="M228" s="18">
        <f t="shared" si="102"/>
        <v>38.31097846940951</v>
      </c>
      <c r="N228" s="18">
        <f t="shared" si="98"/>
        <v>205.9158905917724</v>
      </c>
    </row>
    <row r="229" spans="1:14" ht="12.75">
      <c r="A229" s="30" t="s">
        <v>57</v>
      </c>
      <c r="B229" s="30"/>
      <c r="C229" s="28" t="s">
        <v>58</v>
      </c>
      <c r="D229" s="18">
        <f>D19</f>
        <v>11</v>
      </c>
      <c r="E229" s="59">
        <f t="shared" si="99"/>
        <v>11</v>
      </c>
      <c r="F229" s="46">
        <f t="shared" si="100"/>
        <v>4</v>
      </c>
      <c r="G229" s="18">
        <f>G19</f>
        <v>1</v>
      </c>
      <c r="H229" s="18">
        <f>H19</f>
        <v>1</v>
      </c>
      <c r="I229" s="18">
        <f>I19</f>
        <v>2</v>
      </c>
      <c r="J229" s="18">
        <f>J19</f>
        <v>7</v>
      </c>
      <c r="K229" s="18">
        <f>K19</f>
        <v>2</v>
      </c>
      <c r="L229" s="20">
        <f t="shared" si="101"/>
        <v>50</v>
      </c>
      <c r="M229" s="18">
        <f t="shared" si="102"/>
        <v>18.181818181818183</v>
      </c>
      <c r="N229" s="18">
        <f t="shared" si="98"/>
        <v>18.181818181818183</v>
      </c>
    </row>
    <row r="230" spans="1:14" ht="12.75">
      <c r="A230" s="21" t="s">
        <v>12</v>
      </c>
      <c r="B230" s="38" t="s">
        <v>48</v>
      </c>
      <c r="C230" s="28" t="s">
        <v>7</v>
      </c>
      <c r="D230" s="18">
        <f>D20+D194+D210+D73+D140+D55+D159+D90+D177+D107</f>
        <v>3595</v>
      </c>
      <c r="E230" s="59">
        <f t="shared" si="99"/>
        <v>49563.600000000006</v>
      </c>
      <c r="F230" s="46">
        <f t="shared" si="100"/>
        <v>49782.8</v>
      </c>
      <c r="G230" s="18">
        <f>G20+G194+G210+G73+G140+G55+G159+G90+G177</f>
        <v>36303.6</v>
      </c>
      <c r="H230" s="18">
        <f>H20+H194+H210+H73+H140+H55+H159+H90+H177</f>
        <v>10047.2</v>
      </c>
      <c r="I230" s="18">
        <f>I20+I194+I210+I73+I140+I55+I159+I90+I177</f>
        <v>3432</v>
      </c>
      <c r="J230" s="18">
        <f>J20+J194+J210+J73+J140+J55+J159+J90+J177</f>
        <v>-219.2</v>
      </c>
      <c r="K230" s="18">
        <f>K20+K194+K210+K73+K140+K55+K159+K90+K177+K107+K38</f>
        <v>50555.5</v>
      </c>
      <c r="L230" s="20">
        <f t="shared" si="101"/>
        <v>101.55214250705062</v>
      </c>
      <c r="M230" s="18">
        <f t="shared" si="102"/>
        <v>102.00126705888998</v>
      </c>
      <c r="N230" s="18">
        <f t="shared" si="98"/>
        <v>1406.2726008344923</v>
      </c>
    </row>
    <row r="231" spans="1:14" ht="12.75">
      <c r="A231" s="31" t="s">
        <v>37</v>
      </c>
      <c r="B231" s="44" t="s">
        <v>54</v>
      </c>
      <c r="C231" s="16" t="s">
        <v>38</v>
      </c>
      <c r="D231" s="18">
        <f>D21+D39+D56+D74+D91+D108+D126+D141+D160+D178+D195+D211</f>
        <v>0</v>
      </c>
      <c r="E231" s="59">
        <f t="shared" si="99"/>
        <v>979</v>
      </c>
      <c r="F231" s="46">
        <f t="shared" si="100"/>
        <v>979</v>
      </c>
      <c r="G231" s="18">
        <v>0</v>
      </c>
      <c r="H231" s="18">
        <f>H21+H39+H56+H74+H91+H108+H126+H141+H160+H178+H195+H211</f>
        <v>230</v>
      </c>
      <c r="I231" s="18">
        <f>I21+I39+I56+I74+I91+I108+I126+I141+I160+I178+I195+I211</f>
        <v>749</v>
      </c>
      <c r="J231" s="18">
        <f>J21+J39+J56+J74+J91+J108+J126+J141+J160+J178+J195+J211</f>
        <v>0</v>
      </c>
      <c r="K231" s="18">
        <f>K21+K39+K56+K74+K91+K108+K126+K141+K160+K178+K195+K211</f>
        <v>973.5</v>
      </c>
      <c r="L231" s="20"/>
      <c r="M231" s="18"/>
      <c r="N231" s="18"/>
    </row>
    <row r="232" spans="1:14" ht="12.75">
      <c r="A232" s="25" t="s">
        <v>1</v>
      </c>
      <c r="B232" s="37"/>
      <c r="C232" s="32" t="s">
        <v>0</v>
      </c>
      <c r="D232" s="33">
        <f>D233+D234+D236+D235</f>
        <v>2833111.3000000003</v>
      </c>
      <c r="E232" s="33">
        <f aca="true" t="shared" si="103" ref="E232:J232">E233+E234+E236+E235</f>
        <v>3024190.6000000006</v>
      </c>
      <c r="F232" s="33">
        <f t="shared" si="103"/>
        <v>2299691.7</v>
      </c>
      <c r="G232" s="33">
        <f t="shared" si="103"/>
        <v>722653</v>
      </c>
      <c r="H232" s="33">
        <f t="shared" si="103"/>
        <v>723341.8</v>
      </c>
      <c r="I232" s="33">
        <f t="shared" si="103"/>
        <v>853696.9</v>
      </c>
      <c r="J232" s="33">
        <f t="shared" si="103"/>
        <v>724498.9</v>
      </c>
      <c r="K232" s="33">
        <f>K233+K234+K236+K235-0.1</f>
        <v>2103560.3</v>
      </c>
      <c r="L232" s="27">
        <f>K232*100/F232</f>
        <v>91.47140462349799</v>
      </c>
      <c r="M232" s="24">
        <f>K232*100/E232</f>
        <v>69.55779506754631</v>
      </c>
      <c r="N232" s="24">
        <f>K232*100/D232</f>
        <v>74.24912321658523</v>
      </c>
    </row>
    <row r="233" spans="1:14" ht="24">
      <c r="A233" s="83" t="s">
        <v>63</v>
      </c>
      <c r="B233" s="36" t="s">
        <v>49</v>
      </c>
      <c r="C233" s="34" t="s">
        <v>20</v>
      </c>
      <c r="D233" s="17">
        <f>D23-39973.3</f>
        <v>2833111.3000000003</v>
      </c>
      <c r="E233" s="59">
        <f t="shared" si="99"/>
        <v>3017426.1000000006</v>
      </c>
      <c r="F233" s="46">
        <f t="shared" si="100"/>
        <v>2294435.3000000003</v>
      </c>
      <c r="G233" s="17">
        <f>G23-6227</f>
        <v>725629.5</v>
      </c>
      <c r="H233" s="17">
        <f>H23-9052.2</f>
        <v>716715.1000000001</v>
      </c>
      <c r="I233" s="17">
        <f>I23-4802.2</f>
        <v>852090.7000000001</v>
      </c>
      <c r="J233" s="17">
        <f>J23-19009.5+19.3</f>
        <v>722990.8</v>
      </c>
      <c r="K233" s="17">
        <f>K23-32102.5</f>
        <v>2096097.1</v>
      </c>
      <c r="L233" s="20">
        <f>K233*100/F233</f>
        <v>91.35568564517813</v>
      </c>
      <c r="M233" s="18">
        <f>K233*100/E233</f>
        <v>69.46639389113787</v>
      </c>
      <c r="N233" s="18">
        <f>K233*100/D233</f>
        <v>73.9856955143273</v>
      </c>
    </row>
    <row r="234" spans="1:14" ht="12.75" customHeight="1">
      <c r="A234" s="83" t="s">
        <v>71</v>
      </c>
      <c r="B234" s="14" t="s">
        <v>50</v>
      </c>
      <c r="C234" s="35" t="s">
        <v>19</v>
      </c>
      <c r="D234" s="18">
        <f>D24+D95+D181+D77</f>
        <v>0</v>
      </c>
      <c r="E234" s="59">
        <f>G234+H234+I234+J234</f>
        <v>11640.000000000002</v>
      </c>
      <c r="F234" s="18">
        <f>F24+F95+F163+F198+F214+F146+F77+F111</f>
        <v>10131.900000000001</v>
      </c>
      <c r="G234" s="18">
        <f>G24+G95+G163+G198+G214+G146+G77+G111</f>
        <v>1500</v>
      </c>
      <c r="H234" s="18">
        <f>H24+H95+H163+H198+H214+H146+H77+H111</f>
        <v>7025.7</v>
      </c>
      <c r="I234" s="18">
        <f>I24+I95+I163+I198+I214+I146+I77+I111</f>
        <v>1606.2</v>
      </c>
      <c r="J234" s="18">
        <f>J24+J95+J163+J198+J214+J146+J77+J111</f>
        <v>1508.1</v>
      </c>
      <c r="K234" s="18">
        <f>K24+K95+K163+K198+K214+K146+K77+K111+0.1</f>
        <v>12350</v>
      </c>
      <c r="L234" s="20">
        <f>K234*100/F234</f>
        <v>121.89224133676801</v>
      </c>
      <c r="M234" s="18">
        <f>K234*100/E234</f>
        <v>106.0996563573883</v>
      </c>
      <c r="N234" s="18"/>
    </row>
    <row r="235" spans="1:14" ht="63" customHeight="1" hidden="1">
      <c r="A235" s="83" t="s">
        <v>70</v>
      </c>
      <c r="B235" s="15" t="s">
        <v>61</v>
      </c>
      <c r="C235" s="16" t="s">
        <v>61</v>
      </c>
      <c r="D235" s="18"/>
      <c r="E235" s="59">
        <f>470.7-470.7</f>
        <v>0</v>
      </c>
      <c r="F235" s="46">
        <f t="shared" si="100"/>
        <v>0</v>
      </c>
      <c r="G235" s="18">
        <f>-470.7+470.7</f>
        <v>0</v>
      </c>
      <c r="H235" s="18"/>
      <c r="I235" s="18"/>
      <c r="J235" s="18"/>
      <c r="K235" s="18"/>
      <c r="L235" s="20"/>
      <c r="M235" s="18"/>
      <c r="N235" s="18"/>
    </row>
    <row r="236" spans="1:14" ht="36">
      <c r="A236" s="83" t="s">
        <v>62</v>
      </c>
      <c r="B236" s="15"/>
      <c r="C236" s="19" t="s">
        <v>60</v>
      </c>
      <c r="D236" s="18">
        <f>D26</f>
        <v>0</v>
      </c>
      <c r="E236" s="59">
        <f>G236+H236+I236+J236</f>
        <v>-4875.5</v>
      </c>
      <c r="F236" s="46">
        <f t="shared" si="100"/>
        <v>-4875.5</v>
      </c>
      <c r="G236" s="18">
        <f>G26</f>
        <v>-4476.5</v>
      </c>
      <c r="H236" s="18">
        <f>H26</f>
        <v>-399</v>
      </c>
      <c r="I236" s="18">
        <f>I26</f>
        <v>0</v>
      </c>
      <c r="J236" s="18">
        <f>J26</f>
        <v>0</v>
      </c>
      <c r="K236" s="18">
        <f>K26</f>
        <v>-4886.7</v>
      </c>
      <c r="L236" s="20">
        <f>K236*100/F236</f>
        <v>100.22972002871501</v>
      </c>
      <c r="M236" s="18">
        <f>K236*100/E236</f>
        <v>100.22972002871501</v>
      </c>
      <c r="N236" s="18"/>
    </row>
    <row r="237" spans="1:14" ht="12.75">
      <c r="A237" s="21"/>
      <c r="B237" s="22"/>
      <c r="C237" s="23" t="s">
        <v>4</v>
      </c>
      <c r="D237" s="24">
        <f aca="true" t="shared" si="104" ref="D237:K237">D232+D218</f>
        <v>3825139.8000000003</v>
      </c>
      <c r="E237" s="24">
        <f>E232+E218</f>
        <v>4159555.8000000007</v>
      </c>
      <c r="F237" s="24">
        <f t="shared" si="104"/>
        <v>3176218.4000000004</v>
      </c>
      <c r="G237" s="24">
        <f t="shared" si="104"/>
        <v>1005147.2</v>
      </c>
      <c r="H237" s="24">
        <f t="shared" si="104"/>
        <v>1055046.7000000002</v>
      </c>
      <c r="I237" s="24">
        <f t="shared" si="104"/>
        <v>1116024.5</v>
      </c>
      <c r="J237" s="24">
        <f t="shared" si="104"/>
        <v>983337.4</v>
      </c>
      <c r="K237" s="24">
        <f t="shared" si="104"/>
        <v>2960855.3</v>
      </c>
      <c r="L237" s="27">
        <f>K237*100/F237</f>
        <v>93.21951223505285</v>
      </c>
      <c r="M237" s="24">
        <f>K237*100/E237</f>
        <v>71.1820069825725</v>
      </c>
      <c r="N237" s="24">
        <f>K237*100/D237</f>
        <v>77.40515261690565</v>
      </c>
    </row>
    <row r="238" spans="3:9" ht="12.75">
      <c r="C238" s="8"/>
      <c r="D238" s="8"/>
      <c r="E238" s="8"/>
      <c r="F238" s="8"/>
      <c r="G238" s="8"/>
      <c r="H238" s="8"/>
      <c r="I238" s="2"/>
    </row>
    <row r="239" spans="3:11" ht="12.75">
      <c r="C239" s="9" t="s">
        <v>56</v>
      </c>
      <c r="D239" s="9"/>
      <c r="E239" s="58" t="b">
        <f>P227=E232-E233</f>
        <v>0</v>
      </c>
      <c r="F239" s="9"/>
      <c r="G239" s="9"/>
      <c r="H239" s="9"/>
      <c r="I239" s="3"/>
      <c r="J239" s="3"/>
      <c r="K239" s="5"/>
    </row>
    <row r="240" spans="3:11" ht="12.75" hidden="1">
      <c r="C240" s="9"/>
      <c r="D240" s="9"/>
      <c r="E240" s="9"/>
      <c r="F240" s="9"/>
      <c r="G240" s="9"/>
      <c r="H240" s="9"/>
      <c r="I240" s="3" t="s">
        <v>59</v>
      </c>
      <c r="J240" s="3">
        <f>J239-J218</f>
        <v>-258838.5</v>
      </c>
      <c r="K240" s="4"/>
    </row>
    <row r="241" spans="1:11" ht="12.75" hidden="1">
      <c r="A241" s="2"/>
      <c r="C241" s="9"/>
      <c r="D241" s="9"/>
      <c r="E241" s="9"/>
      <c r="F241" s="9"/>
      <c r="G241" s="9"/>
      <c r="H241" s="9"/>
      <c r="I241" s="6"/>
      <c r="J241" s="3"/>
      <c r="K241" s="5"/>
    </row>
    <row r="242" spans="3:11" ht="12.75" hidden="1">
      <c r="C242" s="10"/>
      <c r="D242" s="10"/>
      <c r="E242" s="10"/>
      <c r="F242" s="10"/>
      <c r="G242" s="10"/>
      <c r="H242" s="10"/>
      <c r="I242" s="3"/>
      <c r="J242" s="3">
        <f>J241-J232</f>
        <v>-724498.9</v>
      </c>
      <c r="K242" s="5"/>
    </row>
    <row r="243" spans="3:11" ht="12.75" hidden="1">
      <c r="C243" s="10"/>
      <c r="D243" s="10"/>
      <c r="E243" s="10"/>
      <c r="F243" s="10"/>
      <c r="G243" s="10"/>
      <c r="H243" s="10"/>
      <c r="I243" s="6"/>
      <c r="J243" s="3" t="e">
        <f>#REF!+#REF!+#REF!+#REF!+#REF!+#REF!+#REF!+#REF!+#REF!+#REF!</f>
        <v>#REF!</v>
      </c>
      <c r="K243" s="5"/>
    </row>
    <row r="244" spans="1:11" ht="12.75" hidden="1">
      <c r="A244" s="2">
        <f>J218+J232</f>
        <v>983337.4</v>
      </c>
      <c r="C244" s="11"/>
      <c r="D244" s="11"/>
      <c r="E244" s="11"/>
      <c r="F244" s="11"/>
      <c r="G244" s="11"/>
      <c r="H244" s="11"/>
      <c r="I244" s="6"/>
      <c r="J244" s="3" t="e">
        <f>J243-#REF!</f>
        <v>#REF!</v>
      </c>
      <c r="K244" s="5"/>
    </row>
    <row r="245" spans="1:11" ht="12.75" hidden="1">
      <c r="A245" s="2" t="e">
        <f>#REF!+#REF!</f>
        <v>#REF!</v>
      </c>
      <c r="C245" s="10"/>
      <c r="D245" s="10"/>
      <c r="E245" s="10"/>
      <c r="F245" s="10"/>
      <c r="G245" s="10"/>
      <c r="H245" s="10"/>
      <c r="I245" s="6"/>
      <c r="J245" s="3" t="e">
        <f>J239+J241+J243</f>
        <v>#REF!</v>
      </c>
      <c r="K245" s="5"/>
    </row>
    <row r="246" spans="1:11" ht="12.75" hidden="1">
      <c r="A246" s="2" t="e">
        <f>J218+#REF!</f>
        <v>#REF!</v>
      </c>
      <c r="C246" s="9"/>
      <c r="D246" s="9"/>
      <c r="E246" s="9"/>
      <c r="F246" s="9"/>
      <c r="G246" s="9"/>
      <c r="H246" s="9"/>
      <c r="I246" s="6"/>
      <c r="J246" s="3">
        <f>J27+J43+J61+J78+J96+J112+J129+J147+J165+J182+J199+J215-J212-J196-J179-J161-J142-J127-J109-J93-J75-J40-J57</f>
        <v>1002327.6</v>
      </c>
      <c r="K246" s="5"/>
    </row>
    <row r="247" spans="1:11" ht="12.75" hidden="1">
      <c r="A247" s="2" t="e">
        <f>J232+#REF!</f>
        <v>#REF!</v>
      </c>
      <c r="C247" s="9"/>
      <c r="D247" s="9"/>
      <c r="E247" s="9"/>
      <c r="F247" s="9"/>
      <c r="G247" s="9"/>
      <c r="H247" s="9"/>
      <c r="I247" s="6"/>
      <c r="J247" s="3">
        <f>J246-J237</f>
        <v>18990.199999999953</v>
      </c>
      <c r="K247" s="5"/>
    </row>
    <row r="248" spans="3:11" ht="12.75" hidden="1">
      <c r="C248" s="9"/>
      <c r="D248" s="9"/>
      <c r="E248" s="9"/>
      <c r="F248" s="9"/>
      <c r="G248" s="9"/>
      <c r="H248" s="9"/>
      <c r="I248" s="6"/>
      <c r="J248" s="3"/>
      <c r="K248" s="5"/>
    </row>
    <row r="249" spans="3:11" ht="12.75" hidden="1">
      <c r="C249" s="8"/>
      <c r="D249" s="8"/>
      <c r="E249" s="8"/>
      <c r="F249" s="8"/>
      <c r="G249" s="8"/>
      <c r="H249" s="8"/>
      <c r="I249" s="5"/>
      <c r="J249" s="4"/>
      <c r="K249" s="5"/>
    </row>
    <row r="250" spans="3:11" ht="12.75">
      <c r="C250" s="8"/>
      <c r="D250" s="8"/>
      <c r="E250" s="8"/>
      <c r="F250" s="45"/>
      <c r="G250" s="45"/>
      <c r="H250" s="45"/>
      <c r="I250" s="45"/>
      <c r="J250" s="45"/>
      <c r="K250" s="45"/>
    </row>
    <row r="251" spans="3:11" ht="12.75">
      <c r="C251" s="8"/>
      <c r="D251" s="8"/>
      <c r="E251" s="8"/>
      <c r="F251" s="8"/>
      <c r="G251" s="8"/>
      <c r="H251" s="8"/>
      <c r="I251" s="5"/>
      <c r="J251" s="4"/>
      <c r="K251" s="5"/>
    </row>
    <row r="252" spans="3:11" ht="12.75">
      <c r="C252" s="8"/>
      <c r="D252" s="45"/>
      <c r="E252" s="45"/>
      <c r="F252" s="8"/>
      <c r="G252" s="45"/>
      <c r="H252" s="45"/>
      <c r="I252" s="45"/>
      <c r="J252" s="45"/>
      <c r="K252" s="45"/>
    </row>
    <row r="253" spans="4:11" ht="12.75">
      <c r="D253" s="2"/>
      <c r="E253" s="2"/>
      <c r="F253" s="2"/>
      <c r="G253" s="2"/>
      <c r="H253" s="2"/>
      <c r="I253" s="2"/>
      <c r="J253" s="2"/>
      <c r="K253" s="2"/>
    </row>
    <row r="254" spans="9:11" ht="12.75">
      <c r="I254" s="5"/>
      <c r="J254" s="4"/>
      <c r="K254" s="5"/>
    </row>
    <row r="255" spans="9:11" ht="12.75">
      <c r="I255" s="5"/>
      <c r="J255" s="4"/>
      <c r="K255" s="5"/>
    </row>
    <row r="256" spans="3:11" ht="12.75">
      <c r="C256" s="8"/>
      <c r="D256" s="8"/>
      <c r="E256" s="8"/>
      <c r="F256" s="8"/>
      <c r="G256" s="8"/>
      <c r="H256" s="8"/>
      <c r="I256" s="5"/>
      <c r="J256" s="4"/>
      <c r="K256" s="5"/>
    </row>
    <row r="257" spans="3:11" ht="12.75">
      <c r="C257" s="8"/>
      <c r="D257" s="8"/>
      <c r="E257" s="8"/>
      <c r="F257" s="8"/>
      <c r="G257" s="8"/>
      <c r="H257" s="8"/>
      <c r="I257" s="5"/>
      <c r="J257" s="4"/>
      <c r="K257" s="5"/>
    </row>
    <row r="258" spans="3:11" ht="12.75">
      <c r="C258" s="8"/>
      <c r="D258" s="8"/>
      <c r="E258" s="8"/>
      <c r="F258" s="8"/>
      <c r="G258" s="8"/>
      <c r="H258" s="8"/>
      <c r="I258" s="5"/>
      <c r="J258" s="4"/>
      <c r="K258" s="5"/>
    </row>
    <row r="259" spans="3:11" ht="12.75">
      <c r="C259" s="8"/>
      <c r="D259" s="8"/>
      <c r="E259" s="8"/>
      <c r="F259" s="8"/>
      <c r="G259" s="8"/>
      <c r="H259" s="8"/>
      <c r="I259" s="5"/>
      <c r="J259" s="4"/>
      <c r="K259" s="5"/>
    </row>
    <row r="260" spans="3:11" ht="12.75">
      <c r="C260" s="8"/>
      <c r="D260" s="8"/>
      <c r="E260" s="8"/>
      <c r="F260" s="8"/>
      <c r="G260" s="8"/>
      <c r="H260" s="8"/>
      <c r="I260" s="4"/>
      <c r="J260" s="4"/>
      <c r="K260" s="4"/>
    </row>
    <row r="261" spans="3:11" ht="12.75">
      <c r="C261" s="8"/>
      <c r="D261" s="8"/>
      <c r="E261" s="8"/>
      <c r="F261" s="8"/>
      <c r="G261" s="8"/>
      <c r="H261" s="8"/>
      <c r="I261" s="5"/>
      <c r="J261" s="5"/>
      <c r="K261" s="5"/>
    </row>
    <row r="262" spans="3:11" ht="12.75">
      <c r="C262" s="8"/>
      <c r="D262" s="8"/>
      <c r="E262" s="8"/>
      <c r="F262" s="8"/>
      <c r="G262" s="8"/>
      <c r="H262" s="8"/>
      <c r="I262" s="7"/>
      <c r="J262" s="4"/>
      <c r="K262" s="5"/>
    </row>
  </sheetData>
  <sheetProtection password="CF7A" sheet="1"/>
  <mergeCells count="38">
    <mergeCell ref="A148:K148"/>
    <mergeCell ref="J4:J6"/>
    <mergeCell ref="G4:G6"/>
    <mergeCell ref="A130:K130"/>
    <mergeCell ref="A217:N217"/>
    <mergeCell ref="A201:N201"/>
    <mergeCell ref="A184:N184"/>
    <mergeCell ref="A167:N167"/>
    <mergeCell ref="A149:N149"/>
    <mergeCell ref="A131:N131"/>
    <mergeCell ref="A183:K183"/>
    <mergeCell ref="A28:K28"/>
    <mergeCell ref="A216:K216"/>
    <mergeCell ref="A200:K200"/>
    <mergeCell ref="A166:K166"/>
    <mergeCell ref="K4:K6"/>
    <mergeCell ref="H4:H6"/>
    <mergeCell ref="A114:N114"/>
    <mergeCell ref="A98:N98"/>
    <mergeCell ref="A80:N80"/>
    <mergeCell ref="A1:N1"/>
    <mergeCell ref="M4:M6"/>
    <mergeCell ref="A2:K2"/>
    <mergeCell ref="E4:E6"/>
    <mergeCell ref="I4:I6"/>
    <mergeCell ref="D4:D6"/>
    <mergeCell ref="N4:N6"/>
    <mergeCell ref="F4:F6"/>
    <mergeCell ref="A113:K113"/>
    <mergeCell ref="C44:K44"/>
    <mergeCell ref="L4:L6"/>
    <mergeCell ref="A79:K79"/>
    <mergeCell ref="A45:N45"/>
    <mergeCell ref="A29:N29"/>
    <mergeCell ref="A62:K62"/>
    <mergeCell ref="A97:K97"/>
    <mergeCell ref="A63:N63"/>
    <mergeCell ref="A7:N7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1"/>
  <sheetViews>
    <sheetView tabSelected="1" zoomScalePageLayoutView="0" workbookViewId="0" topLeftCell="A1">
      <selection activeCell="R15" sqref="R15"/>
    </sheetView>
  </sheetViews>
  <sheetFormatPr defaultColWidth="9.00390625" defaultRowHeight="12.75"/>
  <cols>
    <col min="2" max="2" width="56.125" style="0" customWidth="1"/>
    <col min="3" max="3" width="18.75390625" style="0" customWidth="1"/>
    <col min="4" max="4" width="19.25390625" style="0" customWidth="1"/>
    <col min="5" max="5" width="12.25390625" style="0" customWidth="1"/>
    <col min="6" max="6" width="16.625" style="0" customWidth="1"/>
    <col min="7" max="7" width="18.00390625" style="0" customWidth="1"/>
    <col min="8" max="8" width="12.25390625" style="0" customWidth="1"/>
    <col min="9" max="9" width="15.75390625" style="0" hidden="1" customWidth="1"/>
    <col min="10" max="10" width="15.875" style="0" hidden="1" customWidth="1"/>
    <col min="11" max="11" width="14.25390625" style="0" customWidth="1"/>
    <col min="12" max="12" width="14.625" style="0" hidden="1" customWidth="1"/>
    <col min="13" max="13" width="14.125" style="0" hidden="1" customWidth="1"/>
    <col min="14" max="14" width="13.875" style="0" customWidth="1"/>
    <col min="15" max="15" width="14.875" style="0" customWidth="1"/>
  </cols>
  <sheetData>
    <row r="1" spans="1:15" ht="15" customHeight="1">
      <c r="A1" s="221" t="s">
        <v>84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13.5" thickBot="1">
      <c r="A2" s="85"/>
      <c r="B2" s="86"/>
      <c r="C2" s="87"/>
      <c r="D2" s="88"/>
      <c r="E2" s="89"/>
      <c r="F2" s="90"/>
      <c r="G2" s="90"/>
      <c r="H2" s="91"/>
      <c r="I2" s="91"/>
      <c r="J2" s="91"/>
      <c r="K2" s="92"/>
      <c r="L2" s="93"/>
      <c r="M2" s="92"/>
      <c r="N2" s="94"/>
      <c r="O2" s="95"/>
    </row>
    <row r="3" spans="1:15" ht="29.25" customHeight="1">
      <c r="A3" s="222" t="s">
        <v>85</v>
      </c>
      <c r="B3" s="224" t="s">
        <v>86</v>
      </c>
      <c r="C3" s="226" t="s">
        <v>87</v>
      </c>
      <c r="D3" s="226"/>
      <c r="E3" s="226"/>
      <c r="F3" s="227" t="s">
        <v>88</v>
      </c>
      <c r="G3" s="227"/>
      <c r="H3" s="227"/>
      <c r="I3" s="228" t="s">
        <v>89</v>
      </c>
      <c r="J3" s="229"/>
      <c r="K3" s="229"/>
      <c r="L3" s="229"/>
      <c r="M3" s="229"/>
      <c r="N3" s="229"/>
      <c r="O3" s="230"/>
    </row>
    <row r="4" spans="1:15" ht="19.5" customHeight="1">
      <c r="A4" s="223"/>
      <c r="B4" s="225"/>
      <c r="C4" s="208" t="s">
        <v>90</v>
      </c>
      <c r="D4" s="208" t="s">
        <v>91</v>
      </c>
      <c r="E4" s="217" t="s">
        <v>92</v>
      </c>
      <c r="F4" s="208" t="s">
        <v>90</v>
      </c>
      <c r="G4" s="208" t="s">
        <v>91</v>
      </c>
      <c r="H4" s="209" t="s">
        <v>92</v>
      </c>
      <c r="I4" s="211" t="s">
        <v>93</v>
      </c>
      <c r="J4" s="211" t="s">
        <v>94</v>
      </c>
      <c r="K4" s="219" t="s">
        <v>90</v>
      </c>
      <c r="L4" s="211" t="s">
        <v>95</v>
      </c>
      <c r="M4" s="211" t="s">
        <v>94</v>
      </c>
      <c r="N4" s="213" t="s">
        <v>96</v>
      </c>
      <c r="O4" s="214" t="s">
        <v>92</v>
      </c>
    </row>
    <row r="5" spans="1:15" ht="29.25" customHeight="1">
      <c r="A5" s="223"/>
      <c r="B5" s="225"/>
      <c r="C5" s="212"/>
      <c r="D5" s="208"/>
      <c r="E5" s="218"/>
      <c r="F5" s="212"/>
      <c r="G5" s="208"/>
      <c r="H5" s="210"/>
      <c r="I5" s="211"/>
      <c r="J5" s="211"/>
      <c r="K5" s="220"/>
      <c r="L5" s="211"/>
      <c r="M5" s="211"/>
      <c r="N5" s="213"/>
      <c r="O5" s="215"/>
    </row>
    <row r="6" spans="1:15" ht="12.75" customHeight="1">
      <c r="A6" s="223"/>
      <c r="B6" s="216" t="s">
        <v>97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</row>
    <row r="7" spans="1:15" ht="12.75" customHeight="1">
      <c r="A7" s="223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</row>
    <row r="8" spans="1:15" ht="12.75" customHeight="1">
      <c r="A8" s="223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</row>
    <row r="9" spans="1:15" ht="12.75" customHeight="1">
      <c r="A9" s="96"/>
      <c r="B9" s="98"/>
      <c r="C9" s="98"/>
      <c r="D9" s="98"/>
      <c r="E9" s="98"/>
      <c r="F9" s="98"/>
      <c r="G9" s="98"/>
      <c r="H9" s="98"/>
      <c r="I9" s="98"/>
      <c r="J9" s="98"/>
      <c r="K9" s="98"/>
      <c r="L9" s="99"/>
      <c r="M9" s="98"/>
      <c r="N9" s="98"/>
      <c r="O9" s="100"/>
    </row>
    <row r="10" spans="1:15" ht="30.75" customHeight="1">
      <c r="A10" s="101" t="s">
        <v>98</v>
      </c>
      <c r="B10" s="102" t="s">
        <v>99</v>
      </c>
      <c r="C10" s="103">
        <f>SUM(C11:C18)</f>
        <v>453406.69999999995</v>
      </c>
      <c r="D10" s="103">
        <f>SUM(D11:D18)</f>
        <v>248999.19999999998</v>
      </c>
      <c r="E10" s="103">
        <f>D10/C10*100</f>
        <v>54.91740638151135</v>
      </c>
      <c r="F10" s="103">
        <f>F11+F12+F13+F14+F15+F17+F18+F16</f>
        <v>242462.7</v>
      </c>
      <c r="G10" s="103">
        <f>SUM(G11:G18)</f>
        <v>175864.4</v>
      </c>
      <c r="H10" s="104">
        <f>G10/F10*100</f>
        <v>72.5325586162325</v>
      </c>
      <c r="I10" s="103">
        <f aca="true" t="shared" si="0" ref="I10:N10">SUM(I11:I18)</f>
        <v>695869.3999999999</v>
      </c>
      <c r="J10" s="103">
        <f>SUM(J11:J18)</f>
        <v>15054.9</v>
      </c>
      <c r="K10" s="103">
        <f>SUM(K11:K18)</f>
        <v>680814.5</v>
      </c>
      <c r="L10" s="103">
        <f t="shared" si="0"/>
        <v>424863.6</v>
      </c>
      <c r="M10" s="103">
        <f t="shared" si="0"/>
        <v>8807.8</v>
      </c>
      <c r="N10" s="103">
        <f t="shared" si="0"/>
        <v>416055.8</v>
      </c>
      <c r="O10" s="105">
        <f>N10/K10*100</f>
        <v>61.11147750231524</v>
      </c>
    </row>
    <row r="11" spans="1:16" ht="27.75" customHeight="1">
      <c r="A11" s="106" t="s">
        <v>100</v>
      </c>
      <c r="B11" s="107" t="s">
        <v>101</v>
      </c>
      <c r="C11" s="108">
        <v>5511</v>
      </c>
      <c r="D11" s="108">
        <v>3451.1</v>
      </c>
      <c r="E11" s="97">
        <f>D11/C11*100</f>
        <v>62.62202866993286</v>
      </c>
      <c r="F11" s="109">
        <v>46045.5</v>
      </c>
      <c r="G11" s="109">
        <v>36929.6</v>
      </c>
      <c r="H11" s="110">
        <f>G11/F11*100</f>
        <v>80.20240848725717</v>
      </c>
      <c r="I11" s="111">
        <f>C11+F11</f>
        <v>51556.5</v>
      </c>
      <c r="J11" s="112"/>
      <c r="K11" s="113">
        <f>I11-J11</f>
        <v>51556.5</v>
      </c>
      <c r="L11" s="111">
        <f>D11+G11</f>
        <v>40380.7</v>
      </c>
      <c r="M11" s="112"/>
      <c r="N11" s="113">
        <f>L11-M11</f>
        <v>40380.7</v>
      </c>
      <c r="O11" s="114">
        <f aca="true" t="shared" si="1" ref="O11:O115">N11/K11*100</f>
        <v>78.32319882071126</v>
      </c>
      <c r="P11" s="115"/>
    </row>
    <row r="12" spans="1:16" ht="33" customHeight="1">
      <c r="A12" s="106" t="s">
        <v>102</v>
      </c>
      <c r="B12" s="107" t="s">
        <v>103</v>
      </c>
      <c r="C12" s="108">
        <v>10164.3</v>
      </c>
      <c r="D12" s="108">
        <v>7182.6</v>
      </c>
      <c r="E12" s="97">
        <f aca="true" t="shared" si="2" ref="E12:E20">D12/C12*100</f>
        <v>70.66497446946667</v>
      </c>
      <c r="F12" s="109">
        <v>0</v>
      </c>
      <c r="G12" s="109"/>
      <c r="H12" s="110">
        <v>0</v>
      </c>
      <c r="I12" s="111">
        <f aca="true" t="shared" si="3" ref="I12:I18">C12+F12</f>
        <v>10164.3</v>
      </c>
      <c r="J12" s="112"/>
      <c r="K12" s="113">
        <f aca="true" t="shared" si="4" ref="K12:K18">I12-J12</f>
        <v>10164.3</v>
      </c>
      <c r="L12" s="111">
        <f aca="true" t="shared" si="5" ref="L12:L86">D12+G12</f>
        <v>7182.6</v>
      </c>
      <c r="M12" s="112"/>
      <c r="N12" s="113">
        <f aca="true" t="shared" si="6" ref="N12:N86">L12-M12</f>
        <v>7182.6</v>
      </c>
      <c r="O12" s="114">
        <f t="shared" si="1"/>
        <v>70.66497446946667</v>
      </c>
      <c r="P12" s="115"/>
    </row>
    <row r="13" spans="1:16" ht="29.25" customHeight="1">
      <c r="A13" s="106" t="s">
        <v>104</v>
      </c>
      <c r="B13" s="107" t="s">
        <v>105</v>
      </c>
      <c r="C13" s="108">
        <v>173680.5</v>
      </c>
      <c r="D13" s="108">
        <v>121433.8</v>
      </c>
      <c r="E13" s="97">
        <f t="shared" si="2"/>
        <v>69.91792400413402</v>
      </c>
      <c r="F13" s="109">
        <v>136783.7</v>
      </c>
      <c r="G13" s="109">
        <v>101833.9</v>
      </c>
      <c r="H13" s="110">
        <f>G13/F13*100</f>
        <v>74.4488561137036</v>
      </c>
      <c r="I13" s="111">
        <f t="shared" si="3"/>
        <v>310464.2</v>
      </c>
      <c r="J13" s="112">
        <v>6855.4</v>
      </c>
      <c r="K13" s="113">
        <f t="shared" si="4"/>
        <v>303608.8</v>
      </c>
      <c r="L13" s="111">
        <f>D13+G13</f>
        <v>223267.7</v>
      </c>
      <c r="M13" s="112">
        <v>5141.6</v>
      </c>
      <c r="N13" s="113">
        <f>L13-M13</f>
        <v>218126.1</v>
      </c>
      <c r="O13" s="114">
        <f t="shared" si="1"/>
        <v>71.84445905388776</v>
      </c>
      <c r="P13" s="115"/>
    </row>
    <row r="14" spans="1:16" ht="22.5" customHeight="1">
      <c r="A14" s="106" t="s">
        <v>106</v>
      </c>
      <c r="B14" s="107" t="s">
        <v>107</v>
      </c>
      <c r="C14" s="108">
        <v>7.4</v>
      </c>
      <c r="D14" s="108"/>
      <c r="E14" s="97">
        <f t="shared" si="2"/>
        <v>0</v>
      </c>
      <c r="F14" s="109">
        <v>0</v>
      </c>
      <c r="G14" s="109"/>
      <c r="H14" s="110">
        <v>0</v>
      </c>
      <c r="I14" s="111">
        <f t="shared" si="3"/>
        <v>7.4</v>
      </c>
      <c r="J14" s="112"/>
      <c r="K14" s="113">
        <f t="shared" si="4"/>
        <v>7.4</v>
      </c>
      <c r="L14" s="111">
        <f>D14+G14</f>
        <v>0</v>
      </c>
      <c r="M14" s="112"/>
      <c r="N14" s="113">
        <f>L14-M14</f>
        <v>0</v>
      </c>
      <c r="O14" s="114">
        <f t="shared" si="1"/>
        <v>0</v>
      </c>
      <c r="P14" s="115"/>
    </row>
    <row r="15" spans="1:16" ht="21.75" customHeight="1">
      <c r="A15" s="106" t="s">
        <v>108</v>
      </c>
      <c r="B15" s="107" t="s">
        <v>109</v>
      </c>
      <c r="C15" s="108">
        <v>35737.6</v>
      </c>
      <c r="D15" s="108">
        <v>26765.3</v>
      </c>
      <c r="E15" s="97">
        <f t="shared" si="2"/>
        <v>74.89394922994269</v>
      </c>
      <c r="F15" s="109">
        <v>0</v>
      </c>
      <c r="G15" s="109"/>
      <c r="H15" s="110">
        <v>0</v>
      </c>
      <c r="I15" s="111">
        <f t="shared" si="3"/>
        <v>35737.6</v>
      </c>
      <c r="J15" s="112"/>
      <c r="K15" s="113">
        <f t="shared" si="4"/>
        <v>35737.6</v>
      </c>
      <c r="L15" s="111">
        <f>D15+G15</f>
        <v>26765.3</v>
      </c>
      <c r="M15" s="112"/>
      <c r="N15" s="113">
        <f t="shared" si="6"/>
        <v>26765.3</v>
      </c>
      <c r="O15" s="114">
        <f t="shared" si="1"/>
        <v>74.89394922994269</v>
      </c>
      <c r="P15" s="115"/>
    </row>
    <row r="16" spans="1:27" ht="15" hidden="1">
      <c r="A16" s="106" t="s">
        <v>110</v>
      </c>
      <c r="B16" s="107" t="s">
        <v>111</v>
      </c>
      <c r="C16" s="108"/>
      <c r="D16" s="108"/>
      <c r="E16" s="97"/>
      <c r="F16" s="109"/>
      <c r="G16" s="109"/>
      <c r="H16" s="110" t="e">
        <f>G16/F16*100</f>
        <v>#DIV/0!</v>
      </c>
      <c r="I16" s="111">
        <f t="shared" si="3"/>
        <v>0</v>
      </c>
      <c r="J16" s="112"/>
      <c r="K16" s="113">
        <f t="shared" si="4"/>
        <v>0</v>
      </c>
      <c r="L16" s="111">
        <f t="shared" si="5"/>
        <v>0</v>
      </c>
      <c r="M16" s="112"/>
      <c r="N16" s="113">
        <f t="shared" si="6"/>
        <v>0</v>
      </c>
      <c r="O16" s="114" t="e">
        <f t="shared" si="1"/>
        <v>#DIV/0!</v>
      </c>
      <c r="P16" s="115"/>
      <c r="AA16" t="s">
        <v>112</v>
      </c>
    </row>
    <row r="17" spans="1:16" ht="16.5" customHeight="1">
      <c r="A17" s="116" t="s">
        <v>113</v>
      </c>
      <c r="B17" s="107" t="s">
        <v>114</v>
      </c>
      <c r="C17" s="108">
        <v>14056.8</v>
      </c>
      <c r="D17" s="108">
        <v>0</v>
      </c>
      <c r="E17" s="97">
        <f t="shared" si="2"/>
        <v>0</v>
      </c>
      <c r="F17" s="109">
        <v>616</v>
      </c>
      <c r="G17" s="109"/>
      <c r="H17" s="110">
        <f>G17/F17*100</f>
        <v>0</v>
      </c>
      <c r="I17" s="111">
        <f t="shared" si="3"/>
        <v>14672.8</v>
      </c>
      <c r="J17" s="112"/>
      <c r="K17" s="113">
        <f t="shared" si="4"/>
        <v>14672.8</v>
      </c>
      <c r="L17" s="111">
        <f t="shared" si="5"/>
        <v>0</v>
      </c>
      <c r="M17" s="112"/>
      <c r="N17" s="113">
        <f t="shared" si="6"/>
        <v>0</v>
      </c>
      <c r="O17" s="114">
        <f t="shared" si="1"/>
        <v>0</v>
      </c>
      <c r="P17" s="115"/>
    </row>
    <row r="18" spans="1:16" ht="24.75" customHeight="1">
      <c r="A18" s="106" t="s">
        <v>115</v>
      </c>
      <c r="B18" s="107" t="s">
        <v>116</v>
      </c>
      <c r="C18" s="108">
        <v>214249.1</v>
      </c>
      <c r="D18" s="108">
        <v>90166.4</v>
      </c>
      <c r="E18" s="97">
        <f t="shared" si="2"/>
        <v>42.084844230384164</v>
      </c>
      <c r="F18" s="109">
        <v>59017.5</v>
      </c>
      <c r="G18" s="109">
        <v>37100.9</v>
      </c>
      <c r="H18" s="110">
        <f>G18/F18*100</f>
        <v>62.86423518447918</v>
      </c>
      <c r="I18" s="111">
        <f t="shared" si="3"/>
        <v>273266.6</v>
      </c>
      <c r="J18" s="112">
        <v>8199.5</v>
      </c>
      <c r="K18" s="113">
        <f t="shared" si="4"/>
        <v>265067.1</v>
      </c>
      <c r="L18" s="111">
        <f>D18+G18</f>
        <v>127267.29999999999</v>
      </c>
      <c r="M18" s="117">
        <v>3666.2</v>
      </c>
      <c r="N18" s="113">
        <f t="shared" si="6"/>
        <v>123601.09999999999</v>
      </c>
      <c r="O18" s="114">
        <f t="shared" si="1"/>
        <v>46.63011743064304</v>
      </c>
      <c r="P18" s="115"/>
    </row>
    <row r="19" spans="1:22" ht="24" customHeight="1">
      <c r="A19" s="101" t="s">
        <v>117</v>
      </c>
      <c r="B19" s="102" t="s">
        <v>118</v>
      </c>
      <c r="C19" s="103">
        <f aca="true" t="shared" si="7" ref="C19:N19">C20</f>
        <v>4025.6</v>
      </c>
      <c r="D19" s="103">
        <f t="shared" si="7"/>
        <v>2760.5</v>
      </c>
      <c r="E19" s="103">
        <f t="shared" si="7"/>
        <v>68.57362877583466</v>
      </c>
      <c r="F19" s="103">
        <f t="shared" si="7"/>
        <v>4025.6</v>
      </c>
      <c r="G19" s="103">
        <f t="shared" si="7"/>
        <v>2760.5</v>
      </c>
      <c r="H19" s="118">
        <f t="shared" si="7"/>
        <v>68.57362877583466</v>
      </c>
      <c r="I19" s="103">
        <f>I20</f>
        <v>8051.2</v>
      </c>
      <c r="J19" s="103">
        <f>J20</f>
        <v>4025.6</v>
      </c>
      <c r="K19" s="103">
        <f>K20</f>
        <v>4025.6</v>
      </c>
      <c r="L19" s="103">
        <f t="shared" si="7"/>
        <v>5521</v>
      </c>
      <c r="M19" s="103">
        <f>M20</f>
        <v>2760.5</v>
      </c>
      <c r="N19" s="103">
        <f t="shared" si="7"/>
        <v>2760.5</v>
      </c>
      <c r="O19" s="119">
        <f t="shared" si="1"/>
        <v>68.57362877583466</v>
      </c>
      <c r="P19" s="115"/>
      <c r="V19" t="s">
        <v>39</v>
      </c>
    </row>
    <row r="20" spans="1:16" ht="21.75" customHeight="1">
      <c r="A20" s="106" t="s">
        <v>119</v>
      </c>
      <c r="B20" s="107" t="s">
        <v>120</v>
      </c>
      <c r="C20" s="108">
        <v>4025.6</v>
      </c>
      <c r="D20" s="108">
        <v>2760.5</v>
      </c>
      <c r="E20" s="97">
        <f t="shared" si="2"/>
        <v>68.57362877583466</v>
      </c>
      <c r="F20" s="109">
        <v>4025.6</v>
      </c>
      <c r="G20" s="109">
        <v>2760.5</v>
      </c>
      <c r="H20" s="110">
        <f aca="true" t="shared" si="8" ref="H20:H28">G20/F20*100</f>
        <v>68.57362877583466</v>
      </c>
      <c r="I20" s="111">
        <f aca="true" t="shared" si="9" ref="I20:I86">C20+F20</f>
        <v>8051.2</v>
      </c>
      <c r="J20" s="112">
        <v>4025.6</v>
      </c>
      <c r="K20" s="113">
        <f>I20-J20</f>
        <v>4025.6</v>
      </c>
      <c r="L20" s="111">
        <f>D20+G20</f>
        <v>5521</v>
      </c>
      <c r="M20" s="112">
        <v>2760.5</v>
      </c>
      <c r="N20" s="113">
        <f t="shared" si="6"/>
        <v>2760.5</v>
      </c>
      <c r="O20" s="114">
        <f t="shared" si="1"/>
        <v>68.57362877583466</v>
      </c>
      <c r="P20" s="115"/>
    </row>
    <row r="21" spans="1:16" ht="28.5" customHeight="1">
      <c r="A21" s="101" t="s">
        <v>121</v>
      </c>
      <c r="B21" s="120" t="s">
        <v>122</v>
      </c>
      <c r="C21" s="103">
        <f>C23+C25+C22+C24</f>
        <v>33539.9</v>
      </c>
      <c r="D21" s="103">
        <f>D23+D25+D22+D24</f>
        <v>10138</v>
      </c>
      <c r="E21" s="121">
        <f>D21/C21*100</f>
        <v>30.226685231619655</v>
      </c>
      <c r="F21" s="121">
        <f>F23+F25+F22+F24</f>
        <v>12174.3</v>
      </c>
      <c r="G21" s="121">
        <f>G23+G25+G22+G24</f>
        <v>4008.7999999999997</v>
      </c>
      <c r="H21" s="121">
        <f t="shared" si="8"/>
        <v>32.928381919288995</v>
      </c>
      <c r="I21" s="121">
        <f aca="true" t="shared" si="10" ref="I21:N21">SUM(I22:I25)</f>
        <v>45714.200000000004</v>
      </c>
      <c r="J21" s="121">
        <f t="shared" si="10"/>
        <v>8217.9</v>
      </c>
      <c r="K21" s="121">
        <f t="shared" si="10"/>
        <v>37496.3</v>
      </c>
      <c r="L21" s="121">
        <f t="shared" si="10"/>
        <v>14146.800000000001</v>
      </c>
      <c r="M21" s="121">
        <f t="shared" si="10"/>
        <v>2035.8000000000002</v>
      </c>
      <c r="N21" s="121">
        <f t="shared" si="10"/>
        <v>12111.000000000002</v>
      </c>
      <c r="O21" s="122">
        <f>N21/K21*100</f>
        <v>32.29918685310284</v>
      </c>
      <c r="P21" s="115"/>
    </row>
    <row r="22" spans="1:16" ht="15">
      <c r="A22" s="116" t="s">
        <v>123</v>
      </c>
      <c r="B22" s="107" t="s">
        <v>124</v>
      </c>
      <c r="C22" s="108">
        <v>6168.6</v>
      </c>
      <c r="D22" s="108">
        <v>4562.6</v>
      </c>
      <c r="E22" s="97">
        <f aca="true" t="shared" si="11" ref="E22:E128">D22/C22*100</f>
        <v>73.96491910644231</v>
      </c>
      <c r="F22" s="109">
        <v>881.2</v>
      </c>
      <c r="G22" s="109">
        <v>554</v>
      </c>
      <c r="H22" s="110">
        <f t="shared" si="8"/>
        <v>62.86881525192919</v>
      </c>
      <c r="I22" s="111">
        <f>C22+F22</f>
        <v>7049.8</v>
      </c>
      <c r="J22" s="112">
        <v>881.2</v>
      </c>
      <c r="K22" s="113">
        <f>I22-J22</f>
        <v>6168.6</v>
      </c>
      <c r="L22" s="111">
        <f>D22+G22</f>
        <v>5116.6</v>
      </c>
      <c r="M22" s="112">
        <v>584.6</v>
      </c>
      <c r="N22" s="113">
        <f t="shared" si="6"/>
        <v>4532</v>
      </c>
      <c r="O22" s="114">
        <f>N22/K22*100</f>
        <v>73.46885841195733</v>
      </c>
      <c r="P22" s="115"/>
    </row>
    <row r="23" spans="1:16" ht="24.75" customHeight="1">
      <c r="A23" s="123" t="s">
        <v>125</v>
      </c>
      <c r="B23" s="107" t="s">
        <v>126</v>
      </c>
      <c r="C23" s="108">
        <v>10536.9</v>
      </c>
      <c r="D23" s="108">
        <v>5008.1</v>
      </c>
      <c r="E23" s="97">
        <f t="shared" si="11"/>
        <v>47.52915943019295</v>
      </c>
      <c r="F23" s="109">
        <v>3171.8</v>
      </c>
      <c r="G23" s="109">
        <v>2079.5</v>
      </c>
      <c r="H23" s="110">
        <f t="shared" si="8"/>
        <v>65.56214137083045</v>
      </c>
      <c r="I23" s="111">
        <f>C23+F23</f>
        <v>13708.7</v>
      </c>
      <c r="J23" s="112">
        <v>878.5</v>
      </c>
      <c r="K23" s="113">
        <f>I23-J23</f>
        <v>12830.2</v>
      </c>
      <c r="L23" s="111">
        <f>D23+G23</f>
        <v>7087.6</v>
      </c>
      <c r="M23" s="112">
        <v>633.7</v>
      </c>
      <c r="N23" s="113">
        <f t="shared" si="6"/>
        <v>6453.900000000001</v>
      </c>
      <c r="O23" s="114">
        <f>N23/K23*100</f>
        <v>50.302411497872214</v>
      </c>
      <c r="P23" s="115"/>
    </row>
    <row r="24" spans="1:16" ht="26.25" customHeight="1">
      <c r="A24" s="123" t="s">
        <v>127</v>
      </c>
      <c r="B24" s="107" t="s">
        <v>128</v>
      </c>
      <c r="C24" s="108">
        <v>16520.4</v>
      </c>
      <c r="D24" s="108">
        <v>473.5</v>
      </c>
      <c r="E24" s="97">
        <f t="shared" si="11"/>
        <v>2.86615336190407</v>
      </c>
      <c r="F24" s="109">
        <v>7769.2</v>
      </c>
      <c r="G24" s="109">
        <v>1240.1</v>
      </c>
      <c r="H24" s="110">
        <f t="shared" si="8"/>
        <v>15.96174638315399</v>
      </c>
      <c r="I24" s="111">
        <f>C24+F24</f>
        <v>24289.600000000002</v>
      </c>
      <c r="J24" s="112">
        <v>6211.7</v>
      </c>
      <c r="K24" s="113">
        <f>I24-J24</f>
        <v>18077.9</v>
      </c>
      <c r="L24" s="111">
        <f>D24+G24</f>
        <v>1713.6</v>
      </c>
      <c r="M24" s="112">
        <v>723.7</v>
      </c>
      <c r="N24" s="113">
        <f t="shared" si="6"/>
        <v>989.8999999999999</v>
      </c>
      <c r="O24" s="114">
        <f>N24/K24*100</f>
        <v>5.47574662986298</v>
      </c>
      <c r="P24" s="115"/>
    </row>
    <row r="25" spans="1:16" ht="33" customHeight="1">
      <c r="A25" s="116" t="s">
        <v>129</v>
      </c>
      <c r="B25" s="107" t="s">
        <v>130</v>
      </c>
      <c r="C25" s="108">
        <v>314</v>
      </c>
      <c r="D25" s="108">
        <v>93.8</v>
      </c>
      <c r="E25" s="97">
        <f t="shared" si="11"/>
        <v>29.872611464968152</v>
      </c>
      <c r="F25" s="109">
        <v>352.1</v>
      </c>
      <c r="G25" s="109">
        <v>135.2</v>
      </c>
      <c r="H25" s="110">
        <f t="shared" si="8"/>
        <v>38.39818233456404</v>
      </c>
      <c r="I25" s="111">
        <f>C25+F25</f>
        <v>666.1</v>
      </c>
      <c r="J25" s="112">
        <v>246.5</v>
      </c>
      <c r="K25" s="113">
        <f>I25-J25</f>
        <v>419.6</v>
      </c>
      <c r="L25" s="111">
        <f>D25+G25</f>
        <v>229</v>
      </c>
      <c r="M25" s="112">
        <v>93.8</v>
      </c>
      <c r="N25" s="113">
        <f t="shared" si="6"/>
        <v>135.2</v>
      </c>
      <c r="O25" s="114">
        <f>N25/K25*100</f>
        <v>32.22116301239275</v>
      </c>
      <c r="P25" s="115"/>
    </row>
    <row r="26" spans="1:16" ht="21.75" customHeight="1">
      <c r="A26" s="101" t="s">
        <v>131</v>
      </c>
      <c r="B26" s="102" t="s">
        <v>132</v>
      </c>
      <c r="C26" s="103">
        <f>SUM(C27:C57)</f>
        <v>177470.4</v>
      </c>
      <c r="D26" s="103">
        <f>SUM(D27:D57)</f>
        <v>123895.90000000002</v>
      </c>
      <c r="E26" s="103">
        <f>D26/C26*100</f>
        <v>69.81214895554415</v>
      </c>
      <c r="F26" s="103">
        <f>SUM(F27:F57)</f>
        <v>171240.69999999998</v>
      </c>
      <c r="G26" s="103">
        <f>SUM(G27:G57)</f>
        <v>91463.9</v>
      </c>
      <c r="H26" s="104">
        <f t="shared" si="8"/>
        <v>53.41247729073755</v>
      </c>
      <c r="I26" s="103">
        <f aca="true" t="shared" si="12" ref="I26:N26">SUM(I27:I57)</f>
        <v>348711.1</v>
      </c>
      <c r="J26" s="103">
        <f t="shared" si="12"/>
        <v>59254.4</v>
      </c>
      <c r="K26" s="103">
        <f>SUM(K27:K57)</f>
        <v>289456.7</v>
      </c>
      <c r="L26" s="103">
        <f t="shared" si="12"/>
        <v>215359.80000000005</v>
      </c>
      <c r="M26" s="103">
        <f t="shared" si="12"/>
        <v>39857.1</v>
      </c>
      <c r="N26" s="103">
        <f t="shared" si="12"/>
        <v>175502.70000000004</v>
      </c>
      <c r="O26" s="105">
        <f t="shared" si="1"/>
        <v>60.631762885433304</v>
      </c>
      <c r="P26" s="115"/>
    </row>
    <row r="27" spans="1:16" ht="57" customHeight="1">
      <c r="A27" s="116" t="s">
        <v>133</v>
      </c>
      <c r="B27" s="124" t="s">
        <v>134</v>
      </c>
      <c r="C27" s="108">
        <v>29050.1</v>
      </c>
      <c r="D27" s="108">
        <v>17872.7</v>
      </c>
      <c r="E27" s="97">
        <f t="shared" si="11"/>
        <v>61.523712482917446</v>
      </c>
      <c r="F27" s="108">
        <v>15302.8</v>
      </c>
      <c r="G27" s="109">
        <v>13314.6</v>
      </c>
      <c r="H27" s="110">
        <f t="shared" si="8"/>
        <v>87.007606451107</v>
      </c>
      <c r="I27" s="111">
        <f t="shared" si="9"/>
        <v>44352.899999999994</v>
      </c>
      <c r="J27" s="112">
        <v>15302.8</v>
      </c>
      <c r="K27" s="113">
        <f>I27-J27</f>
        <v>29050.099999999995</v>
      </c>
      <c r="L27" s="111">
        <f>D27+G27</f>
        <v>31187.300000000003</v>
      </c>
      <c r="M27" s="112">
        <v>13427.9</v>
      </c>
      <c r="N27" s="113">
        <f>L27-M27</f>
        <v>17759.4</v>
      </c>
      <c r="O27" s="114">
        <f t="shared" si="1"/>
        <v>61.13369661378103</v>
      </c>
      <c r="P27" s="115"/>
    </row>
    <row r="28" spans="1:16" ht="24.75" customHeight="1">
      <c r="A28" s="106" t="s">
        <v>135</v>
      </c>
      <c r="B28" s="107" t="s">
        <v>136</v>
      </c>
      <c r="C28" s="108">
        <v>36787.3</v>
      </c>
      <c r="D28" s="108">
        <v>30085.4</v>
      </c>
      <c r="E28" s="97">
        <f t="shared" si="11"/>
        <v>81.78202803684968</v>
      </c>
      <c r="F28" s="109">
        <v>1158.2</v>
      </c>
      <c r="G28" s="109">
        <v>320</v>
      </c>
      <c r="H28" s="110">
        <f t="shared" si="8"/>
        <v>27.629079606285618</v>
      </c>
      <c r="I28" s="111">
        <f t="shared" si="9"/>
        <v>37945.5</v>
      </c>
      <c r="J28" s="112">
        <v>1076.2</v>
      </c>
      <c r="K28" s="113">
        <f aca="true" t="shared" si="13" ref="K28:K59">I28-J28</f>
        <v>36869.3</v>
      </c>
      <c r="L28" s="111">
        <f t="shared" si="5"/>
        <v>30405.4</v>
      </c>
      <c r="M28" s="112">
        <v>320</v>
      </c>
      <c r="N28" s="113">
        <f t="shared" si="6"/>
        <v>30085.4</v>
      </c>
      <c r="O28" s="114">
        <f t="shared" si="1"/>
        <v>81.60013886892347</v>
      </c>
      <c r="P28" s="115"/>
    </row>
    <row r="29" spans="1:16" ht="23.25" customHeight="1">
      <c r="A29" s="106" t="s">
        <v>137</v>
      </c>
      <c r="B29" s="107" t="s">
        <v>138</v>
      </c>
      <c r="C29" s="108">
        <v>5500</v>
      </c>
      <c r="D29" s="108">
        <v>2604.6</v>
      </c>
      <c r="E29" s="97">
        <f t="shared" si="11"/>
        <v>47.35636363636363</v>
      </c>
      <c r="F29" s="109">
        <v>0</v>
      </c>
      <c r="G29" s="109"/>
      <c r="H29" s="110">
        <v>0</v>
      </c>
      <c r="I29" s="111">
        <f t="shared" si="9"/>
        <v>5500</v>
      </c>
      <c r="J29" s="112"/>
      <c r="K29" s="113">
        <f t="shared" si="13"/>
        <v>5500</v>
      </c>
      <c r="L29" s="111">
        <f t="shared" si="5"/>
        <v>2604.6</v>
      </c>
      <c r="M29" s="112"/>
      <c r="N29" s="113">
        <f t="shared" si="6"/>
        <v>2604.6</v>
      </c>
      <c r="O29" s="114">
        <f t="shared" si="1"/>
        <v>47.35636363636363</v>
      </c>
      <c r="P29" s="115"/>
    </row>
    <row r="30" spans="1:16" ht="30">
      <c r="A30" s="106" t="s">
        <v>137</v>
      </c>
      <c r="B30" s="107" t="s">
        <v>139</v>
      </c>
      <c r="C30" s="108">
        <v>20688.5</v>
      </c>
      <c r="D30" s="108">
        <v>16484.5</v>
      </c>
      <c r="E30" s="97">
        <f t="shared" si="11"/>
        <v>79.67953210720931</v>
      </c>
      <c r="F30" s="109">
        <v>18646.2</v>
      </c>
      <c r="G30" s="109">
        <v>13712.7</v>
      </c>
      <c r="H30" s="110">
        <f>G30/F30*100</f>
        <v>73.54152588731216</v>
      </c>
      <c r="I30" s="111">
        <f t="shared" si="9"/>
        <v>39334.7</v>
      </c>
      <c r="J30" s="112">
        <v>3161.5</v>
      </c>
      <c r="K30" s="113">
        <f t="shared" si="13"/>
        <v>36173.2</v>
      </c>
      <c r="L30" s="111">
        <f t="shared" si="5"/>
        <v>30197.2</v>
      </c>
      <c r="M30" s="112">
        <v>2371.1</v>
      </c>
      <c r="N30" s="113">
        <f t="shared" si="6"/>
        <v>27826.100000000002</v>
      </c>
      <c r="O30" s="114">
        <f t="shared" si="1"/>
        <v>76.924629283558</v>
      </c>
      <c r="P30" s="115"/>
    </row>
    <row r="31" spans="1:16" ht="15">
      <c r="A31" s="106" t="s">
        <v>137</v>
      </c>
      <c r="B31" s="107" t="s">
        <v>140</v>
      </c>
      <c r="C31" s="108">
        <v>26360</v>
      </c>
      <c r="D31" s="108">
        <v>21853.1</v>
      </c>
      <c r="E31" s="97">
        <f t="shared" si="11"/>
        <v>82.9025037936267</v>
      </c>
      <c r="F31" s="109">
        <v>0</v>
      </c>
      <c r="G31" s="109"/>
      <c r="H31" s="110">
        <v>0</v>
      </c>
      <c r="I31" s="111">
        <f t="shared" si="9"/>
        <v>26360</v>
      </c>
      <c r="J31" s="112"/>
      <c r="K31" s="113">
        <f t="shared" si="13"/>
        <v>26360</v>
      </c>
      <c r="L31" s="111">
        <f t="shared" si="5"/>
        <v>21853.1</v>
      </c>
      <c r="M31" s="112"/>
      <c r="N31" s="113">
        <f t="shared" si="6"/>
        <v>21853.1</v>
      </c>
      <c r="O31" s="114">
        <f t="shared" si="1"/>
        <v>82.9025037936267</v>
      </c>
      <c r="P31" s="115"/>
    </row>
    <row r="32" spans="1:16" ht="45" hidden="1">
      <c r="A32" s="106" t="s">
        <v>141</v>
      </c>
      <c r="B32" s="125" t="s">
        <v>142</v>
      </c>
      <c r="C32" s="108"/>
      <c r="D32" s="108"/>
      <c r="E32" s="97"/>
      <c r="F32" s="109">
        <v>0</v>
      </c>
      <c r="G32" s="109"/>
      <c r="H32" s="110"/>
      <c r="I32" s="111">
        <f t="shared" si="9"/>
        <v>0</v>
      </c>
      <c r="J32" s="112"/>
      <c r="K32" s="113">
        <f t="shared" si="13"/>
        <v>0</v>
      </c>
      <c r="L32" s="111">
        <f t="shared" si="5"/>
        <v>0</v>
      </c>
      <c r="M32" s="112"/>
      <c r="N32" s="113">
        <f t="shared" si="6"/>
        <v>0</v>
      </c>
      <c r="O32" s="114"/>
      <c r="P32" s="115"/>
    </row>
    <row r="33" spans="1:16" ht="45" hidden="1">
      <c r="A33" s="116" t="s">
        <v>141</v>
      </c>
      <c r="B33" s="125" t="s">
        <v>143</v>
      </c>
      <c r="C33" s="108"/>
      <c r="D33" s="108"/>
      <c r="E33" s="97"/>
      <c r="F33" s="109">
        <v>0</v>
      </c>
      <c r="G33" s="109"/>
      <c r="H33" s="110"/>
      <c r="I33" s="111">
        <f t="shared" si="9"/>
        <v>0</v>
      </c>
      <c r="J33" s="112"/>
      <c r="K33" s="113">
        <f t="shared" si="13"/>
        <v>0</v>
      </c>
      <c r="L33" s="111">
        <f t="shared" si="5"/>
        <v>0</v>
      </c>
      <c r="M33" s="112"/>
      <c r="N33" s="113">
        <f t="shared" si="6"/>
        <v>0</v>
      </c>
      <c r="O33" s="114"/>
      <c r="P33" s="115"/>
    </row>
    <row r="34" spans="1:16" ht="45.75" customHeight="1">
      <c r="A34" s="116" t="s">
        <v>141</v>
      </c>
      <c r="B34" s="107" t="s">
        <v>144</v>
      </c>
      <c r="C34" s="108">
        <v>678.1</v>
      </c>
      <c r="D34" s="108">
        <v>378.6</v>
      </c>
      <c r="E34" s="97">
        <f t="shared" si="11"/>
        <v>55.8324730865654</v>
      </c>
      <c r="F34" s="109">
        <v>0</v>
      </c>
      <c r="G34" s="109"/>
      <c r="H34" s="110" t="e">
        <f>G34/F34*100</f>
        <v>#DIV/0!</v>
      </c>
      <c r="I34" s="111">
        <f t="shared" si="9"/>
        <v>678.1</v>
      </c>
      <c r="J34" s="112"/>
      <c r="K34" s="113">
        <f t="shared" si="13"/>
        <v>678.1</v>
      </c>
      <c r="L34" s="111">
        <f t="shared" si="5"/>
        <v>378.6</v>
      </c>
      <c r="M34" s="112"/>
      <c r="N34" s="113">
        <f t="shared" si="6"/>
        <v>378.6</v>
      </c>
      <c r="O34" s="114">
        <f t="shared" si="1"/>
        <v>55.8324730865654</v>
      </c>
      <c r="P34" s="115"/>
    </row>
    <row r="35" spans="1:16" ht="75" hidden="1">
      <c r="A35" s="116" t="s">
        <v>141</v>
      </c>
      <c r="B35" s="107" t="s">
        <v>145</v>
      </c>
      <c r="C35" s="108"/>
      <c r="D35" s="108"/>
      <c r="E35" s="97" t="e">
        <f t="shared" si="11"/>
        <v>#DIV/0!</v>
      </c>
      <c r="F35" s="109"/>
      <c r="G35" s="109"/>
      <c r="H35" s="110" t="e">
        <f>G35/F35*100</f>
        <v>#DIV/0!</v>
      </c>
      <c r="I35" s="111">
        <f t="shared" si="9"/>
        <v>0</v>
      </c>
      <c r="J35" s="112"/>
      <c r="K35" s="113">
        <f t="shared" si="13"/>
        <v>0</v>
      </c>
      <c r="L35" s="111">
        <f t="shared" si="5"/>
        <v>0</v>
      </c>
      <c r="M35" s="112"/>
      <c r="N35" s="113">
        <f t="shared" si="6"/>
        <v>0</v>
      </c>
      <c r="O35" s="114" t="e">
        <f t="shared" si="1"/>
        <v>#DIV/0!</v>
      </c>
      <c r="P35" s="115"/>
    </row>
    <row r="36" spans="1:16" ht="60" hidden="1">
      <c r="A36" s="116" t="s">
        <v>141</v>
      </c>
      <c r="B36" s="107" t="s">
        <v>146</v>
      </c>
      <c r="C36" s="108"/>
      <c r="D36" s="108"/>
      <c r="E36" s="97" t="e">
        <f t="shared" si="11"/>
        <v>#DIV/0!</v>
      </c>
      <c r="F36" s="109"/>
      <c r="G36" s="109"/>
      <c r="H36" s="110" t="e">
        <f aca="true" t="shared" si="14" ref="H36:H57">G36/F36*100</f>
        <v>#DIV/0!</v>
      </c>
      <c r="I36" s="111">
        <f t="shared" si="9"/>
        <v>0</v>
      </c>
      <c r="J36" s="112"/>
      <c r="K36" s="113">
        <f t="shared" si="13"/>
        <v>0</v>
      </c>
      <c r="L36" s="111">
        <f t="shared" si="5"/>
        <v>0</v>
      </c>
      <c r="M36" s="112"/>
      <c r="N36" s="113">
        <f t="shared" si="6"/>
        <v>0</v>
      </c>
      <c r="O36" s="114" t="e">
        <f t="shared" si="1"/>
        <v>#DIV/0!</v>
      </c>
      <c r="P36" s="115"/>
    </row>
    <row r="37" spans="1:16" ht="50.25" customHeight="1" hidden="1">
      <c r="A37" s="116" t="s">
        <v>141</v>
      </c>
      <c r="B37" s="107" t="s">
        <v>147</v>
      </c>
      <c r="C37" s="108"/>
      <c r="D37" s="108"/>
      <c r="E37" s="97" t="e">
        <f t="shared" si="11"/>
        <v>#DIV/0!</v>
      </c>
      <c r="F37" s="109"/>
      <c r="G37" s="109"/>
      <c r="H37" s="110" t="e">
        <f t="shared" si="14"/>
        <v>#DIV/0!</v>
      </c>
      <c r="I37" s="111">
        <f t="shared" si="9"/>
        <v>0</v>
      </c>
      <c r="J37" s="112"/>
      <c r="K37" s="113">
        <f t="shared" si="13"/>
        <v>0</v>
      </c>
      <c r="L37" s="111">
        <f t="shared" si="5"/>
        <v>0</v>
      </c>
      <c r="M37" s="112"/>
      <c r="N37" s="113">
        <f t="shared" si="6"/>
        <v>0</v>
      </c>
      <c r="O37" s="114" t="e">
        <f t="shared" si="1"/>
        <v>#DIV/0!</v>
      </c>
      <c r="P37" s="115"/>
    </row>
    <row r="38" spans="1:16" ht="68.25" customHeight="1">
      <c r="A38" s="126" t="s">
        <v>141</v>
      </c>
      <c r="B38" s="107" t="s">
        <v>148</v>
      </c>
      <c r="C38" s="108">
        <v>38532.9</v>
      </c>
      <c r="D38" s="108">
        <v>23277.1</v>
      </c>
      <c r="E38" s="97">
        <f t="shared" si="11"/>
        <v>60.408378294911614</v>
      </c>
      <c r="F38" s="109">
        <v>129430.7</v>
      </c>
      <c r="G38" s="109">
        <v>60153.6</v>
      </c>
      <c r="H38" s="110">
        <f t="shared" si="14"/>
        <v>46.47552705810909</v>
      </c>
      <c r="I38" s="111">
        <f t="shared" si="9"/>
        <v>167963.6</v>
      </c>
      <c r="J38" s="112">
        <v>38532.9</v>
      </c>
      <c r="K38" s="113">
        <f t="shared" si="13"/>
        <v>129430.70000000001</v>
      </c>
      <c r="L38" s="111">
        <f t="shared" si="5"/>
        <v>83430.7</v>
      </c>
      <c r="M38" s="112">
        <v>23277.1</v>
      </c>
      <c r="N38" s="113">
        <f t="shared" si="6"/>
        <v>60153.6</v>
      </c>
      <c r="O38" s="114">
        <f t="shared" si="1"/>
        <v>46.47552705810909</v>
      </c>
      <c r="P38" s="115"/>
    </row>
    <row r="39" spans="1:16" ht="30" hidden="1">
      <c r="A39" s="126" t="s">
        <v>141</v>
      </c>
      <c r="B39" s="107" t="s">
        <v>149</v>
      </c>
      <c r="C39" s="108"/>
      <c r="D39" s="108"/>
      <c r="E39" s="97"/>
      <c r="F39" s="109"/>
      <c r="G39" s="109"/>
      <c r="H39" s="110" t="e">
        <f t="shared" si="14"/>
        <v>#DIV/0!</v>
      </c>
      <c r="I39" s="111">
        <f t="shared" si="9"/>
        <v>0</v>
      </c>
      <c r="J39" s="112"/>
      <c r="K39" s="113">
        <f t="shared" si="13"/>
        <v>0</v>
      </c>
      <c r="L39" s="111">
        <f t="shared" si="5"/>
        <v>0</v>
      </c>
      <c r="M39" s="112"/>
      <c r="N39" s="113">
        <f t="shared" si="6"/>
        <v>0</v>
      </c>
      <c r="O39" s="114" t="e">
        <f t="shared" si="1"/>
        <v>#DIV/0!</v>
      </c>
      <c r="P39" s="115"/>
    </row>
    <row r="40" spans="1:16" ht="30" hidden="1">
      <c r="A40" s="116" t="s">
        <v>141</v>
      </c>
      <c r="B40" s="107" t="s">
        <v>150</v>
      </c>
      <c r="C40" s="108"/>
      <c r="D40" s="108"/>
      <c r="E40" s="97" t="e">
        <f t="shared" si="11"/>
        <v>#DIV/0!</v>
      </c>
      <c r="F40" s="109">
        <v>0</v>
      </c>
      <c r="G40" s="109"/>
      <c r="H40" s="110" t="e">
        <f t="shared" si="14"/>
        <v>#DIV/0!</v>
      </c>
      <c r="I40" s="111">
        <f t="shared" si="9"/>
        <v>0</v>
      </c>
      <c r="J40" s="112"/>
      <c r="K40" s="113">
        <f t="shared" si="13"/>
        <v>0</v>
      </c>
      <c r="L40" s="111">
        <f t="shared" si="5"/>
        <v>0</v>
      </c>
      <c r="M40" s="112"/>
      <c r="N40" s="113">
        <f t="shared" si="6"/>
        <v>0</v>
      </c>
      <c r="O40" s="114" t="e">
        <f t="shared" si="1"/>
        <v>#DIV/0!</v>
      </c>
      <c r="P40" s="115"/>
    </row>
    <row r="41" spans="1:16" ht="30" hidden="1">
      <c r="A41" s="116" t="s">
        <v>141</v>
      </c>
      <c r="B41" s="107" t="s">
        <v>151</v>
      </c>
      <c r="C41" s="108"/>
      <c r="D41" s="108"/>
      <c r="E41" s="97"/>
      <c r="F41" s="109"/>
      <c r="G41" s="109"/>
      <c r="H41" s="110" t="e">
        <f t="shared" si="14"/>
        <v>#DIV/0!</v>
      </c>
      <c r="I41" s="111">
        <f t="shared" si="9"/>
        <v>0</v>
      </c>
      <c r="J41" s="112"/>
      <c r="K41" s="113">
        <f t="shared" si="13"/>
        <v>0</v>
      </c>
      <c r="L41" s="111">
        <f t="shared" si="5"/>
        <v>0</v>
      </c>
      <c r="M41" s="112"/>
      <c r="N41" s="113">
        <f t="shared" si="6"/>
        <v>0</v>
      </c>
      <c r="O41" s="114" t="e">
        <f t="shared" si="1"/>
        <v>#DIV/0!</v>
      </c>
      <c r="P41" s="115"/>
    </row>
    <row r="42" spans="1:16" ht="30" hidden="1">
      <c r="A42" s="116" t="s">
        <v>141</v>
      </c>
      <c r="B42" s="107" t="s">
        <v>152</v>
      </c>
      <c r="C42" s="108"/>
      <c r="D42" s="108"/>
      <c r="E42" s="97"/>
      <c r="F42" s="109"/>
      <c r="G42" s="109"/>
      <c r="H42" s="110" t="e">
        <f t="shared" si="14"/>
        <v>#DIV/0!</v>
      </c>
      <c r="I42" s="111">
        <f t="shared" si="9"/>
        <v>0</v>
      </c>
      <c r="J42" s="112"/>
      <c r="K42" s="113">
        <f t="shared" si="13"/>
        <v>0</v>
      </c>
      <c r="L42" s="111">
        <f t="shared" si="5"/>
        <v>0</v>
      </c>
      <c r="M42" s="112"/>
      <c r="N42" s="113">
        <f t="shared" si="6"/>
        <v>0</v>
      </c>
      <c r="O42" s="114" t="e">
        <f t="shared" si="1"/>
        <v>#DIV/0!</v>
      </c>
      <c r="P42" s="115"/>
    </row>
    <row r="43" spans="1:16" ht="45" hidden="1">
      <c r="A43" s="116" t="s">
        <v>141</v>
      </c>
      <c r="B43" s="107" t="s">
        <v>153</v>
      </c>
      <c r="C43" s="108">
        <v>0</v>
      </c>
      <c r="D43" s="108"/>
      <c r="E43" s="97"/>
      <c r="F43" s="109"/>
      <c r="G43" s="109"/>
      <c r="H43" s="110" t="e">
        <f t="shared" si="14"/>
        <v>#DIV/0!</v>
      </c>
      <c r="I43" s="111">
        <f t="shared" si="9"/>
        <v>0</v>
      </c>
      <c r="J43" s="112"/>
      <c r="K43" s="113">
        <f t="shared" si="13"/>
        <v>0</v>
      </c>
      <c r="L43" s="111">
        <f t="shared" si="5"/>
        <v>0</v>
      </c>
      <c r="M43" s="112"/>
      <c r="N43" s="113">
        <f t="shared" si="6"/>
        <v>0</v>
      </c>
      <c r="O43" s="114" t="e">
        <f t="shared" si="1"/>
        <v>#DIV/0!</v>
      </c>
      <c r="P43" s="115"/>
    </row>
    <row r="44" spans="1:16" ht="30" hidden="1">
      <c r="A44" s="116" t="s">
        <v>141</v>
      </c>
      <c r="B44" s="107" t="s">
        <v>154</v>
      </c>
      <c r="C44" s="108"/>
      <c r="D44" s="108"/>
      <c r="E44" s="108"/>
      <c r="F44" s="109"/>
      <c r="G44" s="109"/>
      <c r="H44" s="110" t="e">
        <f t="shared" si="14"/>
        <v>#DIV/0!</v>
      </c>
      <c r="I44" s="111">
        <f t="shared" si="9"/>
        <v>0</v>
      </c>
      <c r="J44" s="112"/>
      <c r="K44" s="113">
        <f t="shared" si="13"/>
        <v>0</v>
      </c>
      <c r="L44" s="111">
        <f t="shared" si="5"/>
        <v>0</v>
      </c>
      <c r="M44" s="112"/>
      <c r="N44" s="113">
        <f t="shared" si="6"/>
        <v>0</v>
      </c>
      <c r="O44" s="114" t="e">
        <f t="shared" si="1"/>
        <v>#DIV/0!</v>
      </c>
      <c r="P44" s="115"/>
    </row>
    <row r="45" spans="1:16" ht="30" hidden="1">
      <c r="A45" s="116" t="s">
        <v>141</v>
      </c>
      <c r="B45" s="107" t="s">
        <v>155</v>
      </c>
      <c r="C45" s="108"/>
      <c r="D45" s="108"/>
      <c r="E45" s="97"/>
      <c r="F45" s="109"/>
      <c r="G45" s="109"/>
      <c r="H45" s="110" t="e">
        <f t="shared" si="14"/>
        <v>#DIV/0!</v>
      </c>
      <c r="I45" s="111">
        <f t="shared" si="9"/>
        <v>0</v>
      </c>
      <c r="J45" s="112"/>
      <c r="K45" s="113">
        <f t="shared" si="13"/>
        <v>0</v>
      </c>
      <c r="L45" s="111">
        <f t="shared" si="5"/>
        <v>0</v>
      </c>
      <c r="M45" s="112"/>
      <c r="N45" s="113">
        <f t="shared" si="6"/>
        <v>0</v>
      </c>
      <c r="O45" s="114" t="e">
        <f t="shared" si="1"/>
        <v>#DIV/0!</v>
      </c>
      <c r="P45" s="115"/>
    </row>
    <row r="46" spans="1:16" ht="21.75" customHeight="1">
      <c r="A46" s="106" t="s">
        <v>156</v>
      </c>
      <c r="B46" s="107" t="s">
        <v>157</v>
      </c>
      <c r="C46" s="108">
        <v>7796</v>
      </c>
      <c r="D46" s="108">
        <v>3326.2</v>
      </c>
      <c r="E46" s="97">
        <f t="shared" si="11"/>
        <v>42.665469471523856</v>
      </c>
      <c r="F46" s="109">
        <v>5348.8</v>
      </c>
      <c r="G46" s="109">
        <v>3593.9</v>
      </c>
      <c r="H46" s="109">
        <f t="shared" si="14"/>
        <v>67.19077176189052</v>
      </c>
      <c r="I46" s="111">
        <f t="shared" si="9"/>
        <v>13144.8</v>
      </c>
      <c r="J46" s="112"/>
      <c r="K46" s="113">
        <f t="shared" si="13"/>
        <v>13144.8</v>
      </c>
      <c r="L46" s="111">
        <f t="shared" si="5"/>
        <v>6920.1</v>
      </c>
      <c r="M46" s="112"/>
      <c r="N46" s="113">
        <f t="shared" si="6"/>
        <v>6920.1</v>
      </c>
      <c r="O46" s="114">
        <f t="shared" si="1"/>
        <v>52.645152455723945</v>
      </c>
      <c r="P46" s="115"/>
    </row>
    <row r="47" spans="1:16" ht="57.75" customHeight="1">
      <c r="A47" s="106" t="s">
        <v>158</v>
      </c>
      <c r="B47" s="125" t="s">
        <v>159</v>
      </c>
      <c r="C47" s="108">
        <v>3500</v>
      </c>
      <c r="D47" s="108">
        <v>1631</v>
      </c>
      <c r="E47" s="108">
        <f t="shared" si="11"/>
        <v>46.6</v>
      </c>
      <c r="F47" s="109">
        <v>1354</v>
      </c>
      <c r="G47" s="109">
        <v>369.1</v>
      </c>
      <c r="H47" s="109">
        <f t="shared" si="14"/>
        <v>27.25997045790251</v>
      </c>
      <c r="I47" s="111">
        <f t="shared" si="9"/>
        <v>4854</v>
      </c>
      <c r="J47" s="112">
        <v>1181</v>
      </c>
      <c r="K47" s="113">
        <f t="shared" si="13"/>
        <v>3673</v>
      </c>
      <c r="L47" s="111">
        <f t="shared" si="5"/>
        <v>2000.1</v>
      </c>
      <c r="M47" s="112">
        <v>461</v>
      </c>
      <c r="N47" s="113">
        <f t="shared" si="6"/>
        <v>1539.1</v>
      </c>
      <c r="O47" s="114">
        <f t="shared" si="1"/>
        <v>41.90307650421998</v>
      </c>
      <c r="P47" s="115"/>
    </row>
    <row r="48" spans="1:16" ht="48" customHeight="1">
      <c r="A48" s="106" t="s">
        <v>158</v>
      </c>
      <c r="B48" s="125" t="s">
        <v>160</v>
      </c>
      <c r="C48" s="108">
        <v>653.6</v>
      </c>
      <c r="D48" s="108"/>
      <c r="E48" s="108">
        <f t="shared" si="11"/>
        <v>0</v>
      </c>
      <c r="F48" s="109"/>
      <c r="G48" s="109"/>
      <c r="H48" s="109" t="e">
        <f t="shared" si="14"/>
        <v>#DIV/0!</v>
      </c>
      <c r="I48" s="111">
        <f t="shared" si="9"/>
        <v>653.6</v>
      </c>
      <c r="J48" s="112"/>
      <c r="K48" s="113">
        <f t="shared" si="13"/>
        <v>653.6</v>
      </c>
      <c r="L48" s="111">
        <f t="shared" si="5"/>
        <v>0</v>
      </c>
      <c r="M48" s="112"/>
      <c r="N48" s="113">
        <f t="shared" si="6"/>
        <v>0</v>
      </c>
      <c r="O48" s="114">
        <f t="shared" si="1"/>
        <v>0</v>
      </c>
      <c r="P48" s="115"/>
    </row>
    <row r="49" spans="1:16" ht="63.75" customHeight="1">
      <c r="A49" s="106" t="s">
        <v>158</v>
      </c>
      <c r="B49" s="125" t="s">
        <v>161</v>
      </c>
      <c r="C49" s="108">
        <v>6305.5</v>
      </c>
      <c r="D49" s="109">
        <v>5423.2</v>
      </c>
      <c r="E49" s="97">
        <f t="shared" si="11"/>
        <v>86.00745381016573</v>
      </c>
      <c r="F49" s="109">
        <v>0</v>
      </c>
      <c r="G49" s="109"/>
      <c r="H49" s="109" t="e">
        <f t="shared" si="14"/>
        <v>#DIV/0!</v>
      </c>
      <c r="I49" s="111">
        <f t="shared" si="9"/>
        <v>6305.5</v>
      </c>
      <c r="J49" s="112"/>
      <c r="K49" s="113">
        <f t="shared" si="13"/>
        <v>6305.5</v>
      </c>
      <c r="L49" s="111">
        <f t="shared" si="5"/>
        <v>5423.2</v>
      </c>
      <c r="M49" s="112"/>
      <c r="N49" s="113">
        <f t="shared" si="6"/>
        <v>5423.2</v>
      </c>
      <c r="O49" s="114">
        <f t="shared" si="1"/>
        <v>86.00745381016573</v>
      </c>
      <c r="P49" s="115"/>
    </row>
    <row r="50" spans="1:16" ht="60" hidden="1">
      <c r="A50" s="116" t="s">
        <v>158</v>
      </c>
      <c r="B50" s="125" t="s">
        <v>162</v>
      </c>
      <c r="C50" s="108"/>
      <c r="D50" s="109"/>
      <c r="E50" s="108" t="e">
        <f t="shared" si="11"/>
        <v>#DIV/0!</v>
      </c>
      <c r="F50" s="109"/>
      <c r="G50" s="109"/>
      <c r="H50" s="109" t="e">
        <f t="shared" si="14"/>
        <v>#DIV/0!</v>
      </c>
      <c r="I50" s="111">
        <f t="shared" si="9"/>
        <v>0</v>
      </c>
      <c r="J50" s="112"/>
      <c r="K50" s="113">
        <f t="shared" si="13"/>
        <v>0</v>
      </c>
      <c r="L50" s="111">
        <f t="shared" si="5"/>
        <v>0</v>
      </c>
      <c r="M50" s="112"/>
      <c r="N50" s="113">
        <f t="shared" si="6"/>
        <v>0</v>
      </c>
      <c r="O50" s="114" t="e">
        <f t="shared" si="1"/>
        <v>#DIV/0!</v>
      </c>
      <c r="P50" s="115"/>
    </row>
    <row r="51" spans="1:16" ht="43.5" customHeight="1">
      <c r="A51" s="116" t="s">
        <v>158</v>
      </c>
      <c r="B51" s="125" t="s">
        <v>163</v>
      </c>
      <c r="C51" s="108">
        <v>1618.4</v>
      </c>
      <c r="D51" s="109">
        <v>959.5</v>
      </c>
      <c r="E51" s="108">
        <f t="shared" si="11"/>
        <v>59.286950074147306</v>
      </c>
      <c r="F51" s="109">
        <v>0</v>
      </c>
      <c r="G51" s="109"/>
      <c r="H51" s="109" t="e">
        <f t="shared" si="14"/>
        <v>#DIV/0!</v>
      </c>
      <c r="I51" s="111">
        <f t="shared" si="9"/>
        <v>1618.4</v>
      </c>
      <c r="J51" s="112"/>
      <c r="K51" s="113">
        <f t="shared" si="13"/>
        <v>1618.4</v>
      </c>
      <c r="L51" s="111">
        <f>D51+G51</f>
        <v>959.5</v>
      </c>
      <c r="M51" s="112"/>
      <c r="N51" s="113">
        <f t="shared" si="6"/>
        <v>959.5</v>
      </c>
      <c r="O51" s="114">
        <f t="shared" si="1"/>
        <v>59.286950074147306</v>
      </c>
      <c r="P51" s="115"/>
    </row>
    <row r="52" spans="1:16" ht="45" hidden="1">
      <c r="A52" s="116" t="s">
        <v>158</v>
      </c>
      <c r="B52" s="125" t="s">
        <v>164</v>
      </c>
      <c r="C52" s="108"/>
      <c r="D52" s="109"/>
      <c r="E52" s="108" t="e">
        <f t="shared" si="11"/>
        <v>#DIV/0!</v>
      </c>
      <c r="F52" s="109"/>
      <c r="G52" s="109"/>
      <c r="H52" s="109" t="e">
        <f t="shared" si="14"/>
        <v>#DIV/0!</v>
      </c>
      <c r="I52" s="111">
        <f t="shared" si="9"/>
        <v>0</v>
      </c>
      <c r="J52" s="112"/>
      <c r="K52" s="113">
        <f t="shared" si="13"/>
        <v>0</v>
      </c>
      <c r="L52" s="111">
        <f t="shared" si="5"/>
        <v>0</v>
      </c>
      <c r="M52" s="112"/>
      <c r="N52" s="113">
        <f t="shared" si="6"/>
        <v>0</v>
      </c>
      <c r="O52" s="114" t="e">
        <f t="shared" si="1"/>
        <v>#DIV/0!</v>
      </c>
      <c r="P52" s="115"/>
    </row>
    <row r="53" spans="1:16" ht="30" hidden="1">
      <c r="A53" s="116" t="s">
        <v>158</v>
      </c>
      <c r="B53" s="125" t="s">
        <v>165</v>
      </c>
      <c r="C53" s="108"/>
      <c r="D53" s="109"/>
      <c r="E53" s="108" t="e">
        <f t="shared" si="11"/>
        <v>#DIV/0!</v>
      </c>
      <c r="F53" s="109"/>
      <c r="G53" s="109"/>
      <c r="H53" s="109" t="e">
        <f t="shared" si="14"/>
        <v>#DIV/0!</v>
      </c>
      <c r="I53" s="111">
        <f t="shared" si="9"/>
        <v>0</v>
      </c>
      <c r="J53" s="112"/>
      <c r="K53" s="113">
        <f t="shared" si="13"/>
        <v>0</v>
      </c>
      <c r="L53" s="111">
        <f t="shared" si="5"/>
        <v>0</v>
      </c>
      <c r="M53" s="112"/>
      <c r="N53" s="113">
        <f t="shared" si="6"/>
        <v>0</v>
      </c>
      <c r="O53" s="114" t="e">
        <f t="shared" si="1"/>
        <v>#DIV/0!</v>
      </c>
      <c r="P53" s="115"/>
    </row>
    <row r="54" spans="1:16" ht="30" hidden="1">
      <c r="A54" s="116" t="s">
        <v>158</v>
      </c>
      <c r="B54" s="125" t="s">
        <v>166</v>
      </c>
      <c r="C54" s="108"/>
      <c r="D54" s="109"/>
      <c r="E54" s="108" t="e">
        <f>D54/C54*100</f>
        <v>#DIV/0!</v>
      </c>
      <c r="F54" s="109"/>
      <c r="G54" s="109"/>
      <c r="H54" s="109" t="e">
        <f t="shared" si="14"/>
        <v>#DIV/0!</v>
      </c>
      <c r="I54" s="111">
        <f t="shared" si="9"/>
        <v>0</v>
      </c>
      <c r="J54" s="112"/>
      <c r="K54" s="113">
        <f t="shared" si="13"/>
        <v>0</v>
      </c>
      <c r="L54" s="111">
        <f t="shared" si="5"/>
        <v>0</v>
      </c>
      <c r="M54" s="112"/>
      <c r="N54" s="113">
        <f t="shared" si="6"/>
        <v>0</v>
      </c>
      <c r="O54" s="114" t="e">
        <f t="shared" si="1"/>
        <v>#DIV/0!</v>
      </c>
      <c r="P54" s="115"/>
    </row>
    <row r="55" spans="1:16" ht="60" hidden="1">
      <c r="A55" s="116" t="s">
        <v>158</v>
      </c>
      <c r="B55" s="125" t="s">
        <v>167</v>
      </c>
      <c r="C55" s="108"/>
      <c r="D55" s="109"/>
      <c r="E55" s="108" t="e">
        <f>D55/C55*100</f>
        <v>#DIV/0!</v>
      </c>
      <c r="F55" s="109"/>
      <c r="G55" s="109"/>
      <c r="H55" s="109"/>
      <c r="I55" s="111">
        <f t="shared" si="9"/>
        <v>0</v>
      </c>
      <c r="J55" s="112"/>
      <c r="K55" s="113">
        <f t="shared" si="13"/>
        <v>0</v>
      </c>
      <c r="L55" s="111">
        <f t="shared" si="5"/>
        <v>0</v>
      </c>
      <c r="M55" s="112"/>
      <c r="N55" s="113">
        <f t="shared" si="6"/>
        <v>0</v>
      </c>
      <c r="O55" s="114" t="e">
        <f t="shared" si="1"/>
        <v>#DIV/0!</v>
      </c>
      <c r="P55" s="115"/>
    </row>
    <row r="56" spans="1:16" ht="30" hidden="1">
      <c r="A56" s="116" t="s">
        <v>158</v>
      </c>
      <c r="B56" s="125" t="s">
        <v>168</v>
      </c>
      <c r="C56" s="108">
        <v>0</v>
      </c>
      <c r="D56" s="109">
        <v>0</v>
      </c>
      <c r="E56" s="108"/>
      <c r="F56" s="109"/>
      <c r="G56" s="109"/>
      <c r="H56" s="109" t="e">
        <f>G56/F56*100</f>
        <v>#DIV/0!</v>
      </c>
      <c r="I56" s="111">
        <f t="shared" si="9"/>
        <v>0</v>
      </c>
      <c r="J56" s="112"/>
      <c r="K56" s="113">
        <f t="shared" si="13"/>
        <v>0</v>
      </c>
      <c r="L56" s="111">
        <f t="shared" si="5"/>
        <v>0</v>
      </c>
      <c r="M56" s="112"/>
      <c r="N56" s="113">
        <f t="shared" si="6"/>
        <v>0</v>
      </c>
      <c r="O56" s="114" t="e">
        <f t="shared" si="1"/>
        <v>#DIV/0!</v>
      </c>
      <c r="P56" s="115"/>
    </row>
    <row r="57" spans="1:16" ht="30" hidden="1">
      <c r="A57" s="116" t="s">
        <v>158</v>
      </c>
      <c r="B57" s="125" t="s">
        <v>169</v>
      </c>
      <c r="C57" s="108">
        <v>0</v>
      </c>
      <c r="D57" s="109">
        <v>0</v>
      </c>
      <c r="E57" s="108"/>
      <c r="F57" s="109"/>
      <c r="G57" s="109"/>
      <c r="H57" s="109" t="e">
        <f t="shared" si="14"/>
        <v>#DIV/0!</v>
      </c>
      <c r="I57" s="111">
        <f t="shared" si="9"/>
        <v>0</v>
      </c>
      <c r="J57" s="112"/>
      <c r="K57" s="113">
        <f t="shared" si="13"/>
        <v>0</v>
      </c>
      <c r="L57" s="111">
        <f t="shared" si="5"/>
        <v>0</v>
      </c>
      <c r="M57" s="112"/>
      <c r="N57" s="113">
        <f t="shared" si="6"/>
        <v>0</v>
      </c>
      <c r="O57" s="114" t="e">
        <f t="shared" si="1"/>
        <v>#DIV/0!</v>
      </c>
      <c r="P57" s="115"/>
    </row>
    <row r="58" spans="1:16" ht="27.75" customHeight="1">
      <c r="A58" s="101" t="s">
        <v>170</v>
      </c>
      <c r="B58" s="102" t="s">
        <v>171</v>
      </c>
      <c r="C58" s="103">
        <f>C60+C63+C64+C65+C66+C67+C68+C69+C74+C75+C76+C77+C78+C79+C80+C81+C82+C83+C86+C87+C90+C91+C100+C84+C85</f>
        <v>614480.0999999999</v>
      </c>
      <c r="D58" s="103">
        <f>SUM(D59:D100)</f>
        <v>239491.60000000003</v>
      </c>
      <c r="E58" s="103">
        <f t="shared" si="11"/>
        <v>38.97467143362333</v>
      </c>
      <c r="F58" s="127">
        <f>SUM(F59:F100)</f>
        <v>206736.5</v>
      </c>
      <c r="G58" s="127">
        <f>SUM(G59:G100)</f>
        <v>133876.5</v>
      </c>
      <c r="H58" s="127">
        <f>G58/F58*100</f>
        <v>64.75706999005982</v>
      </c>
      <c r="I58" s="128">
        <f t="shared" si="9"/>
        <v>821216.5999999999</v>
      </c>
      <c r="J58" s="103">
        <f>SUM(J59:J100)</f>
        <v>101883.8</v>
      </c>
      <c r="K58" s="103">
        <f>SUM(K59:K100)</f>
        <v>719332.7999999999</v>
      </c>
      <c r="L58" s="103">
        <f>SUM(L59:L100)</f>
        <v>373368.10000000003</v>
      </c>
      <c r="M58" s="103">
        <f>SUM(M59:M100)</f>
        <v>53020.7</v>
      </c>
      <c r="N58" s="103">
        <f>SUM(N59:N100)</f>
        <v>320347.39999999997</v>
      </c>
      <c r="O58" s="105">
        <f t="shared" si="1"/>
        <v>44.53396258310479</v>
      </c>
      <c r="P58" s="115"/>
    </row>
    <row r="59" spans="1:16" ht="60" hidden="1">
      <c r="A59" s="106" t="s">
        <v>172</v>
      </c>
      <c r="B59" s="107" t="s">
        <v>173</v>
      </c>
      <c r="C59" s="108"/>
      <c r="D59" s="108"/>
      <c r="E59" s="97" t="e">
        <f t="shared" si="11"/>
        <v>#DIV/0!</v>
      </c>
      <c r="F59" s="109">
        <v>0</v>
      </c>
      <c r="G59" s="109">
        <v>0</v>
      </c>
      <c r="H59" s="110">
        <v>0</v>
      </c>
      <c r="I59" s="111">
        <f t="shared" si="9"/>
        <v>0</v>
      </c>
      <c r="J59" s="112"/>
      <c r="K59" s="113">
        <f t="shared" si="13"/>
        <v>0</v>
      </c>
      <c r="L59" s="111">
        <f t="shared" si="5"/>
        <v>0</v>
      </c>
      <c r="M59" s="112"/>
      <c r="N59" s="113">
        <f t="shared" si="6"/>
        <v>0</v>
      </c>
      <c r="O59" s="114" t="e">
        <f t="shared" si="1"/>
        <v>#DIV/0!</v>
      </c>
      <c r="P59" s="115"/>
    </row>
    <row r="60" spans="1:16" ht="51" customHeight="1">
      <c r="A60" s="106" t="s">
        <v>172</v>
      </c>
      <c r="B60" s="107" t="s">
        <v>174</v>
      </c>
      <c r="C60" s="108">
        <v>1716</v>
      </c>
      <c r="D60" s="108">
        <v>1152.8</v>
      </c>
      <c r="E60" s="97">
        <f t="shared" si="11"/>
        <v>67.17948717948717</v>
      </c>
      <c r="F60" s="109"/>
      <c r="G60" s="109"/>
      <c r="H60" s="110">
        <v>0</v>
      </c>
      <c r="I60" s="111">
        <f t="shared" si="9"/>
        <v>1716</v>
      </c>
      <c r="J60" s="112"/>
      <c r="K60" s="113">
        <f>I60-J60</f>
        <v>1716</v>
      </c>
      <c r="L60" s="111">
        <f>D60+G60</f>
        <v>1152.8</v>
      </c>
      <c r="M60" s="112"/>
      <c r="N60" s="113">
        <f t="shared" si="6"/>
        <v>1152.8</v>
      </c>
      <c r="O60" s="114">
        <f t="shared" si="1"/>
        <v>67.17948717948717</v>
      </c>
      <c r="P60" s="115"/>
    </row>
    <row r="61" spans="1:16" ht="30" hidden="1">
      <c r="A61" s="106" t="s">
        <v>172</v>
      </c>
      <c r="B61" s="107" t="s">
        <v>175</v>
      </c>
      <c r="C61" s="108">
        <v>0</v>
      </c>
      <c r="D61" s="108">
        <v>0</v>
      </c>
      <c r="E61" s="97" t="e">
        <f t="shared" si="11"/>
        <v>#DIV/0!</v>
      </c>
      <c r="F61" s="109"/>
      <c r="G61" s="109"/>
      <c r="H61" s="110">
        <v>0</v>
      </c>
      <c r="I61" s="111">
        <f t="shared" si="9"/>
        <v>0</v>
      </c>
      <c r="J61" s="112"/>
      <c r="K61" s="113">
        <f aca="true" t="shared" si="15" ref="K61:K100">I61-J61</f>
        <v>0</v>
      </c>
      <c r="L61" s="111">
        <f t="shared" si="5"/>
        <v>0</v>
      </c>
      <c r="M61" s="112"/>
      <c r="N61" s="113">
        <f t="shared" si="6"/>
        <v>0</v>
      </c>
      <c r="O61" s="114"/>
      <c r="P61" s="115"/>
    </row>
    <row r="62" spans="1:16" ht="30" hidden="1">
      <c r="A62" s="106" t="s">
        <v>172</v>
      </c>
      <c r="B62" s="107" t="s">
        <v>176</v>
      </c>
      <c r="C62" s="108"/>
      <c r="D62" s="108"/>
      <c r="E62" s="97" t="e">
        <f t="shared" si="11"/>
        <v>#DIV/0!</v>
      </c>
      <c r="F62" s="109"/>
      <c r="G62" s="109"/>
      <c r="H62" s="110">
        <v>0</v>
      </c>
      <c r="I62" s="111">
        <f t="shared" si="9"/>
        <v>0</v>
      </c>
      <c r="J62" s="112"/>
      <c r="K62" s="113">
        <f t="shared" si="15"/>
        <v>0</v>
      </c>
      <c r="L62" s="111">
        <f t="shared" si="5"/>
        <v>0</v>
      </c>
      <c r="M62" s="112"/>
      <c r="N62" s="113">
        <f t="shared" si="6"/>
        <v>0</v>
      </c>
      <c r="O62" s="114"/>
      <c r="P62" s="115"/>
    </row>
    <row r="63" spans="1:16" ht="62.25" customHeight="1">
      <c r="A63" s="106" t="s">
        <v>172</v>
      </c>
      <c r="B63" s="107" t="s">
        <v>177</v>
      </c>
      <c r="C63" s="108">
        <v>139750.4</v>
      </c>
      <c r="D63" s="108">
        <v>127277.1</v>
      </c>
      <c r="E63" s="97">
        <f t="shared" si="11"/>
        <v>91.07458726415095</v>
      </c>
      <c r="F63" s="109"/>
      <c r="G63" s="109"/>
      <c r="H63" s="110">
        <v>0</v>
      </c>
      <c r="I63" s="111">
        <f t="shared" si="9"/>
        <v>139750.4</v>
      </c>
      <c r="J63" s="112"/>
      <c r="K63" s="113">
        <f t="shared" si="15"/>
        <v>139750.4</v>
      </c>
      <c r="L63" s="111">
        <f t="shared" si="5"/>
        <v>127277.1</v>
      </c>
      <c r="M63" s="112"/>
      <c r="N63" s="113">
        <f t="shared" si="6"/>
        <v>127277.1</v>
      </c>
      <c r="O63" s="114"/>
      <c r="P63" s="115"/>
    </row>
    <row r="64" spans="1:16" ht="75" customHeight="1">
      <c r="A64" s="106" t="s">
        <v>172</v>
      </c>
      <c r="B64" s="107" t="s">
        <v>178</v>
      </c>
      <c r="C64" s="108">
        <v>39248.5</v>
      </c>
      <c r="D64" s="108">
        <v>11755.9</v>
      </c>
      <c r="E64" s="97">
        <f t="shared" si="11"/>
        <v>29.952482260468553</v>
      </c>
      <c r="F64" s="109"/>
      <c r="G64" s="109"/>
      <c r="H64" s="110">
        <v>0</v>
      </c>
      <c r="I64" s="111">
        <f t="shared" si="9"/>
        <v>39248.5</v>
      </c>
      <c r="J64" s="112"/>
      <c r="K64" s="113">
        <f t="shared" si="15"/>
        <v>39248.5</v>
      </c>
      <c r="L64" s="111">
        <f t="shared" si="5"/>
        <v>11755.9</v>
      </c>
      <c r="M64" s="112"/>
      <c r="N64" s="113">
        <f t="shared" si="6"/>
        <v>11755.9</v>
      </c>
      <c r="O64" s="114">
        <f t="shared" si="1"/>
        <v>29.952482260468553</v>
      </c>
      <c r="P64" s="115"/>
    </row>
    <row r="65" spans="1:16" ht="73.5" customHeight="1">
      <c r="A65" s="106" t="s">
        <v>172</v>
      </c>
      <c r="B65" s="107" t="s">
        <v>179</v>
      </c>
      <c r="C65" s="108">
        <v>3813.3</v>
      </c>
      <c r="D65" s="108">
        <v>1450.6</v>
      </c>
      <c r="E65" s="97">
        <f t="shared" si="11"/>
        <v>38.0405423124328</v>
      </c>
      <c r="F65" s="109"/>
      <c r="G65" s="109"/>
      <c r="H65" s="110">
        <v>0</v>
      </c>
      <c r="I65" s="111">
        <f t="shared" si="9"/>
        <v>3813.3</v>
      </c>
      <c r="J65" s="112"/>
      <c r="K65" s="113">
        <f t="shared" si="15"/>
        <v>3813.3</v>
      </c>
      <c r="L65" s="111">
        <f t="shared" si="5"/>
        <v>1450.6</v>
      </c>
      <c r="M65" s="112"/>
      <c r="N65" s="113">
        <f t="shared" si="6"/>
        <v>1450.6</v>
      </c>
      <c r="O65" s="114">
        <f t="shared" si="1"/>
        <v>38.0405423124328</v>
      </c>
      <c r="P65" s="115">
        <f>P65</f>
        <v>0</v>
      </c>
    </row>
    <row r="66" spans="1:16" ht="93" customHeight="1">
      <c r="A66" s="106" t="s">
        <v>172</v>
      </c>
      <c r="B66" s="107" t="s">
        <v>180</v>
      </c>
      <c r="C66" s="108">
        <v>11413.7</v>
      </c>
      <c r="D66" s="108">
        <v>7516.1</v>
      </c>
      <c r="E66" s="97">
        <f t="shared" si="11"/>
        <v>65.85156434810797</v>
      </c>
      <c r="F66" s="109"/>
      <c r="G66" s="109"/>
      <c r="H66" s="110">
        <v>0</v>
      </c>
      <c r="I66" s="111">
        <f t="shared" si="9"/>
        <v>11413.7</v>
      </c>
      <c r="J66" s="112"/>
      <c r="K66" s="113">
        <f t="shared" si="15"/>
        <v>11413.7</v>
      </c>
      <c r="L66" s="111">
        <f t="shared" si="5"/>
        <v>7516.1</v>
      </c>
      <c r="M66" s="112"/>
      <c r="N66" s="113">
        <f t="shared" si="6"/>
        <v>7516.1</v>
      </c>
      <c r="O66" s="114">
        <f t="shared" si="1"/>
        <v>65.85156434810797</v>
      </c>
      <c r="P66" s="115"/>
    </row>
    <row r="67" spans="1:16" ht="45" hidden="1">
      <c r="A67" s="106" t="s">
        <v>172</v>
      </c>
      <c r="B67" s="107" t="s">
        <v>181</v>
      </c>
      <c r="C67" s="108"/>
      <c r="D67" s="108"/>
      <c r="E67" s="97"/>
      <c r="F67" s="109"/>
      <c r="G67" s="109"/>
      <c r="H67" s="110" t="e">
        <f aca="true" t="shared" si="16" ref="H67:H76">G67/F67*100</f>
        <v>#DIV/0!</v>
      </c>
      <c r="I67" s="111">
        <f t="shared" si="9"/>
        <v>0</v>
      </c>
      <c r="J67" s="112"/>
      <c r="K67" s="113">
        <f t="shared" si="15"/>
        <v>0</v>
      </c>
      <c r="L67" s="111">
        <f t="shared" si="5"/>
        <v>0</v>
      </c>
      <c r="M67" s="112"/>
      <c r="N67" s="113">
        <f t="shared" si="6"/>
        <v>0</v>
      </c>
      <c r="O67" s="114" t="e">
        <f t="shared" si="1"/>
        <v>#DIV/0!</v>
      </c>
      <c r="P67" s="115"/>
    </row>
    <row r="68" spans="1:16" ht="52.5" customHeight="1">
      <c r="A68" s="116" t="s">
        <v>172</v>
      </c>
      <c r="B68" s="107" t="s">
        <v>182</v>
      </c>
      <c r="C68" s="108">
        <f>13237+248.5</f>
        <v>13485.5</v>
      </c>
      <c r="D68" s="108">
        <v>1489.9</v>
      </c>
      <c r="E68" s="97">
        <f t="shared" si="11"/>
        <v>11.048162841570576</v>
      </c>
      <c r="F68" s="109">
        <v>22458.4</v>
      </c>
      <c r="G68" s="109">
        <v>7600.3</v>
      </c>
      <c r="H68" s="110">
        <f t="shared" si="16"/>
        <v>33.84168061838778</v>
      </c>
      <c r="I68" s="111">
        <f t="shared" si="9"/>
        <v>35943.9</v>
      </c>
      <c r="J68" s="112">
        <v>13237</v>
      </c>
      <c r="K68" s="113">
        <f t="shared" si="15"/>
        <v>22706.9</v>
      </c>
      <c r="L68" s="111">
        <f t="shared" si="5"/>
        <v>9090.2</v>
      </c>
      <c r="M68" s="112">
        <v>1241.4</v>
      </c>
      <c r="N68" s="113">
        <f t="shared" si="6"/>
        <v>7848.800000000001</v>
      </c>
      <c r="O68" s="114">
        <f t="shared" si="1"/>
        <v>34.56570469769101</v>
      </c>
      <c r="P68" s="115"/>
    </row>
    <row r="69" spans="1:16" ht="81.75" customHeight="1">
      <c r="A69" s="106" t="s">
        <v>183</v>
      </c>
      <c r="B69" s="107" t="s">
        <v>184</v>
      </c>
      <c r="C69" s="97">
        <v>96547.8</v>
      </c>
      <c r="D69" s="97">
        <v>47756.1</v>
      </c>
      <c r="E69" s="97">
        <f t="shared" si="11"/>
        <v>49.463685345497254</v>
      </c>
      <c r="F69" s="110">
        <v>26259.7</v>
      </c>
      <c r="G69" s="110">
        <v>24008.5</v>
      </c>
      <c r="H69" s="110">
        <f t="shared" si="16"/>
        <v>91.42716786558871</v>
      </c>
      <c r="I69" s="111">
        <f t="shared" si="9"/>
        <v>122807.5</v>
      </c>
      <c r="J69" s="112">
        <v>6000</v>
      </c>
      <c r="K69" s="113">
        <f t="shared" si="15"/>
        <v>116807.5</v>
      </c>
      <c r="L69" s="111">
        <f t="shared" si="5"/>
        <v>71764.6</v>
      </c>
      <c r="M69" s="112">
        <v>6000</v>
      </c>
      <c r="N69" s="113">
        <f t="shared" si="6"/>
        <v>65764.6</v>
      </c>
      <c r="O69" s="114">
        <f t="shared" si="1"/>
        <v>56.30169295635983</v>
      </c>
      <c r="P69" s="115"/>
    </row>
    <row r="70" spans="1:16" ht="181.5" customHeight="1" hidden="1">
      <c r="A70" s="123" t="s">
        <v>183</v>
      </c>
      <c r="B70" s="107" t="s">
        <v>185</v>
      </c>
      <c r="C70" s="108"/>
      <c r="D70" s="108"/>
      <c r="E70" s="97" t="e">
        <f t="shared" si="11"/>
        <v>#DIV/0!</v>
      </c>
      <c r="F70" s="109"/>
      <c r="G70" s="109"/>
      <c r="H70" s="110" t="e">
        <f t="shared" si="16"/>
        <v>#DIV/0!</v>
      </c>
      <c r="I70" s="111">
        <f t="shared" si="9"/>
        <v>0</v>
      </c>
      <c r="J70" s="112"/>
      <c r="K70" s="113">
        <f t="shared" si="15"/>
        <v>0</v>
      </c>
      <c r="L70" s="111">
        <f t="shared" si="5"/>
        <v>0</v>
      </c>
      <c r="M70" s="112"/>
      <c r="N70" s="113">
        <f t="shared" si="6"/>
        <v>0</v>
      </c>
      <c r="O70" s="114" t="e">
        <f t="shared" si="1"/>
        <v>#DIV/0!</v>
      </c>
      <c r="P70" s="115"/>
    </row>
    <row r="71" spans="1:16" ht="120" hidden="1">
      <c r="A71" s="106" t="s">
        <v>183</v>
      </c>
      <c r="B71" s="107" t="s">
        <v>186</v>
      </c>
      <c r="C71" s="108"/>
      <c r="D71" s="108"/>
      <c r="E71" s="97" t="e">
        <f t="shared" si="11"/>
        <v>#DIV/0!</v>
      </c>
      <c r="F71" s="109"/>
      <c r="G71" s="109"/>
      <c r="H71" s="110" t="e">
        <f t="shared" si="16"/>
        <v>#DIV/0!</v>
      </c>
      <c r="I71" s="111">
        <f t="shared" si="9"/>
        <v>0</v>
      </c>
      <c r="J71" s="112"/>
      <c r="K71" s="113">
        <f t="shared" si="15"/>
        <v>0</v>
      </c>
      <c r="L71" s="111">
        <f t="shared" si="5"/>
        <v>0</v>
      </c>
      <c r="M71" s="112"/>
      <c r="N71" s="113">
        <f t="shared" si="6"/>
        <v>0</v>
      </c>
      <c r="O71" s="114" t="e">
        <f t="shared" si="1"/>
        <v>#DIV/0!</v>
      </c>
      <c r="P71" s="115"/>
    </row>
    <row r="72" spans="1:16" ht="105" hidden="1">
      <c r="A72" s="116" t="s">
        <v>183</v>
      </c>
      <c r="B72" s="107" t="s">
        <v>187</v>
      </c>
      <c r="C72" s="108"/>
      <c r="D72" s="108"/>
      <c r="E72" s="97" t="e">
        <f t="shared" si="11"/>
        <v>#DIV/0!</v>
      </c>
      <c r="F72" s="109"/>
      <c r="G72" s="109"/>
      <c r="H72" s="110" t="e">
        <f t="shared" si="16"/>
        <v>#DIV/0!</v>
      </c>
      <c r="I72" s="111">
        <f t="shared" si="9"/>
        <v>0</v>
      </c>
      <c r="J72" s="112"/>
      <c r="K72" s="113">
        <f t="shared" si="15"/>
        <v>0</v>
      </c>
      <c r="L72" s="111">
        <f t="shared" si="5"/>
        <v>0</v>
      </c>
      <c r="M72" s="112"/>
      <c r="N72" s="113">
        <f t="shared" si="6"/>
        <v>0</v>
      </c>
      <c r="O72" s="114" t="e">
        <f t="shared" si="1"/>
        <v>#DIV/0!</v>
      </c>
      <c r="P72" s="115"/>
    </row>
    <row r="73" spans="1:16" ht="105" hidden="1">
      <c r="A73" s="116" t="s">
        <v>183</v>
      </c>
      <c r="B73" s="107" t="s">
        <v>188</v>
      </c>
      <c r="C73" s="108"/>
      <c r="D73" s="108"/>
      <c r="E73" s="97" t="e">
        <f t="shared" si="11"/>
        <v>#DIV/0!</v>
      </c>
      <c r="F73" s="109"/>
      <c r="G73" s="109"/>
      <c r="H73" s="110" t="e">
        <f t="shared" si="16"/>
        <v>#DIV/0!</v>
      </c>
      <c r="I73" s="111">
        <f t="shared" si="9"/>
        <v>0</v>
      </c>
      <c r="J73" s="112"/>
      <c r="K73" s="113">
        <f t="shared" si="15"/>
        <v>0</v>
      </c>
      <c r="L73" s="111">
        <f t="shared" si="5"/>
        <v>0</v>
      </c>
      <c r="M73" s="112"/>
      <c r="N73" s="113">
        <f t="shared" si="6"/>
        <v>0</v>
      </c>
      <c r="O73" s="114" t="e">
        <f t="shared" si="1"/>
        <v>#DIV/0!</v>
      </c>
      <c r="P73" s="115"/>
    </row>
    <row r="74" spans="1:16" ht="51" hidden="1">
      <c r="A74" s="106" t="s">
        <v>183</v>
      </c>
      <c r="B74" s="129" t="s">
        <v>189</v>
      </c>
      <c r="C74" s="108"/>
      <c r="D74" s="108"/>
      <c r="E74" s="97" t="e">
        <f>D74/C74*100</f>
        <v>#DIV/0!</v>
      </c>
      <c r="F74" s="109"/>
      <c r="G74" s="109"/>
      <c r="H74" s="110" t="e">
        <f t="shared" si="16"/>
        <v>#DIV/0!</v>
      </c>
      <c r="I74" s="111">
        <f t="shared" si="9"/>
        <v>0</v>
      </c>
      <c r="J74" s="112"/>
      <c r="K74" s="113">
        <f t="shared" si="15"/>
        <v>0</v>
      </c>
      <c r="L74" s="111">
        <f t="shared" si="5"/>
        <v>0</v>
      </c>
      <c r="M74" s="112"/>
      <c r="N74" s="113">
        <f t="shared" si="6"/>
        <v>0</v>
      </c>
      <c r="O74" s="114" t="e">
        <f>N74/K74*100</f>
        <v>#DIV/0!</v>
      </c>
      <c r="P74" s="115"/>
    </row>
    <row r="75" spans="1:16" ht="54.75" customHeight="1">
      <c r="A75" s="116" t="s">
        <v>183</v>
      </c>
      <c r="B75" s="125" t="s">
        <v>190</v>
      </c>
      <c r="C75" s="108">
        <v>39056.4</v>
      </c>
      <c r="D75" s="108"/>
      <c r="E75" s="97">
        <f aca="true" t="shared" si="17" ref="E75:E86">D75/C75*100</f>
        <v>0</v>
      </c>
      <c r="F75" s="109">
        <v>22186.6</v>
      </c>
      <c r="G75" s="109"/>
      <c r="H75" s="110">
        <f t="shared" si="16"/>
        <v>0</v>
      </c>
      <c r="I75" s="111">
        <f t="shared" si="9"/>
        <v>61243</v>
      </c>
      <c r="J75" s="112">
        <v>22186.5</v>
      </c>
      <c r="K75" s="113">
        <f t="shared" si="15"/>
        <v>39056.5</v>
      </c>
      <c r="L75" s="111">
        <f>D75+G75</f>
        <v>0</v>
      </c>
      <c r="M75" s="112"/>
      <c r="N75" s="113">
        <f>L75-M75</f>
        <v>0</v>
      </c>
      <c r="O75" s="114">
        <f t="shared" si="1"/>
        <v>0</v>
      </c>
      <c r="P75" s="115"/>
    </row>
    <row r="76" spans="1:16" ht="27.75" customHeight="1">
      <c r="A76" s="116" t="s">
        <v>183</v>
      </c>
      <c r="B76" s="125" t="s">
        <v>191</v>
      </c>
      <c r="C76" s="108"/>
      <c r="D76" s="108"/>
      <c r="E76" s="97" t="e">
        <f t="shared" si="17"/>
        <v>#DIV/0!</v>
      </c>
      <c r="F76" s="109">
        <v>23525</v>
      </c>
      <c r="G76" s="109">
        <v>22863.4</v>
      </c>
      <c r="H76" s="110">
        <f t="shared" si="16"/>
        <v>97.18767268862912</v>
      </c>
      <c r="I76" s="111">
        <f t="shared" si="9"/>
        <v>23525</v>
      </c>
      <c r="J76" s="112"/>
      <c r="K76" s="113">
        <f t="shared" si="15"/>
        <v>23525</v>
      </c>
      <c r="L76" s="111">
        <f t="shared" si="5"/>
        <v>22863.4</v>
      </c>
      <c r="M76" s="112"/>
      <c r="N76" s="113">
        <f t="shared" si="6"/>
        <v>22863.4</v>
      </c>
      <c r="O76" s="114"/>
      <c r="P76" s="115"/>
    </row>
    <row r="77" spans="1:16" ht="30" customHeight="1">
      <c r="A77" s="116" t="s">
        <v>183</v>
      </c>
      <c r="B77" s="125" t="s">
        <v>192</v>
      </c>
      <c r="C77" s="108">
        <v>8500</v>
      </c>
      <c r="D77" s="108"/>
      <c r="E77" s="97">
        <f t="shared" si="17"/>
        <v>0</v>
      </c>
      <c r="F77" s="109"/>
      <c r="G77" s="109"/>
      <c r="H77" s="110"/>
      <c r="I77" s="111">
        <f t="shared" si="9"/>
        <v>8500</v>
      </c>
      <c r="J77" s="112"/>
      <c r="K77" s="113">
        <f t="shared" si="15"/>
        <v>8500</v>
      </c>
      <c r="L77" s="111">
        <f t="shared" si="5"/>
        <v>0</v>
      </c>
      <c r="M77" s="112"/>
      <c r="N77" s="113">
        <f t="shared" si="6"/>
        <v>0</v>
      </c>
      <c r="O77" s="114"/>
      <c r="P77" s="115"/>
    </row>
    <row r="78" spans="1:16" ht="65.25" customHeight="1">
      <c r="A78" s="116" t="s">
        <v>183</v>
      </c>
      <c r="B78" s="130" t="s">
        <v>193</v>
      </c>
      <c r="C78" s="108">
        <v>161500</v>
      </c>
      <c r="D78" s="108"/>
      <c r="E78" s="97">
        <f t="shared" si="17"/>
        <v>0</v>
      </c>
      <c r="F78" s="109"/>
      <c r="G78" s="109"/>
      <c r="H78" s="110" t="e">
        <f aca="true" t="shared" si="18" ref="H78:H87">G78/F78*100</f>
        <v>#DIV/0!</v>
      </c>
      <c r="I78" s="111">
        <f t="shared" si="9"/>
        <v>161500</v>
      </c>
      <c r="J78" s="112"/>
      <c r="K78" s="113">
        <f t="shared" si="15"/>
        <v>161500</v>
      </c>
      <c r="L78" s="111">
        <f t="shared" si="5"/>
        <v>0</v>
      </c>
      <c r="M78" s="112"/>
      <c r="N78" s="113">
        <f t="shared" si="6"/>
        <v>0</v>
      </c>
      <c r="O78" s="114">
        <f>N78/K78*100</f>
        <v>0</v>
      </c>
      <c r="P78" s="115"/>
    </row>
    <row r="79" spans="1:16" ht="56.25" customHeight="1">
      <c r="A79" s="116" t="s">
        <v>183</v>
      </c>
      <c r="B79" s="125" t="s">
        <v>194</v>
      </c>
      <c r="C79" s="108">
        <v>4990.1</v>
      </c>
      <c r="D79" s="108">
        <v>2529.6</v>
      </c>
      <c r="E79" s="97">
        <f t="shared" si="17"/>
        <v>50.69237089437085</v>
      </c>
      <c r="F79" s="109">
        <v>1700</v>
      </c>
      <c r="G79" s="109">
        <v>701.5</v>
      </c>
      <c r="H79" s="110">
        <f t="shared" si="18"/>
        <v>41.26470588235294</v>
      </c>
      <c r="I79" s="111">
        <f t="shared" si="9"/>
        <v>6690.1</v>
      </c>
      <c r="J79" s="112">
        <v>1700</v>
      </c>
      <c r="K79" s="113">
        <f t="shared" si="15"/>
        <v>4990.1</v>
      </c>
      <c r="L79" s="111">
        <f t="shared" si="5"/>
        <v>3231.1</v>
      </c>
      <c r="M79" s="112">
        <v>789.4</v>
      </c>
      <c r="N79" s="113">
        <f t="shared" si="6"/>
        <v>2441.7</v>
      </c>
      <c r="O79" s="114">
        <f>N79/K79*100</f>
        <v>48.930883148634294</v>
      </c>
      <c r="P79" s="115"/>
    </row>
    <row r="80" spans="1:16" ht="78" customHeight="1">
      <c r="A80" s="116" t="s">
        <v>183</v>
      </c>
      <c r="B80" s="125" t="s">
        <v>195</v>
      </c>
      <c r="C80" s="108"/>
      <c r="D80" s="108"/>
      <c r="E80" s="97" t="e">
        <f t="shared" si="17"/>
        <v>#DIV/0!</v>
      </c>
      <c r="F80" s="109">
        <v>15100</v>
      </c>
      <c r="G80" s="109">
        <v>12329.4</v>
      </c>
      <c r="H80" s="110">
        <f t="shared" si="18"/>
        <v>81.65165562913907</v>
      </c>
      <c r="I80" s="111">
        <f t="shared" si="9"/>
        <v>15100</v>
      </c>
      <c r="J80" s="112">
        <v>15100</v>
      </c>
      <c r="K80" s="113">
        <f t="shared" si="15"/>
        <v>0</v>
      </c>
      <c r="L80" s="111">
        <f t="shared" si="5"/>
        <v>12329.4</v>
      </c>
      <c r="M80" s="112">
        <v>12329.4</v>
      </c>
      <c r="N80" s="113">
        <f t="shared" si="6"/>
        <v>0</v>
      </c>
      <c r="O80" s="114" t="e">
        <f>N80/K80*100</f>
        <v>#DIV/0!</v>
      </c>
      <c r="P80" s="115"/>
    </row>
    <row r="81" spans="1:16" ht="30" hidden="1">
      <c r="A81" s="116" t="s">
        <v>183</v>
      </c>
      <c r="B81" s="125" t="s">
        <v>196</v>
      </c>
      <c r="C81" s="108"/>
      <c r="D81" s="108"/>
      <c r="E81" s="97" t="e">
        <f t="shared" si="17"/>
        <v>#DIV/0!</v>
      </c>
      <c r="F81" s="109"/>
      <c r="G81" s="109"/>
      <c r="H81" s="110" t="e">
        <f t="shared" si="18"/>
        <v>#DIV/0!</v>
      </c>
      <c r="I81" s="111">
        <f t="shared" si="9"/>
        <v>0</v>
      </c>
      <c r="J81" s="112"/>
      <c r="K81" s="113">
        <f t="shared" si="15"/>
        <v>0</v>
      </c>
      <c r="L81" s="111">
        <f t="shared" si="5"/>
        <v>0</v>
      </c>
      <c r="M81" s="112"/>
      <c r="N81" s="113">
        <f t="shared" si="6"/>
        <v>0</v>
      </c>
      <c r="O81" s="114" t="e">
        <f>N81/K81*100</f>
        <v>#DIV/0!</v>
      </c>
      <c r="P81" s="115"/>
    </row>
    <row r="82" spans="1:16" ht="46.5" customHeight="1">
      <c r="A82" s="116" t="s">
        <v>183</v>
      </c>
      <c r="B82" s="125" t="s">
        <v>197</v>
      </c>
      <c r="C82" s="108">
        <v>2551.5</v>
      </c>
      <c r="D82" s="108">
        <v>1311.4</v>
      </c>
      <c r="E82" s="97">
        <f t="shared" si="17"/>
        <v>51.39721732314325</v>
      </c>
      <c r="F82" s="109"/>
      <c r="G82" s="109"/>
      <c r="H82" s="110" t="e">
        <f t="shared" si="18"/>
        <v>#DIV/0!</v>
      </c>
      <c r="I82" s="111">
        <f t="shared" si="9"/>
        <v>2551.5</v>
      </c>
      <c r="J82" s="112"/>
      <c r="K82" s="113">
        <f t="shared" si="15"/>
        <v>2551.5</v>
      </c>
      <c r="L82" s="111">
        <f t="shared" si="5"/>
        <v>1311.4</v>
      </c>
      <c r="M82" s="112"/>
      <c r="N82" s="113">
        <f t="shared" si="6"/>
        <v>1311.4</v>
      </c>
      <c r="O82" s="131">
        <f t="shared" si="1"/>
        <v>51.39721732314325</v>
      </c>
      <c r="P82" s="115"/>
    </row>
    <row r="83" spans="1:16" ht="33" customHeight="1">
      <c r="A83" s="116" t="s">
        <v>183</v>
      </c>
      <c r="B83" s="125" t="s">
        <v>198</v>
      </c>
      <c r="C83" s="108">
        <v>42000</v>
      </c>
      <c r="D83" s="108">
        <v>698.9</v>
      </c>
      <c r="E83" s="97">
        <f t="shared" si="17"/>
        <v>1.6640476190476192</v>
      </c>
      <c r="F83" s="109">
        <v>698.9</v>
      </c>
      <c r="G83" s="109">
        <v>698.9</v>
      </c>
      <c r="H83" s="110">
        <f t="shared" si="18"/>
        <v>100</v>
      </c>
      <c r="I83" s="111">
        <f t="shared" si="9"/>
        <v>42698.9</v>
      </c>
      <c r="J83" s="112">
        <v>698.9</v>
      </c>
      <c r="K83" s="113">
        <f t="shared" si="15"/>
        <v>42000</v>
      </c>
      <c r="L83" s="111">
        <f t="shared" si="5"/>
        <v>1397.8</v>
      </c>
      <c r="M83" s="112">
        <v>698.9</v>
      </c>
      <c r="N83" s="113">
        <f t="shared" si="6"/>
        <v>698.9</v>
      </c>
      <c r="O83" s="114">
        <f t="shared" si="1"/>
        <v>1.6640476190476192</v>
      </c>
      <c r="P83" s="115"/>
    </row>
    <row r="84" spans="1:16" ht="49.5" customHeight="1">
      <c r="A84" s="116" t="s">
        <v>183</v>
      </c>
      <c r="B84" s="125" t="s">
        <v>199</v>
      </c>
      <c r="C84" s="108">
        <v>2025</v>
      </c>
      <c r="D84" s="108">
        <v>1962.9</v>
      </c>
      <c r="E84" s="97">
        <f t="shared" si="17"/>
        <v>96.93333333333334</v>
      </c>
      <c r="F84" s="109">
        <v>2025</v>
      </c>
      <c r="G84" s="109">
        <v>1962.9</v>
      </c>
      <c r="H84" s="110">
        <f t="shared" si="18"/>
        <v>96.93333333333334</v>
      </c>
      <c r="I84" s="111">
        <f t="shared" si="9"/>
        <v>4050</v>
      </c>
      <c r="J84" s="112">
        <v>2025</v>
      </c>
      <c r="K84" s="113">
        <f t="shared" si="15"/>
        <v>2025</v>
      </c>
      <c r="L84" s="111">
        <f t="shared" si="5"/>
        <v>3925.8</v>
      </c>
      <c r="M84" s="112">
        <v>1962.9</v>
      </c>
      <c r="N84" s="113">
        <f t="shared" si="6"/>
        <v>1962.9</v>
      </c>
      <c r="O84" s="114">
        <f t="shared" si="1"/>
        <v>96.93333333333334</v>
      </c>
      <c r="P84" s="115"/>
    </row>
    <row r="85" spans="1:16" ht="45" customHeight="1">
      <c r="A85" s="116" t="s">
        <v>183</v>
      </c>
      <c r="B85" s="125" t="s">
        <v>200</v>
      </c>
      <c r="C85" s="108">
        <v>6898.9</v>
      </c>
      <c r="D85" s="108">
        <v>4567</v>
      </c>
      <c r="E85" s="97">
        <f t="shared" si="17"/>
        <v>66.19895925437389</v>
      </c>
      <c r="F85" s="109"/>
      <c r="G85" s="109"/>
      <c r="H85" s="110" t="e">
        <f t="shared" si="18"/>
        <v>#DIV/0!</v>
      </c>
      <c r="I85" s="111">
        <f t="shared" si="9"/>
        <v>6898.9</v>
      </c>
      <c r="J85" s="112"/>
      <c r="K85" s="113">
        <f t="shared" si="15"/>
        <v>6898.9</v>
      </c>
      <c r="L85" s="111">
        <f t="shared" si="5"/>
        <v>4567</v>
      </c>
      <c r="M85" s="112"/>
      <c r="N85" s="113">
        <f t="shared" si="6"/>
        <v>4567</v>
      </c>
      <c r="O85" s="114"/>
      <c r="P85" s="115"/>
    </row>
    <row r="86" spans="1:16" ht="78.75" customHeight="1">
      <c r="A86" s="116" t="s">
        <v>201</v>
      </c>
      <c r="B86" s="125" t="s">
        <v>202</v>
      </c>
      <c r="C86" s="108">
        <f>13496.8+1649.1+9344.8</f>
        <v>24490.699999999997</v>
      </c>
      <c r="D86" s="108">
        <v>20424.5</v>
      </c>
      <c r="E86" s="97">
        <f t="shared" si="17"/>
        <v>83.39696292878523</v>
      </c>
      <c r="F86" s="108">
        <f>13496.8+10993.9</f>
        <v>24490.699999999997</v>
      </c>
      <c r="G86" s="109">
        <v>20424.5</v>
      </c>
      <c r="H86" s="110">
        <f t="shared" si="18"/>
        <v>83.39696292878523</v>
      </c>
      <c r="I86" s="111">
        <f t="shared" si="9"/>
        <v>48981.399999999994</v>
      </c>
      <c r="J86" s="112">
        <v>24490.7</v>
      </c>
      <c r="K86" s="113">
        <f t="shared" si="15"/>
        <v>24490.699999999993</v>
      </c>
      <c r="L86" s="111">
        <f t="shared" si="5"/>
        <v>40849</v>
      </c>
      <c r="M86" s="112">
        <v>20424.5</v>
      </c>
      <c r="N86" s="113">
        <f t="shared" si="6"/>
        <v>20424.5</v>
      </c>
      <c r="O86" s="114"/>
      <c r="P86" s="115"/>
    </row>
    <row r="87" spans="1:16" ht="90.75" customHeight="1">
      <c r="A87" s="126" t="s">
        <v>201</v>
      </c>
      <c r="B87" s="107" t="s">
        <v>203</v>
      </c>
      <c r="C87" s="108">
        <v>1500</v>
      </c>
      <c r="D87" s="108">
        <v>36.5</v>
      </c>
      <c r="E87" s="97">
        <f t="shared" si="11"/>
        <v>2.433333333333333</v>
      </c>
      <c r="F87" s="108">
        <v>1500</v>
      </c>
      <c r="G87" s="109">
        <v>35</v>
      </c>
      <c r="H87" s="110">
        <f t="shared" si="18"/>
        <v>2.3333333333333335</v>
      </c>
      <c r="I87" s="111">
        <f aca="true" t="shared" si="19" ref="I87:I100">C87+F87</f>
        <v>3000</v>
      </c>
      <c r="J87" s="112">
        <v>1500</v>
      </c>
      <c r="K87" s="113">
        <f t="shared" si="15"/>
        <v>1500</v>
      </c>
      <c r="L87" s="111">
        <f aca="true" t="shared" si="20" ref="L87:L145">D87+G87</f>
        <v>71.5</v>
      </c>
      <c r="M87" s="112">
        <v>36.5</v>
      </c>
      <c r="N87" s="113">
        <f aca="true" t="shared" si="21" ref="N87:N145">L87-M87</f>
        <v>35</v>
      </c>
      <c r="O87" s="114">
        <f t="shared" si="1"/>
        <v>2.3333333333333335</v>
      </c>
      <c r="P87" s="115"/>
    </row>
    <row r="88" spans="1:16" ht="45" hidden="1">
      <c r="A88" s="116" t="s">
        <v>201</v>
      </c>
      <c r="B88" s="107" t="s">
        <v>204</v>
      </c>
      <c r="C88" s="108"/>
      <c r="D88" s="108"/>
      <c r="E88" s="97" t="e">
        <f t="shared" si="11"/>
        <v>#DIV/0!</v>
      </c>
      <c r="F88" s="108"/>
      <c r="G88" s="109"/>
      <c r="H88" s="110"/>
      <c r="I88" s="111">
        <f t="shared" si="19"/>
        <v>0</v>
      </c>
      <c r="J88" s="112"/>
      <c r="K88" s="113">
        <f t="shared" si="15"/>
        <v>0</v>
      </c>
      <c r="L88" s="111">
        <f t="shared" si="20"/>
        <v>0</v>
      </c>
      <c r="M88" s="112"/>
      <c r="N88" s="113">
        <f t="shared" si="21"/>
        <v>0</v>
      </c>
      <c r="O88" s="114"/>
      <c r="P88" s="115"/>
    </row>
    <row r="89" spans="1:16" ht="45" customHeight="1" hidden="1">
      <c r="A89" s="116" t="s">
        <v>201</v>
      </c>
      <c r="B89" s="107" t="s">
        <v>205</v>
      </c>
      <c r="C89" s="108"/>
      <c r="D89" s="108"/>
      <c r="E89" s="97" t="e">
        <f t="shared" si="11"/>
        <v>#DIV/0!</v>
      </c>
      <c r="F89" s="108"/>
      <c r="G89" s="109"/>
      <c r="H89" s="110"/>
      <c r="I89" s="111">
        <f t="shared" si="19"/>
        <v>0</v>
      </c>
      <c r="J89" s="112"/>
      <c r="K89" s="113">
        <f t="shared" si="15"/>
        <v>0</v>
      </c>
      <c r="L89" s="111">
        <f t="shared" si="20"/>
        <v>0</v>
      </c>
      <c r="M89" s="112"/>
      <c r="N89" s="113">
        <f t="shared" si="21"/>
        <v>0</v>
      </c>
      <c r="O89" s="114"/>
      <c r="P89" s="115"/>
    </row>
    <row r="90" spans="1:16" ht="62.25" customHeight="1">
      <c r="A90" s="116" t="s">
        <v>201</v>
      </c>
      <c r="B90" s="107" t="s">
        <v>206</v>
      </c>
      <c r="C90" s="108">
        <v>12827.5</v>
      </c>
      <c r="D90" s="108">
        <v>9481</v>
      </c>
      <c r="E90" s="97">
        <f t="shared" si="11"/>
        <v>73.9115182225687</v>
      </c>
      <c r="F90" s="108">
        <v>12827.5</v>
      </c>
      <c r="G90" s="109">
        <v>9481</v>
      </c>
      <c r="H90" s="110">
        <f aca="true" t="shared" si="22" ref="H90:H95">G90/F90*100</f>
        <v>73.9115182225687</v>
      </c>
      <c r="I90" s="111">
        <f t="shared" si="19"/>
        <v>25655</v>
      </c>
      <c r="J90" s="112">
        <v>12827.5</v>
      </c>
      <c r="K90" s="113">
        <f t="shared" si="15"/>
        <v>12827.5</v>
      </c>
      <c r="L90" s="111">
        <f t="shared" si="20"/>
        <v>18962</v>
      </c>
      <c r="M90" s="112">
        <v>9481</v>
      </c>
      <c r="N90" s="113">
        <f>L90-M90</f>
        <v>9481</v>
      </c>
      <c r="O90" s="114">
        <f t="shared" si="1"/>
        <v>73.9115182225687</v>
      </c>
      <c r="P90" s="115"/>
    </row>
    <row r="91" spans="1:16" s="135" customFormat="1" ht="62.25" customHeight="1">
      <c r="A91" s="132" t="s">
        <v>201</v>
      </c>
      <c r="B91" s="133" t="s">
        <v>207</v>
      </c>
      <c r="C91" s="108">
        <v>2118.2</v>
      </c>
      <c r="D91" s="108">
        <v>56.7</v>
      </c>
      <c r="E91" s="97">
        <f t="shared" si="11"/>
        <v>2.6768010575016525</v>
      </c>
      <c r="F91" s="108">
        <v>3278.2</v>
      </c>
      <c r="G91" s="109">
        <v>117.3</v>
      </c>
      <c r="H91" s="110">
        <f t="shared" si="22"/>
        <v>3.578183149289244</v>
      </c>
      <c r="I91" s="111">
        <f t="shared" si="19"/>
        <v>5396.4</v>
      </c>
      <c r="J91" s="112">
        <v>2118.2</v>
      </c>
      <c r="K91" s="113">
        <f t="shared" si="15"/>
        <v>3278.2</v>
      </c>
      <c r="L91" s="111">
        <f t="shared" si="20"/>
        <v>174</v>
      </c>
      <c r="M91" s="112">
        <v>56.7</v>
      </c>
      <c r="N91" s="113">
        <f t="shared" si="21"/>
        <v>117.3</v>
      </c>
      <c r="O91" s="114">
        <f t="shared" si="1"/>
        <v>3.578183149289244</v>
      </c>
      <c r="P91" s="134"/>
    </row>
    <row r="92" spans="1:16" ht="60" hidden="1">
      <c r="A92" s="116" t="s">
        <v>201</v>
      </c>
      <c r="B92" s="107" t="s">
        <v>208</v>
      </c>
      <c r="C92" s="108"/>
      <c r="D92" s="108"/>
      <c r="E92" s="97"/>
      <c r="F92" s="108"/>
      <c r="G92" s="109"/>
      <c r="H92" s="110" t="e">
        <f t="shared" si="22"/>
        <v>#DIV/0!</v>
      </c>
      <c r="I92" s="111">
        <f t="shared" si="19"/>
        <v>0</v>
      </c>
      <c r="J92" s="112"/>
      <c r="K92" s="113">
        <f t="shared" si="15"/>
        <v>0</v>
      </c>
      <c r="L92" s="111">
        <f t="shared" si="20"/>
        <v>0</v>
      </c>
      <c r="M92" s="112"/>
      <c r="N92" s="113">
        <f t="shared" si="21"/>
        <v>0</v>
      </c>
      <c r="O92" s="114"/>
      <c r="P92" s="115"/>
    </row>
    <row r="93" spans="1:16" ht="45" hidden="1">
      <c r="A93" s="116" t="s">
        <v>201</v>
      </c>
      <c r="B93" s="107" t="s">
        <v>209</v>
      </c>
      <c r="C93" s="108"/>
      <c r="D93" s="108"/>
      <c r="E93" s="97" t="e">
        <f t="shared" si="11"/>
        <v>#DIV/0!</v>
      </c>
      <c r="F93" s="108"/>
      <c r="G93" s="109"/>
      <c r="H93" s="110" t="e">
        <f t="shared" si="22"/>
        <v>#DIV/0!</v>
      </c>
      <c r="I93" s="111">
        <f t="shared" si="19"/>
        <v>0</v>
      </c>
      <c r="J93" s="112"/>
      <c r="K93" s="113">
        <f t="shared" si="15"/>
        <v>0</v>
      </c>
      <c r="L93" s="111">
        <f t="shared" si="20"/>
        <v>0</v>
      </c>
      <c r="M93" s="112"/>
      <c r="N93" s="113">
        <f t="shared" si="21"/>
        <v>0</v>
      </c>
      <c r="O93" s="114" t="e">
        <f t="shared" si="1"/>
        <v>#DIV/0!</v>
      </c>
      <c r="P93" s="115"/>
    </row>
    <row r="94" spans="1:16" ht="60" hidden="1">
      <c r="A94" s="116" t="s">
        <v>201</v>
      </c>
      <c r="B94" s="136" t="s">
        <v>210</v>
      </c>
      <c r="C94" s="108"/>
      <c r="D94" s="108"/>
      <c r="E94" s="97"/>
      <c r="F94" s="108"/>
      <c r="G94" s="109"/>
      <c r="H94" s="110" t="e">
        <f t="shared" si="22"/>
        <v>#DIV/0!</v>
      </c>
      <c r="I94" s="111">
        <f t="shared" si="19"/>
        <v>0</v>
      </c>
      <c r="J94" s="112"/>
      <c r="K94" s="113">
        <f t="shared" si="15"/>
        <v>0</v>
      </c>
      <c r="L94" s="111">
        <f t="shared" si="20"/>
        <v>0</v>
      </c>
      <c r="M94" s="112"/>
      <c r="N94" s="113">
        <f t="shared" si="21"/>
        <v>0</v>
      </c>
      <c r="O94" s="114" t="e">
        <f t="shared" si="1"/>
        <v>#DIV/0!</v>
      </c>
      <c r="P94" s="115"/>
    </row>
    <row r="95" spans="1:16" ht="30" hidden="1">
      <c r="A95" s="116" t="s">
        <v>201</v>
      </c>
      <c r="B95" s="107" t="s">
        <v>211</v>
      </c>
      <c r="C95" s="108"/>
      <c r="D95" s="108"/>
      <c r="E95" s="97" t="e">
        <f t="shared" si="11"/>
        <v>#DIV/0!</v>
      </c>
      <c r="F95" s="108"/>
      <c r="G95" s="109"/>
      <c r="H95" s="110" t="e">
        <f t="shared" si="22"/>
        <v>#DIV/0!</v>
      </c>
      <c r="I95" s="111">
        <f t="shared" si="19"/>
        <v>0</v>
      </c>
      <c r="J95" s="112"/>
      <c r="K95" s="113">
        <f t="shared" si="15"/>
        <v>0</v>
      </c>
      <c r="L95" s="111">
        <f t="shared" si="20"/>
        <v>0</v>
      </c>
      <c r="M95" s="112"/>
      <c r="N95" s="113">
        <f t="shared" si="21"/>
        <v>0</v>
      </c>
      <c r="O95" s="114" t="e">
        <f t="shared" si="1"/>
        <v>#DIV/0!</v>
      </c>
      <c r="P95" s="115"/>
    </row>
    <row r="96" spans="1:16" ht="30" hidden="1">
      <c r="A96" s="116" t="s">
        <v>201</v>
      </c>
      <c r="B96" s="107" t="s">
        <v>212</v>
      </c>
      <c r="C96" s="108"/>
      <c r="D96" s="108"/>
      <c r="E96" s="97"/>
      <c r="F96" s="108"/>
      <c r="G96" s="109"/>
      <c r="H96" s="110"/>
      <c r="I96" s="111">
        <f t="shared" si="19"/>
        <v>0</v>
      </c>
      <c r="J96" s="112"/>
      <c r="K96" s="113">
        <f t="shared" si="15"/>
        <v>0</v>
      </c>
      <c r="L96" s="111">
        <f t="shared" si="20"/>
        <v>0</v>
      </c>
      <c r="M96" s="112"/>
      <c r="N96" s="113">
        <f t="shared" si="21"/>
        <v>0</v>
      </c>
      <c r="O96" s="114" t="e">
        <f t="shared" si="1"/>
        <v>#DIV/0!</v>
      </c>
      <c r="P96" s="115"/>
    </row>
    <row r="97" spans="1:16" ht="30" hidden="1">
      <c r="A97" s="116" t="s">
        <v>201</v>
      </c>
      <c r="B97" s="107" t="s">
        <v>213</v>
      </c>
      <c r="C97" s="108"/>
      <c r="D97" s="108"/>
      <c r="E97" s="97"/>
      <c r="F97" s="108"/>
      <c r="G97" s="109"/>
      <c r="H97" s="110"/>
      <c r="I97" s="111">
        <f t="shared" si="19"/>
        <v>0</v>
      </c>
      <c r="J97" s="112"/>
      <c r="K97" s="113">
        <f t="shared" si="15"/>
        <v>0</v>
      </c>
      <c r="L97" s="111">
        <f t="shared" si="20"/>
        <v>0</v>
      </c>
      <c r="M97" s="112"/>
      <c r="N97" s="113">
        <f t="shared" si="21"/>
        <v>0</v>
      </c>
      <c r="O97" s="114" t="e">
        <f t="shared" si="1"/>
        <v>#DIV/0!</v>
      </c>
      <c r="P97" s="115"/>
    </row>
    <row r="98" spans="1:16" ht="45" hidden="1">
      <c r="A98" s="116" t="s">
        <v>201</v>
      </c>
      <c r="B98" s="137" t="s">
        <v>214</v>
      </c>
      <c r="C98" s="108"/>
      <c r="D98" s="108"/>
      <c r="E98" s="97"/>
      <c r="F98" s="108"/>
      <c r="G98" s="109"/>
      <c r="H98" s="110"/>
      <c r="I98" s="111">
        <f t="shared" si="19"/>
        <v>0</v>
      </c>
      <c r="J98" s="112"/>
      <c r="K98" s="113">
        <f t="shared" si="15"/>
        <v>0</v>
      </c>
      <c r="L98" s="111">
        <f t="shared" si="20"/>
        <v>0</v>
      </c>
      <c r="M98" s="112"/>
      <c r="N98" s="113">
        <f t="shared" si="21"/>
        <v>0</v>
      </c>
      <c r="O98" s="114" t="e">
        <f t="shared" si="1"/>
        <v>#DIV/0!</v>
      </c>
      <c r="P98" s="115"/>
    </row>
    <row r="99" spans="1:16" ht="39" customHeight="1">
      <c r="A99" s="106" t="s">
        <v>201</v>
      </c>
      <c r="B99" s="107" t="s">
        <v>215</v>
      </c>
      <c r="C99" s="108"/>
      <c r="D99" s="108"/>
      <c r="E99" s="97"/>
      <c r="F99" s="108">
        <v>50686.5</v>
      </c>
      <c r="G99" s="109">
        <v>33653.8</v>
      </c>
      <c r="H99" s="110">
        <f>G99/F99*100</f>
        <v>66.39598315133222</v>
      </c>
      <c r="I99" s="111">
        <f t="shared" si="19"/>
        <v>50686.5</v>
      </c>
      <c r="J99" s="112"/>
      <c r="K99" s="113">
        <f t="shared" si="15"/>
        <v>50686.5</v>
      </c>
      <c r="L99" s="111">
        <f t="shared" si="20"/>
        <v>33653.8</v>
      </c>
      <c r="M99" s="112"/>
      <c r="N99" s="113">
        <f t="shared" si="21"/>
        <v>33653.8</v>
      </c>
      <c r="O99" s="114">
        <f t="shared" si="1"/>
        <v>66.39598315133222</v>
      </c>
      <c r="P99" s="115"/>
    </row>
    <row r="100" spans="1:16" ht="28.5" customHeight="1">
      <c r="A100" s="116" t="s">
        <v>216</v>
      </c>
      <c r="B100" s="107" t="s">
        <v>217</v>
      </c>
      <c r="C100" s="108">
        <v>46.6</v>
      </c>
      <c r="D100" s="108">
        <v>24.6</v>
      </c>
      <c r="E100" s="97">
        <f>D100/C100*100</f>
        <v>52.78969957081545</v>
      </c>
      <c r="F100" s="108">
        <v>0</v>
      </c>
      <c r="G100" s="109"/>
      <c r="H100" s="110">
        <v>0</v>
      </c>
      <c r="I100" s="111">
        <f t="shared" si="19"/>
        <v>46.6</v>
      </c>
      <c r="J100" s="112"/>
      <c r="K100" s="113">
        <f t="shared" si="15"/>
        <v>46.6</v>
      </c>
      <c r="L100" s="111">
        <f t="shared" si="20"/>
        <v>24.6</v>
      </c>
      <c r="M100" s="112"/>
      <c r="N100" s="113">
        <f t="shared" si="21"/>
        <v>24.6</v>
      </c>
      <c r="O100" s="138">
        <f t="shared" si="1"/>
        <v>52.78969957081545</v>
      </c>
      <c r="P100" s="115"/>
    </row>
    <row r="101" spans="1:16" ht="27" customHeight="1">
      <c r="A101" s="139" t="s">
        <v>218</v>
      </c>
      <c r="B101" s="140" t="s">
        <v>219</v>
      </c>
      <c r="C101" s="127">
        <f>C102</f>
        <v>4763.5</v>
      </c>
      <c r="D101" s="127">
        <f aca="true" t="shared" si="23" ref="D101:N101">D102</f>
        <v>4759</v>
      </c>
      <c r="E101" s="118">
        <f t="shared" si="11"/>
        <v>99.9055316468983</v>
      </c>
      <c r="F101" s="127">
        <f t="shared" si="23"/>
        <v>4.4</v>
      </c>
      <c r="G101" s="127">
        <f t="shared" si="23"/>
        <v>0</v>
      </c>
      <c r="H101" s="104">
        <f t="shared" si="23"/>
        <v>0</v>
      </c>
      <c r="I101" s="127">
        <f t="shared" si="23"/>
        <v>4767.9</v>
      </c>
      <c r="J101" s="127">
        <f t="shared" si="23"/>
        <v>4.4</v>
      </c>
      <c r="K101" s="127">
        <f>K102</f>
        <v>4763.5</v>
      </c>
      <c r="L101" s="127">
        <f t="shared" si="23"/>
        <v>4759</v>
      </c>
      <c r="M101" s="127">
        <f t="shared" si="23"/>
        <v>0</v>
      </c>
      <c r="N101" s="127">
        <f t="shared" si="23"/>
        <v>4759</v>
      </c>
      <c r="O101" s="141">
        <f t="shared" si="1"/>
        <v>99.9055316468983</v>
      </c>
      <c r="P101" s="115"/>
    </row>
    <row r="102" spans="1:16" ht="24" customHeight="1">
      <c r="A102" s="116" t="s">
        <v>220</v>
      </c>
      <c r="B102" s="142" t="s">
        <v>221</v>
      </c>
      <c r="C102" s="109">
        <v>4763.5</v>
      </c>
      <c r="D102" s="109">
        <v>4759</v>
      </c>
      <c r="E102" s="97">
        <f t="shared" si="11"/>
        <v>99.9055316468983</v>
      </c>
      <c r="F102" s="109">
        <v>4.4</v>
      </c>
      <c r="G102" s="109"/>
      <c r="H102" s="110">
        <f>G102/F102*100</f>
        <v>0</v>
      </c>
      <c r="I102" s="111">
        <f aca="true" t="shared" si="24" ref="I102:I145">C102+F102</f>
        <v>4767.9</v>
      </c>
      <c r="J102" s="112">
        <v>4.4</v>
      </c>
      <c r="K102" s="113">
        <f>I102-J102</f>
        <v>4763.5</v>
      </c>
      <c r="L102" s="111">
        <f t="shared" si="20"/>
        <v>4759</v>
      </c>
      <c r="M102" s="112"/>
      <c r="N102" s="113">
        <f t="shared" si="21"/>
        <v>4759</v>
      </c>
      <c r="O102" s="114">
        <f t="shared" si="1"/>
        <v>99.9055316468983</v>
      </c>
      <c r="P102" s="115"/>
    </row>
    <row r="103" spans="1:16" ht="15">
      <c r="A103" s="101" t="s">
        <v>222</v>
      </c>
      <c r="B103" s="102" t="s">
        <v>223</v>
      </c>
      <c r="C103" s="103">
        <f>SUM(C104:C113)</f>
        <v>2099322.7</v>
      </c>
      <c r="D103" s="103">
        <f>SUM(D104:D113)</f>
        <v>1459284.9</v>
      </c>
      <c r="E103" s="103">
        <f>D103/C103*100</f>
        <v>69.51217647482208</v>
      </c>
      <c r="F103" s="127">
        <f>F104+F106+F107+F112+F113</f>
        <v>0</v>
      </c>
      <c r="G103" s="127">
        <f>SUM(G104:G113)</f>
        <v>0</v>
      </c>
      <c r="H103" s="104">
        <v>0</v>
      </c>
      <c r="I103" s="103">
        <f aca="true" t="shared" si="25" ref="I103:N103">SUM(I104:I113)</f>
        <v>2099322.7</v>
      </c>
      <c r="J103" s="103">
        <f t="shared" si="25"/>
        <v>0</v>
      </c>
      <c r="K103" s="103">
        <f t="shared" si="25"/>
        <v>2099322.7</v>
      </c>
      <c r="L103" s="103">
        <f t="shared" si="25"/>
        <v>1459284.9</v>
      </c>
      <c r="M103" s="103">
        <f t="shared" si="25"/>
        <v>0</v>
      </c>
      <c r="N103" s="103">
        <f t="shared" si="25"/>
        <v>1459284.9</v>
      </c>
      <c r="O103" s="105">
        <f t="shared" si="1"/>
        <v>69.51217647482208</v>
      </c>
      <c r="P103" s="115"/>
    </row>
    <row r="104" spans="1:16" ht="15" customHeight="1">
      <c r="A104" s="106" t="s">
        <v>224</v>
      </c>
      <c r="B104" s="107" t="s">
        <v>225</v>
      </c>
      <c r="C104" s="108">
        <f>391404.1-30</f>
        <v>391374.1</v>
      </c>
      <c r="D104" s="108">
        <f>308873.1-D105</f>
        <v>308843.1</v>
      </c>
      <c r="E104" s="97">
        <f t="shared" si="11"/>
        <v>78.91250340786475</v>
      </c>
      <c r="F104" s="109">
        <v>0</v>
      </c>
      <c r="G104" s="109">
        <v>0</v>
      </c>
      <c r="H104" s="110">
        <v>0</v>
      </c>
      <c r="I104" s="111">
        <f t="shared" si="24"/>
        <v>391374.1</v>
      </c>
      <c r="J104" s="112"/>
      <c r="K104" s="113">
        <f aca="true" t="shared" si="26" ref="K104:K145">I104-J104</f>
        <v>391374.1</v>
      </c>
      <c r="L104" s="111">
        <f t="shared" si="20"/>
        <v>308843.1</v>
      </c>
      <c r="M104" s="112"/>
      <c r="N104" s="113">
        <f t="shared" si="21"/>
        <v>308843.1</v>
      </c>
      <c r="O104" s="114">
        <f t="shared" si="1"/>
        <v>78.91250340786475</v>
      </c>
      <c r="P104" s="115"/>
    </row>
    <row r="105" spans="1:16" ht="42" customHeight="1">
      <c r="A105" s="123" t="s">
        <v>224</v>
      </c>
      <c r="B105" s="107" t="s">
        <v>226</v>
      </c>
      <c r="C105" s="108">
        <v>30</v>
      </c>
      <c r="D105" s="108">
        <v>30</v>
      </c>
      <c r="E105" s="97">
        <f t="shared" si="11"/>
        <v>100</v>
      </c>
      <c r="F105" s="109">
        <v>0</v>
      </c>
      <c r="G105" s="109">
        <v>0</v>
      </c>
      <c r="H105" s="110">
        <v>0</v>
      </c>
      <c r="I105" s="111">
        <f t="shared" si="24"/>
        <v>30</v>
      </c>
      <c r="J105" s="112"/>
      <c r="K105" s="113">
        <f t="shared" si="26"/>
        <v>30</v>
      </c>
      <c r="L105" s="111">
        <f t="shared" si="20"/>
        <v>30</v>
      </c>
      <c r="M105" s="112"/>
      <c r="N105" s="113">
        <f t="shared" si="21"/>
        <v>30</v>
      </c>
      <c r="O105" s="114">
        <f t="shared" si="1"/>
        <v>100</v>
      </c>
      <c r="P105" s="115"/>
    </row>
    <row r="106" spans="1:16" ht="15.75" customHeight="1">
      <c r="A106" s="106" t="s">
        <v>227</v>
      </c>
      <c r="B106" s="136" t="s">
        <v>228</v>
      </c>
      <c r="C106" s="108">
        <f>1478902.3-C107-C108-C109</f>
        <v>1322974.4000000001</v>
      </c>
      <c r="D106" s="108">
        <f>974928.3-D107-D108-D109</f>
        <v>923989.3</v>
      </c>
      <c r="E106" s="108">
        <f t="shared" si="11"/>
        <v>69.84181250975075</v>
      </c>
      <c r="F106" s="109">
        <v>0</v>
      </c>
      <c r="G106" s="109">
        <v>0</v>
      </c>
      <c r="H106" s="109">
        <v>0</v>
      </c>
      <c r="I106" s="111">
        <f t="shared" si="24"/>
        <v>1322974.4000000001</v>
      </c>
      <c r="J106" s="112"/>
      <c r="K106" s="113">
        <f t="shared" si="26"/>
        <v>1322974.4000000001</v>
      </c>
      <c r="L106" s="111">
        <f t="shared" si="20"/>
        <v>923989.3</v>
      </c>
      <c r="M106" s="112"/>
      <c r="N106" s="113">
        <f t="shared" si="21"/>
        <v>923989.3</v>
      </c>
      <c r="O106" s="143">
        <f t="shared" si="1"/>
        <v>69.84181250975075</v>
      </c>
      <c r="P106" s="115"/>
    </row>
    <row r="107" spans="1:16" ht="99" customHeight="1">
      <c r="A107" s="106" t="s">
        <v>227</v>
      </c>
      <c r="B107" s="107" t="s">
        <v>229</v>
      </c>
      <c r="C107" s="108">
        <v>89349.1</v>
      </c>
      <c r="D107" s="108">
        <v>44192.5</v>
      </c>
      <c r="E107" s="97">
        <f t="shared" si="11"/>
        <v>49.460487011061105</v>
      </c>
      <c r="F107" s="109">
        <v>0</v>
      </c>
      <c r="G107" s="109">
        <v>0</v>
      </c>
      <c r="H107" s="110">
        <v>0</v>
      </c>
      <c r="I107" s="111">
        <f t="shared" si="24"/>
        <v>89349.1</v>
      </c>
      <c r="J107" s="112"/>
      <c r="K107" s="113">
        <f t="shared" si="26"/>
        <v>89349.1</v>
      </c>
      <c r="L107" s="111">
        <f t="shared" si="20"/>
        <v>44192.5</v>
      </c>
      <c r="M107" s="112"/>
      <c r="N107" s="113">
        <f t="shared" si="21"/>
        <v>44192.5</v>
      </c>
      <c r="O107" s="114">
        <f t="shared" si="1"/>
        <v>49.460487011061105</v>
      </c>
      <c r="P107" s="115"/>
    </row>
    <row r="108" spans="1:16" ht="71.25" customHeight="1">
      <c r="A108" s="106" t="s">
        <v>227</v>
      </c>
      <c r="B108" s="107" t="s">
        <v>230</v>
      </c>
      <c r="C108" s="108">
        <v>22134.4</v>
      </c>
      <c r="D108" s="108">
        <v>6746.5</v>
      </c>
      <c r="E108" s="97">
        <f t="shared" si="11"/>
        <v>30.47970579731097</v>
      </c>
      <c r="F108" s="109"/>
      <c r="G108" s="109"/>
      <c r="H108" s="110"/>
      <c r="I108" s="111">
        <f t="shared" si="24"/>
        <v>22134.4</v>
      </c>
      <c r="J108" s="112"/>
      <c r="K108" s="113">
        <f t="shared" si="26"/>
        <v>22134.4</v>
      </c>
      <c r="L108" s="111">
        <f t="shared" si="20"/>
        <v>6746.5</v>
      </c>
      <c r="M108" s="112"/>
      <c r="N108" s="113">
        <f t="shared" si="21"/>
        <v>6746.5</v>
      </c>
      <c r="O108" s="114">
        <f t="shared" si="1"/>
        <v>30.47970579731097</v>
      </c>
      <c r="P108" s="115"/>
    </row>
    <row r="109" spans="1:16" ht="45">
      <c r="A109" s="106" t="s">
        <v>227</v>
      </c>
      <c r="B109" s="107" t="s">
        <v>231</v>
      </c>
      <c r="C109" s="108">
        <v>44444.4</v>
      </c>
      <c r="D109" s="108"/>
      <c r="E109" s="97">
        <f t="shared" si="11"/>
        <v>0</v>
      </c>
      <c r="F109" s="109"/>
      <c r="G109" s="109"/>
      <c r="H109" s="110"/>
      <c r="I109" s="111">
        <f t="shared" si="24"/>
        <v>44444.4</v>
      </c>
      <c r="J109" s="112"/>
      <c r="K109" s="113">
        <f t="shared" si="26"/>
        <v>44444.4</v>
      </c>
      <c r="L109" s="111">
        <f t="shared" si="20"/>
        <v>0</v>
      </c>
      <c r="M109" s="112"/>
      <c r="N109" s="113">
        <f t="shared" si="21"/>
        <v>0</v>
      </c>
      <c r="O109" s="114">
        <f t="shared" si="1"/>
        <v>0</v>
      </c>
      <c r="P109" s="115"/>
    </row>
    <row r="110" spans="1:16" ht="90" hidden="1">
      <c r="A110" s="106" t="s">
        <v>227</v>
      </c>
      <c r="B110" s="107" t="s">
        <v>232</v>
      </c>
      <c r="C110" s="108"/>
      <c r="D110" s="108"/>
      <c r="E110" s="97"/>
      <c r="F110" s="109">
        <v>0</v>
      </c>
      <c r="G110" s="109">
        <v>0</v>
      </c>
      <c r="H110" s="110">
        <v>0</v>
      </c>
      <c r="I110" s="111">
        <f t="shared" si="24"/>
        <v>0</v>
      </c>
      <c r="J110" s="112"/>
      <c r="K110" s="113">
        <f t="shared" si="26"/>
        <v>0</v>
      </c>
      <c r="L110" s="111">
        <f t="shared" si="20"/>
        <v>0</v>
      </c>
      <c r="M110" s="112"/>
      <c r="N110" s="113">
        <f t="shared" si="21"/>
        <v>0</v>
      </c>
      <c r="O110" s="114"/>
      <c r="P110" s="115"/>
    </row>
    <row r="111" spans="1:16" ht="32.25" customHeight="1">
      <c r="A111" s="106" t="s">
        <v>233</v>
      </c>
      <c r="B111" s="107" t="s">
        <v>234</v>
      </c>
      <c r="C111" s="108">
        <v>146005.3</v>
      </c>
      <c r="D111" s="108">
        <v>114585.3</v>
      </c>
      <c r="E111" s="97">
        <f t="shared" si="11"/>
        <v>78.48023325180662</v>
      </c>
      <c r="F111" s="109"/>
      <c r="G111" s="109"/>
      <c r="H111" s="110"/>
      <c r="I111" s="111">
        <f t="shared" si="24"/>
        <v>146005.3</v>
      </c>
      <c r="J111" s="112"/>
      <c r="K111" s="113">
        <f t="shared" si="26"/>
        <v>146005.3</v>
      </c>
      <c r="L111" s="111">
        <f t="shared" si="20"/>
        <v>114585.3</v>
      </c>
      <c r="M111" s="112"/>
      <c r="N111" s="113">
        <f t="shared" si="21"/>
        <v>114585.3</v>
      </c>
      <c r="O111" s="114">
        <f t="shared" si="1"/>
        <v>78.48023325180662</v>
      </c>
      <c r="P111" s="115"/>
    </row>
    <row r="112" spans="1:16" ht="27.75" customHeight="1">
      <c r="A112" s="106" t="s">
        <v>235</v>
      </c>
      <c r="B112" s="107" t="s">
        <v>236</v>
      </c>
      <c r="C112" s="108">
        <v>26983</v>
      </c>
      <c r="D112" s="108">
        <v>21891.4</v>
      </c>
      <c r="E112" s="97">
        <f t="shared" si="11"/>
        <v>81.1303413260201</v>
      </c>
      <c r="F112" s="109"/>
      <c r="G112" s="109"/>
      <c r="H112" s="110"/>
      <c r="I112" s="111">
        <f t="shared" si="24"/>
        <v>26983</v>
      </c>
      <c r="J112" s="112"/>
      <c r="K112" s="113">
        <f t="shared" si="26"/>
        <v>26983</v>
      </c>
      <c r="L112" s="111">
        <f t="shared" si="20"/>
        <v>21891.4</v>
      </c>
      <c r="M112" s="112"/>
      <c r="N112" s="113">
        <f t="shared" si="21"/>
        <v>21891.4</v>
      </c>
      <c r="O112" s="114">
        <f t="shared" si="1"/>
        <v>81.1303413260201</v>
      </c>
      <c r="P112" s="115"/>
    </row>
    <row r="113" spans="1:16" ht="28.5" customHeight="1">
      <c r="A113" s="106" t="s">
        <v>237</v>
      </c>
      <c r="B113" s="107" t="s">
        <v>238</v>
      </c>
      <c r="C113" s="108">
        <v>56028</v>
      </c>
      <c r="D113" s="108">
        <v>39006.8</v>
      </c>
      <c r="E113" s="97">
        <f t="shared" si="11"/>
        <v>69.62018990504748</v>
      </c>
      <c r="F113" s="109">
        <v>0</v>
      </c>
      <c r="G113" s="109"/>
      <c r="H113" s="110">
        <v>0</v>
      </c>
      <c r="I113" s="111">
        <f t="shared" si="24"/>
        <v>56028</v>
      </c>
      <c r="J113" s="112"/>
      <c r="K113" s="113">
        <f t="shared" si="26"/>
        <v>56028</v>
      </c>
      <c r="L113" s="111">
        <f t="shared" si="20"/>
        <v>39006.8</v>
      </c>
      <c r="M113" s="112"/>
      <c r="N113" s="113">
        <f t="shared" si="21"/>
        <v>39006.8</v>
      </c>
      <c r="O113" s="114">
        <f t="shared" si="1"/>
        <v>69.62018990504748</v>
      </c>
      <c r="P113" s="115"/>
    </row>
    <row r="114" spans="1:16" ht="29.25" customHeight="1">
      <c r="A114" s="101" t="s">
        <v>239</v>
      </c>
      <c r="B114" s="102" t="s">
        <v>240</v>
      </c>
      <c r="C114" s="103">
        <f>SUM(C115:C118)</f>
        <v>87175</v>
      </c>
      <c r="D114" s="103">
        <f>SUM(D115:D118)</f>
        <v>64499.1</v>
      </c>
      <c r="E114" s="103">
        <f>D114/C114*100</f>
        <v>73.98806997418986</v>
      </c>
      <c r="F114" s="127">
        <f>SUM(F115:F118)</f>
        <v>116036.2</v>
      </c>
      <c r="G114" s="127">
        <f>SUM(G115:G118)</f>
        <v>86930.5</v>
      </c>
      <c r="H114" s="104">
        <f>G114/F114*100</f>
        <v>74.91670702763447</v>
      </c>
      <c r="I114" s="127">
        <f aca="true" t="shared" si="27" ref="I114:N114">SUM(I115:I118)</f>
        <v>203211.19999999998</v>
      </c>
      <c r="J114" s="127">
        <f t="shared" si="27"/>
        <v>16308.6</v>
      </c>
      <c r="K114" s="127">
        <f t="shared" si="27"/>
        <v>186902.59999999998</v>
      </c>
      <c r="L114" s="127">
        <f t="shared" si="27"/>
        <v>151429.59999999998</v>
      </c>
      <c r="M114" s="127">
        <f t="shared" si="27"/>
        <v>13668.099999999999</v>
      </c>
      <c r="N114" s="127">
        <f t="shared" si="27"/>
        <v>137761.5</v>
      </c>
      <c r="O114" s="105">
        <f t="shared" si="1"/>
        <v>73.70764237629655</v>
      </c>
      <c r="P114" s="115"/>
    </row>
    <row r="115" spans="1:16" ht="21.75" customHeight="1">
      <c r="A115" s="106" t="s">
        <v>241</v>
      </c>
      <c r="B115" s="107" t="s">
        <v>242</v>
      </c>
      <c r="C115" s="108">
        <f>75300-C116</f>
        <v>74682.5</v>
      </c>
      <c r="D115" s="108">
        <f>58256.6-D116</f>
        <v>57639.1</v>
      </c>
      <c r="E115" s="97">
        <f t="shared" si="11"/>
        <v>77.17885716198573</v>
      </c>
      <c r="F115" s="144">
        <f>112945.7-F116</f>
        <v>112818.9</v>
      </c>
      <c r="G115" s="109">
        <f>84878-G116</f>
        <v>84751.2</v>
      </c>
      <c r="H115" s="110">
        <f>G115/F115*100</f>
        <v>75.12145571353737</v>
      </c>
      <c r="I115" s="111">
        <f t="shared" si="24"/>
        <v>187501.4</v>
      </c>
      <c r="J115" s="112">
        <v>13113.5</v>
      </c>
      <c r="K115" s="113">
        <f>I115-J115</f>
        <v>174387.9</v>
      </c>
      <c r="L115" s="111">
        <f t="shared" si="20"/>
        <v>142390.3</v>
      </c>
      <c r="M115" s="112">
        <v>11434.8</v>
      </c>
      <c r="N115" s="113">
        <f t="shared" si="21"/>
        <v>130955.49999999999</v>
      </c>
      <c r="O115" s="114">
        <f t="shared" si="1"/>
        <v>75.09437294674687</v>
      </c>
      <c r="P115" s="115"/>
    </row>
    <row r="116" spans="1:16" ht="42.75" customHeight="1">
      <c r="A116" s="132" t="s">
        <v>241</v>
      </c>
      <c r="B116" s="133" t="s">
        <v>243</v>
      </c>
      <c r="C116" s="108">
        <v>617.5</v>
      </c>
      <c r="D116" s="108">
        <v>617.5</v>
      </c>
      <c r="E116" s="97">
        <f t="shared" si="11"/>
        <v>100</v>
      </c>
      <c r="F116" s="109">
        <v>126.8</v>
      </c>
      <c r="G116" s="109">
        <v>126.8</v>
      </c>
      <c r="H116" s="110">
        <f>G116/F116*100</f>
        <v>100</v>
      </c>
      <c r="I116" s="111">
        <f t="shared" si="24"/>
        <v>744.3</v>
      </c>
      <c r="J116" s="112">
        <v>124.5</v>
      </c>
      <c r="K116" s="113">
        <f>I116-J116</f>
        <v>619.8</v>
      </c>
      <c r="L116" s="111">
        <f t="shared" si="20"/>
        <v>744.3</v>
      </c>
      <c r="M116" s="112">
        <v>124.5</v>
      </c>
      <c r="N116" s="113">
        <f t="shared" si="21"/>
        <v>619.8</v>
      </c>
      <c r="O116" s="114">
        <f>N116/K116*100</f>
        <v>100</v>
      </c>
      <c r="P116" s="115"/>
    </row>
    <row r="117" spans="1:16" ht="23.25" customHeight="1">
      <c r="A117" s="106" t="s">
        <v>244</v>
      </c>
      <c r="B117" s="107" t="s">
        <v>245</v>
      </c>
      <c r="C117" s="108">
        <v>100</v>
      </c>
      <c r="D117" s="108">
        <v>46</v>
      </c>
      <c r="E117" s="97">
        <f t="shared" si="11"/>
        <v>46</v>
      </c>
      <c r="F117" s="109"/>
      <c r="G117" s="109"/>
      <c r="H117" s="110" t="e">
        <f>G117/F117*100</f>
        <v>#DIV/0!</v>
      </c>
      <c r="I117" s="111">
        <f t="shared" si="24"/>
        <v>100</v>
      </c>
      <c r="J117" s="112"/>
      <c r="K117" s="113">
        <f>I117-J117</f>
        <v>100</v>
      </c>
      <c r="L117" s="111">
        <f t="shared" si="20"/>
        <v>46</v>
      </c>
      <c r="M117" s="112"/>
      <c r="N117" s="113">
        <f t="shared" si="21"/>
        <v>46</v>
      </c>
      <c r="O117" s="114">
        <f aca="true" t="shared" si="28" ref="O117:O146">N117/K117*100</f>
        <v>46</v>
      </c>
      <c r="P117" s="115"/>
    </row>
    <row r="118" spans="1:16" ht="24.75" customHeight="1">
      <c r="A118" s="106" t="s">
        <v>246</v>
      </c>
      <c r="B118" s="107" t="s">
        <v>247</v>
      </c>
      <c r="C118" s="108">
        <v>11775</v>
      </c>
      <c r="D118" s="108">
        <v>6196.5</v>
      </c>
      <c r="E118" s="97">
        <f t="shared" si="11"/>
        <v>52.624203821656046</v>
      </c>
      <c r="F118" s="109">
        <v>3090.5</v>
      </c>
      <c r="G118" s="109">
        <v>2052.5</v>
      </c>
      <c r="H118" s="110">
        <f>G118/F118*100</f>
        <v>66.41320174729009</v>
      </c>
      <c r="I118" s="111">
        <f t="shared" si="24"/>
        <v>14865.5</v>
      </c>
      <c r="J118" s="112">
        <v>3070.6</v>
      </c>
      <c r="K118" s="113">
        <f>I118-J118</f>
        <v>11794.9</v>
      </c>
      <c r="L118" s="111">
        <f t="shared" si="20"/>
        <v>8249</v>
      </c>
      <c r="M118" s="112">
        <v>2108.8</v>
      </c>
      <c r="N118" s="113">
        <f t="shared" si="21"/>
        <v>6140.2</v>
      </c>
      <c r="O118" s="114">
        <f t="shared" si="28"/>
        <v>52.058092904560446</v>
      </c>
      <c r="P118" s="115"/>
    </row>
    <row r="119" spans="1:16" ht="30.75" customHeight="1">
      <c r="A119" s="101" t="s">
        <v>248</v>
      </c>
      <c r="B119" s="102" t="s">
        <v>249</v>
      </c>
      <c r="C119" s="103">
        <f>SUM(C120:C122)</f>
        <v>2307.7</v>
      </c>
      <c r="D119" s="103">
        <f>SUM(D120:D122)</f>
        <v>1911.4</v>
      </c>
      <c r="E119" s="103">
        <f>SUM(E122:E122)</f>
        <v>82.82705724314253</v>
      </c>
      <c r="F119" s="127">
        <f>F120+F121+F122</f>
        <v>0</v>
      </c>
      <c r="G119" s="127">
        <f>G120+G121+G122</f>
        <v>0</v>
      </c>
      <c r="H119" s="127"/>
      <c r="I119" s="127">
        <f aca="true" t="shared" si="29" ref="I119:N119">I120+I121+I122</f>
        <v>2307.7</v>
      </c>
      <c r="J119" s="127">
        <f t="shared" si="29"/>
        <v>0</v>
      </c>
      <c r="K119" s="127">
        <f>K120+K121+K122</f>
        <v>2307.7</v>
      </c>
      <c r="L119" s="127">
        <f t="shared" si="29"/>
        <v>1911.4</v>
      </c>
      <c r="M119" s="127">
        <f t="shared" si="29"/>
        <v>0</v>
      </c>
      <c r="N119" s="127">
        <f t="shared" si="29"/>
        <v>1911.4</v>
      </c>
      <c r="O119" s="105">
        <f t="shared" si="28"/>
        <v>82.82705724314253</v>
      </c>
      <c r="P119" s="115"/>
    </row>
    <row r="120" spans="1:16" s="146" customFormat="1" ht="45" hidden="1">
      <c r="A120" s="123" t="s">
        <v>250</v>
      </c>
      <c r="B120" s="136" t="s">
        <v>251</v>
      </c>
      <c r="C120" s="108"/>
      <c r="D120" s="108"/>
      <c r="E120" s="97" t="e">
        <f t="shared" si="11"/>
        <v>#DIV/0!</v>
      </c>
      <c r="F120" s="109"/>
      <c r="G120" s="109"/>
      <c r="H120" s="110" t="e">
        <f>G120/F120*100</f>
        <v>#DIV/0!</v>
      </c>
      <c r="I120" s="111">
        <f t="shared" si="24"/>
        <v>0</v>
      </c>
      <c r="J120" s="112"/>
      <c r="K120" s="113">
        <f>I120-J120</f>
        <v>0</v>
      </c>
      <c r="L120" s="111">
        <f t="shared" si="20"/>
        <v>0</v>
      </c>
      <c r="M120" s="112"/>
      <c r="N120" s="113">
        <f t="shared" si="21"/>
        <v>0</v>
      </c>
      <c r="O120" s="114" t="e">
        <f t="shared" si="28"/>
        <v>#DIV/0!</v>
      </c>
      <c r="P120" s="145"/>
    </row>
    <row r="121" spans="1:16" ht="45" hidden="1">
      <c r="A121" s="116" t="s">
        <v>252</v>
      </c>
      <c r="B121" s="133" t="s">
        <v>253</v>
      </c>
      <c r="C121" s="108"/>
      <c r="D121" s="108"/>
      <c r="E121" s="97" t="e">
        <f t="shared" si="11"/>
        <v>#DIV/0!</v>
      </c>
      <c r="F121" s="113"/>
      <c r="G121" s="113"/>
      <c r="H121" s="109"/>
      <c r="I121" s="111">
        <f t="shared" si="24"/>
        <v>0</v>
      </c>
      <c r="J121" s="112"/>
      <c r="K121" s="113">
        <f t="shared" si="26"/>
        <v>0</v>
      </c>
      <c r="L121" s="111">
        <f t="shared" si="20"/>
        <v>0</v>
      </c>
      <c r="M121" s="112"/>
      <c r="N121" s="113">
        <f>L121-M121</f>
        <v>0</v>
      </c>
      <c r="O121" s="114" t="e">
        <f t="shared" si="28"/>
        <v>#DIV/0!</v>
      </c>
      <c r="P121" s="115"/>
    </row>
    <row r="122" spans="1:18" ht="43.5" customHeight="1">
      <c r="A122" s="116" t="s">
        <v>252</v>
      </c>
      <c r="B122" s="133" t="s">
        <v>254</v>
      </c>
      <c r="C122" s="108">
        <v>2307.7</v>
      </c>
      <c r="D122" s="109">
        <v>1911.4</v>
      </c>
      <c r="E122" s="97">
        <f t="shared" si="11"/>
        <v>82.82705724314253</v>
      </c>
      <c r="F122" s="109"/>
      <c r="G122" s="109"/>
      <c r="H122" s="110"/>
      <c r="I122" s="111">
        <f t="shared" si="24"/>
        <v>2307.7</v>
      </c>
      <c r="J122" s="112"/>
      <c r="K122" s="113">
        <f t="shared" si="26"/>
        <v>2307.7</v>
      </c>
      <c r="L122" s="111">
        <f t="shared" si="20"/>
        <v>1911.4</v>
      </c>
      <c r="M122" s="112"/>
      <c r="N122" s="113">
        <f t="shared" si="21"/>
        <v>1911.4</v>
      </c>
      <c r="O122" s="114">
        <f t="shared" si="28"/>
        <v>82.82705724314253</v>
      </c>
      <c r="P122" s="115"/>
      <c r="R122" t="s">
        <v>39</v>
      </c>
    </row>
    <row r="123" spans="1:16" ht="35.25" customHeight="1">
      <c r="A123" s="101">
        <v>10</v>
      </c>
      <c r="B123" s="102" t="s">
        <v>255</v>
      </c>
      <c r="C123" s="103">
        <f>SUM(C124:C133)</f>
        <v>152221.09999999998</v>
      </c>
      <c r="D123" s="103">
        <f>SUM(D124:D133)</f>
        <v>86807.3</v>
      </c>
      <c r="E123" s="103">
        <f>D123/C123*100</f>
        <v>57.02711384952547</v>
      </c>
      <c r="F123" s="103">
        <f>SUM(F124:F133)</f>
        <v>780</v>
      </c>
      <c r="G123" s="103">
        <f>SUM(G124:G133)</f>
        <v>525</v>
      </c>
      <c r="H123" s="104">
        <f>G123/F123*100</f>
        <v>67.3076923076923</v>
      </c>
      <c r="I123" s="103">
        <f aca="true" t="shared" si="30" ref="I123:N123">SUM(I124:I133)</f>
        <v>153001.09999999998</v>
      </c>
      <c r="J123" s="103">
        <f t="shared" si="30"/>
        <v>0</v>
      </c>
      <c r="K123" s="103">
        <f t="shared" si="30"/>
        <v>153001.09999999998</v>
      </c>
      <c r="L123" s="103">
        <f t="shared" si="30"/>
        <v>87332.3</v>
      </c>
      <c r="M123" s="103">
        <f t="shared" si="30"/>
        <v>0</v>
      </c>
      <c r="N123" s="103">
        <f t="shared" si="30"/>
        <v>87332.3</v>
      </c>
      <c r="O123" s="105">
        <f t="shared" si="28"/>
        <v>57.079524264858236</v>
      </c>
      <c r="P123" s="115"/>
    </row>
    <row r="124" spans="1:16" ht="28.5" customHeight="1">
      <c r="A124" s="116">
        <v>1001</v>
      </c>
      <c r="B124" s="107" t="s">
        <v>256</v>
      </c>
      <c r="C124" s="108">
        <v>4603.5</v>
      </c>
      <c r="D124" s="108">
        <v>3526.6</v>
      </c>
      <c r="E124" s="97">
        <f t="shared" si="11"/>
        <v>76.60692951015533</v>
      </c>
      <c r="F124" s="109">
        <v>780</v>
      </c>
      <c r="G124" s="109">
        <v>525</v>
      </c>
      <c r="H124" s="110">
        <f>G124/F124*100</f>
        <v>67.3076923076923</v>
      </c>
      <c r="I124" s="111">
        <f t="shared" si="24"/>
        <v>5383.5</v>
      </c>
      <c r="J124" s="112"/>
      <c r="K124" s="113">
        <f t="shared" si="26"/>
        <v>5383.5</v>
      </c>
      <c r="L124" s="111">
        <f t="shared" si="20"/>
        <v>4051.6</v>
      </c>
      <c r="M124" s="112"/>
      <c r="N124" s="113">
        <f t="shared" si="21"/>
        <v>4051.6</v>
      </c>
      <c r="O124" s="114">
        <f t="shared" si="28"/>
        <v>75.25958948639361</v>
      </c>
      <c r="P124" s="115"/>
    </row>
    <row r="125" spans="1:16" ht="66.75" customHeight="1">
      <c r="A125" s="116">
        <v>1003</v>
      </c>
      <c r="B125" s="133" t="s">
        <v>257</v>
      </c>
      <c r="C125" s="108">
        <v>1890</v>
      </c>
      <c r="D125" s="108"/>
      <c r="E125" s="97">
        <f t="shared" si="11"/>
        <v>0</v>
      </c>
      <c r="F125" s="109">
        <v>0</v>
      </c>
      <c r="G125" s="109">
        <v>0</v>
      </c>
      <c r="H125" s="110"/>
      <c r="I125" s="111">
        <f t="shared" si="24"/>
        <v>1890</v>
      </c>
      <c r="J125" s="112"/>
      <c r="K125" s="113">
        <f t="shared" si="26"/>
        <v>1890</v>
      </c>
      <c r="L125" s="111">
        <f t="shared" si="20"/>
        <v>0</v>
      </c>
      <c r="M125" s="112"/>
      <c r="N125" s="113">
        <f t="shared" si="21"/>
        <v>0</v>
      </c>
      <c r="O125" s="114">
        <f t="shared" si="28"/>
        <v>0</v>
      </c>
      <c r="P125" s="115"/>
    </row>
    <row r="126" spans="1:16" ht="45" hidden="1">
      <c r="A126" s="116" t="s">
        <v>258</v>
      </c>
      <c r="B126" s="133" t="s">
        <v>259</v>
      </c>
      <c r="C126" s="108"/>
      <c r="D126" s="108"/>
      <c r="E126" s="97" t="e">
        <f t="shared" si="11"/>
        <v>#DIV/0!</v>
      </c>
      <c r="F126" s="109"/>
      <c r="G126" s="109"/>
      <c r="H126" s="110"/>
      <c r="I126" s="111">
        <f t="shared" si="24"/>
        <v>0</v>
      </c>
      <c r="J126" s="112"/>
      <c r="K126" s="113">
        <f t="shared" si="26"/>
        <v>0</v>
      </c>
      <c r="L126" s="111">
        <f t="shared" si="20"/>
        <v>0</v>
      </c>
      <c r="M126" s="112"/>
      <c r="N126" s="113">
        <f t="shared" si="21"/>
        <v>0</v>
      </c>
      <c r="O126" s="114" t="e">
        <f t="shared" si="28"/>
        <v>#DIV/0!</v>
      </c>
      <c r="P126" s="115"/>
    </row>
    <row r="127" spans="1:16" ht="45" hidden="1">
      <c r="A127" s="116" t="s">
        <v>258</v>
      </c>
      <c r="B127" s="107" t="s">
        <v>260</v>
      </c>
      <c r="C127" s="108"/>
      <c r="D127" s="108"/>
      <c r="E127" s="97"/>
      <c r="F127" s="109"/>
      <c r="G127" s="109"/>
      <c r="H127" s="110"/>
      <c r="I127" s="111">
        <f t="shared" si="24"/>
        <v>0</v>
      </c>
      <c r="J127" s="112"/>
      <c r="K127" s="113">
        <f t="shared" si="26"/>
        <v>0</v>
      </c>
      <c r="L127" s="111">
        <f t="shared" si="20"/>
        <v>0</v>
      </c>
      <c r="M127" s="112"/>
      <c r="N127" s="113">
        <f t="shared" si="21"/>
        <v>0</v>
      </c>
      <c r="O127" s="114"/>
      <c r="P127" s="115"/>
    </row>
    <row r="128" spans="1:16" ht="79.5" customHeight="1">
      <c r="A128" s="126">
        <v>1004</v>
      </c>
      <c r="B128" s="107" t="s">
        <v>261</v>
      </c>
      <c r="C128" s="108">
        <v>18895</v>
      </c>
      <c r="D128" s="108">
        <v>10880.5</v>
      </c>
      <c r="E128" s="97">
        <f t="shared" si="11"/>
        <v>57.58401693569728</v>
      </c>
      <c r="F128" s="109">
        <v>0</v>
      </c>
      <c r="G128" s="109">
        <v>0</v>
      </c>
      <c r="H128" s="110"/>
      <c r="I128" s="111">
        <f t="shared" si="24"/>
        <v>18895</v>
      </c>
      <c r="J128" s="112"/>
      <c r="K128" s="113">
        <f t="shared" si="26"/>
        <v>18895</v>
      </c>
      <c r="L128" s="111">
        <f t="shared" si="20"/>
        <v>10880.5</v>
      </c>
      <c r="M128" s="112"/>
      <c r="N128" s="113">
        <f t="shared" si="21"/>
        <v>10880.5</v>
      </c>
      <c r="O128" s="114">
        <f t="shared" si="28"/>
        <v>57.58401693569728</v>
      </c>
      <c r="P128" s="115"/>
    </row>
    <row r="129" spans="1:16" ht="137.25" customHeight="1">
      <c r="A129" s="116">
        <v>1004</v>
      </c>
      <c r="B129" s="107" t="s">
        <v>262</v>
      </c>
      <c r="C129" s="108">
        <v>81567.6</v>
      </c>
      <c r="D129" s="108">
        <v>44782.2</v>
      </c>
      <c r="E129" s="97">
        <f aca="true" t="shared" si="31" ref="E129:E145">D129/C129*100</f>
        <v>54.901946361055124</v>
      </c>
      <c r="F129" s="109">
        <v>0</v>
      </c>
      <c r="G129" s="109">
        <v>0</v>
      </c>
      <c r="H129" s="110"/>
      <c r="I129" s="111">
        <f t="shared" si="24"/>
        <v>81567.6</v>
      </c>
      <c r="J129" s="112"/>
      <c r="K129" s="113">
        <f t="shared" si="26"/>
        <v>81567.6</v>
      </c>
      <c r="L129" s="111">
        <f t="shared" si="20"/>
        <v>44782.2</v>
      </c>
      <c r="M129" s="112"/>
      <c r="N129" s="113">
        <f t="shared" si="21"/>
        <v>44782.2</v>
      </c>
      <c r="O129" s="114">
        <f t="shared" si="28"/>
        <v>54.901946361055124</v>
      </c>
      <c r="P129" s="115"/>
    </row>
    <row r="130" spans="1:16" ht="125.25" customHeight="1">
      <c r="A130" s="116" t="s">
        <v>263</v>
      </c>
      <c r="B130" s="107" t="s">
        <v>264</v>
      </c>
      <c r="C130" s="108">
        <v>12995.7</v>
      </c>
      <c r="D130" s="108">
        <v>12995.6</v>
      </c>
      <c r="E130" s="97">
        <f>D130/C130*100</f>
        <v>99.9992305147087</v>
      </c>
      <c r="F130" s="109">
        <v>0</v>
      </c>
      <c r="G130" s="109">
        <v>0</v>
      </c>
      <c r="H130" s="110"/>
      <c r="I130" s="111">
        <f t="shared" si="24"/>
        <v>12995.7</v>
      </c>
      <c r="J130" s="112"/>
      <c r="K130" s="113">
        <f t="shared" si="26"/>
        <v>12995.7</v>
      </c>
      <c r="L130" s="111">
        <f t="shared" si="20"/>
        <v>12995.6</v>
      </c>
      <c r="M130" s="112"/>
      <c r="N130" s="113">
        <f t="shared" si="21"/>
        <v>12995.6</v>
      </c>
      <c r="O130" s="114">
        <f>N130/K130*100</f>
        <v>99.9992305147087</v>
      </c>
      <c r="P130" s="115"/>
    </row>
    <row r="131" spans="1:16" ht="36.75" customHeight="1">
      <c r="A131" s="116" t="s">
        <v>263</v>
      </c>
      <c r="B131" s="107" t="s">
        <v>293</v>
      </c>
      <c r="C131" s="108">
        <v>11576.5</v>
      </c>
      <c r="D131" s="108">
        <v>4410.1</v>
      </c>
      <c r="E131" s="97">
        <f>D131/C131*100</f>
        <v>38.095279229473505</v>
      </c>
      <c r="F131" s="109"/>
      <c r="G131" s="109"/>
      <c r="H131" s="110"/>
      <c r="I131" s="111">
        <f t="shared" si="24"/>
        <v>11576.5</v>
      </c>
      <c r="J131" s="112"/>
      <c r="K131" s="113">
        <f t="shared" si="26"/>
        <v>11576.5</v>
      </c>
      <c r="L131" s="111">
        <f t="shared" si="20"/>
        <v>4410.1</v>
      </c>
      <c r="M131" s="112"/>
      <c r="N131" s="113">
        <f t="shared" si="21"/>
        <v>4410.1</v>
      </c>
      <c r="O131" s="114">
        <f>N131/K131*100</f>
        <v>38.095279229473505</v>
      </c>
      <c r="P131" s="115"/>
    </row>
    <row r="132" spans="1:16" ht="45" hidden="1">
      <c r="A132" s="116" t="s">
        <v>265</v>
      </c>
      <c r="B132" s="107" t="s">
        <v>266</v>
      </c>
      <c r="C132" s="108"/>
      <c r="D132" s="108"/>
      <c r="E132" s="97"/>
      <c r="F132" s="109"/>
      <c r="G132" s="109"/>
      <c r="H132" s="110" t="e">
        <f>G132/F132*100</f>
        <v>#DIV/0!</v>
      </c>
      <c r="I132" s="111">
        <f t="shared" si="24"/>
        <v>0</v>
      </c>
      <c r="J132" s="112"/>
      <c r="K132" s="113">
        <f t="shared" si="26"/>
        <v>0</v>
      </c>
      <c r="L132" s="111">
        <f t="shared" si="20"/>
        <v>0</v>
      </c>
      <c r="M132" s="112"/>
      <c r="N132" s="113">
        <f t="shared" si="21"/>
        <v>0</v>
      </c>
      <c r="O132" s="114" t="e">
        <f>N132/K132*100</f>
        <v>#DIV/0!</v>
      </c>
      <c r="P132" s="115"/>
    </row>
    <row r="133" spans="1:16" ht="33.75" customHeight="1">
      <c r="A133" s="116">
        <v>1006</v>
      </c>
      <c r="B133" s="107" t="s">
        <v>267</v>
      </c>
      <c r="C133" s="108">
        <v>20692.8</v>
      </c>
      <c r="D133" s="108">
        <v>10212.3</v>
      </c>
      <c r="E133" s="97">
        <f t="shared" si="31"/>
        <v>49.351948503827415</v>
      </c>
      <c r="F133" s="109">
        <v>0</v>
      </c>
      <c r="G133" s="109">
        <v>0</v>
      </c>
      <c r="H133" s="110"/>
      <c r="I133" s="111">
        <f t="shared" si="24"/>
        <v>20692.8</v>
      </c>
      <c r="J133" s="112"/>
      <c r="K133" s="113">
        <f t="shared" si="26"/>
        <v>20692.8</v>
      </c>
      <c r="L133" s="111">
        <f t="shared" si="20"/>
        <v>10212.3</v>
      </c>
      <c r="M133" s="112"/>
      <c r="N133" s="113">
        <f t="shared" si="21"/>
        <v>10212.3</v>
      </c>
      <c r="O133" s="114">
        <f t="shared" si="28"/>
        <v>49.351948503827415</v>
      </c>
      <c r="P133" s="115"/>
    </row>
    <row r="134" spans="1:16" ht="29.25" customHeight="1">
      <c r="A134" s="139">
        <v>1100</v>
      </c>
      <c r="B134" s="102" t="s">
        <v>268</v>
      </c>
      <c r="C134" s="103">
        <f>SUM(C135:C137)</f>
        <v>118800.40000000001</v>
      </c>
      <c r="D134" s="103">
        <f>SUM(D135:D137)</f>
        <v>92494.5</v>
      </c>
      <c r="E134" s="103">
        <f>D134/C134*100</f>
        <v>77.8570610873364</v>
      </c>
      <c r="F134" s="127">
        <f>F135+F136</f>
        <v>45156.4</v>
      </c>
      <c r="G134" s="127">
        <f>G135+G136</f>
        <v>23660.2</v>
      </c>
      <c r="H134" s="104">
        <f>G134/F134*100</f>
        <v>52.39611660805556</v>
      </c>
      <c r="I134" s="127">
        <f aca="true" t="shared" si="32" ref="I134:N134">I135+I136+I137</f>
        <v>163956.8</v>
      </c>
      <c r="J134" s="127">
        <f t="shared" si="32"/>
        <v>9352</v>
      </c>
      <c r="K134" s="127">
        <f t="shared" si="32"/>
        <v>154604.8</v>
      </c>
      <c r="L134" s="127">
        <f t="shared" si="32"/>
        <v>116154.7</v>
      </c>
      <c r="M134" s="127">
        <f t="shared" si="32"/>
        <v>2729.6</v>
      </c>
      <c r="N134" s="127">
        <f t="shared" si="32"/>
        <v>113425.09999999999</v>
      </c>
      <c r="O134" s="105">
        <f t="shared" si="28"/>
        <v>73.36453978142981</v>
      </c>
      <c r="P134" s="115"/>
    </row>
    <row r="135" spans="1:16" ht="25.5" customHeight="1">
      <c r="A135" s="116">
        <v>1101</v>
      </c>
      <c r="B135" s="107" t="s">
        <v>269</v>
      </c>
      <c r="C135" s="108">
        <v>118267.6</v>
      </c>
      <c r="D135" s="108">
        <v>92071.7</v>
      </c>
      <c r="E135" s="97">
        <f t="shared" si="31"/>
        <v>77.85031572467861</v>
      </c>
      <c r="F135" s="109">
        <v>45156.4</v>
      </c>
      <c r="G135" s="109">
        <v>23660.2</v>
      </c>
      <c r="H135" s="110">
        <f>G135/F135*100</f>
        <v>52.39611660805556</v>
      </c>
      <c r="I135" s="111">
        <f t="shared" si="24"/>
        <v>163424</v>
      </c>
      <c r="J135" s="112">
        <v>9352</v>
      </c>
      <c r="K135" s="113">
        <f>I135-J135</f>
        <v>154072</v>
      </c>
      <c r="L135" s="111">
        <f t="shared" si="20"/>
        <v>115731.9</v>
      </c>
      <c r="M135" s="112">
        <v>2729.6</v>
      </c>
      <c r="N135" s="113">
        <f t="shared" si="21"/>
        <v>113002.29999999999</v>
      </c>
      <c r="O135" s="114">
        <f t="shared" si="28"/>
        <v>73.34382626304584</v>
      </c>
      <c r="P135" s="115"/>
    </row>
    <row r="136" spans="1:16" ht="21.75" customHeight="1">
      <c r="A136" s="116">
        <v>1102</v>
      </c>
      <c r="B136" s="107" t="s">
        <v>270</v>
      </c>
      <c r="C136" s="108">
        <v>165</v>
      </c>
      <c r="D136" s="108">
        <v>55</v>
      </c>
      <c r="E136" s="97">
        <f t="shared" si="31"/>
        <v>33.33333333333333</v>
      </c>
      <c r="F136" s="109"/>
      <c r="G136" s="109">
        <v>0</v>
      </c>
      <c r="H136" s="110"/>
      <c r="I136" s="111">
        <f t="shared" si="24"/>
        <v>165</v>
      </c>
      <c r="J136" s="112"/>
      <c r="K136" s="113">
        <f t="shared" si="26"/>
        <v>165</v>
      </c>
      <c r="L136" s="111">
        <f t="shared" si="20"/>
        <v>55</v>
      </c>
      <c r="M136" s="112"/>
      <c r="N136" s="113">
        <f t="shared" si="21"/>
        <v>55</v>
      </c>
      <c r="O136" s="114">
        <f t="shared" si="28"/>
        <v>33.33333333333333</v>
      </c>
      <c r="P136" s="115"/>
    </row>
    <row r="137" spans="1:16" ht="20.25" customHeight="1">
      <c r="A137" s="116" t="s">
        <v>271</v>
      </c>
      <c r="B137" s="107" t="s">
        <v>272</v>
      </c>
      <c r="C137" s="108">
        <v>367.8</v>
      </c>
      <c r="D137" s="108">
        <v>367.8</v>
      </c>
      <c r="E137" s="97">
        <f t="shared" si="31"/>
        <v>100</v>
      </c>
      <c r="F137" s="109"/>
      <c r="G137" s="109"/>
      <c r="H137" s="110"/>
      <c r="I137" s="111">
        <f t="shared" si="24"/>
        <v>367.8</v>
      </c>
      <c r="J137" s="112"/>
      <c r="K137" s="113">
        <f t="shared" si="26"/>
        <v>367.8</v>
      </c>
      <c r="L137" s="111">
        <f t="shared" si="20"/>
        <v>367.8</v>
      </c>
      <c r="M137" s="112"/>
      <c r="N137" s="113">
        <f t="shared" si="21"/>
        <v>367.8</v>
      </c>
      <c r="O137" s="114">
        <f t="shared" si="28"/>
        <v>100</v>
      </c>
      <c r="P137" s="115"/>
    </row>
    <row r="138" spans="1:16" ht="26.25" customHeight="1">
      <c r="A138" s="139">
        <v>1200</v>
      </c>
      <c r="B138" s="102" t="s">
        <v>273</v>
      </c>
      <c r="C138" s="103">
        <f>SUM(C139:C139)</f>
        <v>12428.4</v>
      </c>
      <c r="D138" s="103">
        <f>SUM(D139:D139)</f>
        <v>8620.5</v>
      </c>
      <c r="E138" s="118">
        <f>D138/C138*100</f>
        <v>69.36130153519359</v>
      </c>
      <c r="F138" s="103"/>
      <c r="G138" s="103"/>
      <c r="H138" s="104"/>
      <c r="I138" s="103">
        <f aca="true" t="shared" si="33" ref="I138:N138">I139</f>
        <v>12428.4</v>
      </c>
      <c r="J138" s="103">
        <f t="shared" si="33"/>
        <v>0</v>
      </c>
      <c r="K138" s="103">
        <f>K139</f>
        <v>12428.4</v>
      </c>
      <c r="L138" s="103">
        <f t="shared" si="33"/>
        <v>8620.5</v>
      </c>
      <c r="M138" s="103">
        <f t="shared" si="33"/>
        <v>0</v>
      </c>
      <c r="N138" s="103">
        <f t="shared" si="33"/>
        <v>8620.5</v>
      </c>
      <c r="O138" s="119">
        <f t="shared" si="28"/>
        <v>69.36130153519359</v>
      </c>
      <c r="P138" s="115"/>
    </row>
    <row r="139" spans="1:16" ht="25.5" customHeight="1">
      <c r="A139" s="116" t="s">
        <v>274</v>
      </c>
      <c r="B139" s="107" t="s">
        <v>275</v>
      </c>
      <c r="C139" s="108">
        <v>12428.4</v>
      </c>
      <c r="D139" s="108">
        <v>8620.5</v>
      </c>
      <c r="E139" s="97">
        <f>D139/C139*100</f>
        <v>69.36130153519359</v>
      </c>
      <c r="F139" s="109"/>
      <c r="G139" s="109"/>
      <c r="H139" s="110"/>
      <c r="I139" s="111">
        <f t="shared" si="24"/>
        <v>12428.4</v>
      </c>
      <c r="J139" s="112">
        <v>0</v>
      </c>
      <c r="K139" s="113">
        <f t="shared" si="26"/>
        <v>12428.4</v>
      </c>
      <c r="L139" s="111">
        <f t="shared" si="20"/>
        <v>8620.5</v>
      </c>
      <c r="M139" s="112"/>
      <c r="N139" s="113">
        <f t="shared" si="21"/>
        <v>8620.5</v>
      </c>
      <c r="O139" s="114">
        <f>N139/K139*100</f>
        <v>69.36130153519359</v>
      </c>
      <c r="P139" s="115"/>
    </row>
    <row r="140" spans="1:16" ht="42.75" customHeight="1">
      <c r="A140" s="139">
        <v>1300</v>
      </c>
      <c r="B140" s="102" t="s">
        <v>276</v>
      </c>
      <c r="C140" s="103">
        <f aca="true" t="shared" si="34" ref="C140:N140">C141</f>
        <v>30</v>
      </c>
      <c r="D140" s="103">
        <f t="shared" si="34"/>
        <v>4.4</v>
      </c>
      <c r="E140" s="103">
        <f t="shared" si="34"/>
        <v>14.666666666666666</v>
      </c>
      <c r="F140" s="103">
        <f t="shared" si="34"/>
        <v>0</v>
      </c>
      <c r="G140" s="103">
        <f t="shared" si="34"/>
        <v>0</v>
      </c>
      <c r="H140" s="118">
        <f t="shared" si="34"/>
        <v>0</v>
      </c>
      <c r="I140" s="103">
        <f t="shared" si="34"/>
        <v>30</v>
      </c>
      <c r="J140" s="103">
        <f t="shared" si="34"/>
        <v>0</v>
      </c>
      <c r="K140" s="103">
        <f t="shared" si="34"/>
        <v>30</v>
      </c>
      <c r="L140" s="103">
        <f t="shared" si="34"/>
        <v>4.4</v>
      </c>
      <c r="M140" s="103">
        <f t="shared" si="34"/>
        <v>0</v>
      </c>
      <c r="N140" s="103">
        <f t="shared" si="34"/>
        <v>4.4</v>
      </c>
      <c r="O140" s="119">
        <f t="shared" si="28"/>
        <v>14.666666666666666</v>
      </c>
      <c r="P140" s="115"/>
    </row>
    <row r="141" spans="1:16" ht="46.5" customHeight="1">
      <c r="A141" s="116">
        <v>1301</v>
      </c>
      <c r="B141" s="107" t="s">
        <v>277</v>
      </c>
      <c r="C141" s="108">
        <v>30</v>
      </c>
      <c r="D141" s="108">
        <v>4.4</v>
      </c>
      <c r="E141" s="97">
        <f t="shared" si="31"/>
        <v>14.666666666666666</v>
      </c>
      <c r="F141" s="109"/>
      <c r="G141" s="109">
        <v>0</v>
      </c>
      <c r="H141" s="110">
        <v>0</v>
      </c>
      <c r="I141" s="111">
        <f t="shared" si="24"/>
        <v>30</v>
      </c>
      <c r="J141" s="112"/>
      <c r="K141" s="113">
        <f t="shared" si="26"/>
        <v>30</v>
      </c>
      <c r="L141" s="111">
        <f t="shared" si="20"/>
        <v>4.4</v>
      </c>
      <c r="M141" s="147"/>
      <c r="N141" s="113">
        <f t="shared" si="21"/>
        <v>4.4</v>
      </c>
      <c r="O141" s="114">
        <f t="shared" si="28"/>
        <v>14.666666666666666</v>
      </c>
      <c r="P141" s="115"/>
    </row>
    <row r="142" spans="1:16" ht="28.5" customHeight="1">
      <c r="A142" s="139">
        <v>1400</v>
      </c>
      <c r="B142" s="102" t="s">
        <v>278</v>
      </c>
      <c r="C142" s="103">
        <f>SUM(C143:C145)</f>
        <v>331350.3</v>
      </c>
      <c r="D142" s="103">
        <f>SUM(D143:D145)</f>
        <v>270373.19999999995</v>
      </c>
      <c r="E142" s="103">
        <f>D142/C142*100</f>
        <v>81.59739103903028</v>
      </c>
      <c r="F142" s="127">
        <f>F143+F144+F145</f>
        <v>0</v>
      </c>
      <c r="G142" s="127">
        <f>SUM(G143:G145)</f>
        <v>0</v>
      </c>
      <c r="H142" s="127"/>
      <c r="I142" s="127">
        <f aca="true" t="shared" si="35" ref="I142:N142">I143+I144+I145</f>
        <v>331350.3</v>
      </c>
      <c r="J142" s="127">
        <f t="shared" si="35"/>
        <v>331350.3</v>
      </c>
      <c r="K142" s="127">
        <f t="shared" si="35"/>
        <v>0</v>
      </c>
      <c r="L142" s="127">
        <f t="shared" si="35"/>
        <v>270373.19999999995</v>
      </c>
      <c r="M142" s="127">
        <f t="shared" si="35"/>
        <v>270373.19999999995</v>
      </c>
      <c r="N142" s="127">
        <f t="shared" si="35"/>
        <v>0</v>
      </c>
      <c r="O142" s="105">
        <v>0</v>
      </c>
      <c r="P142" s="115"/>
    </row>
    <row r="143" spans="1:16" ht="42.75" customHeight="1">
      <c r="A143" s="116">
        <v>1401</v>
      </c>
      <c r="B143" s="107" t="s">
        <v>279</v>
      </c>
      <c r="C143" s="108">
        <v>141776.5</v>
      </c>
      <c r="D143" s="108">
        <v>113421.4</v>
      </c>
      <c r="E143" s="97">
        <f t="shared" si="31"/>
        <v>80.00014106710209</v>
      </c>
      <c r="F143" s="109">
        <v>0</v>
      </c>
      <c r="G143" s="109">
        <v>0</v>
      </c>
      <c r="H143" s="110">
        <v>0</v>
      </c>
      <c r="I143" s="111">
        <f t="shared" si="24"/>
        <v>141776.5</v>
      </c>
      <c r="J143" s="112">
        <v>141776.5</v>
      </c>
      <c r="K143" s="113">
        <f t="shared" si="26"/>
        <v>0</v>
      </c>
      <c r="L143" s="111">
        <f t="shared" si="20"/>
        <v>113421.4</v>
      </c>
      <c r="M143" s="147">
        <v>113421.4</v>
      </c>
      <c r="N143" s="113">
        <f t="shared" si="21"/>
        <v>0</v>
      </c>
      <c r="O143" s="114">
        <v>0</v>
      </c>
      <c r="P143" s="115"/>
    </row>
    <row r="144" spans="1:16" ht="24.75" customHeight="1">
      <c r="A144" s="116">
        <v>1402</v>
      </c>
      <c r="B144" s="107" t="s">
        <v>280</v>
      </c>
      <c r="C144" s="108"/>
      <c r="D144" s="108"/>
      <c r="E144" s="97" t="e">
        <f t="shared" si="31"/>
        <v>#DIV/0!</v>
      </c>
      <c r="F144" s="109">
        <v>0</v>
      </c>
      <c r="G144" s="109">
        <v>0</v>
      </c>
      <c r="H144" s="110">
        <v>0</v>
      </c>
      <c r="I144" s="111">
        <f t="shared" si="24"/>
        <v>0</v>
      </c>
      <c r="J144" s="112"/>
      <c r="K144" s="113">
        <f t="shared" si="26"/>
        <v>0</v>
      </c>
      <c r="L144" s="111">
        <f t="shared" si="20"/>
        <v>0</v>
      </c>
      <c r="M144" s="147"/>
      <c r="N144" s="113">
        <f t="shared" si="21"/>
        <v>0</v>
      </c>
      <c r="O144" s="114">
        <v>0</v>
      </c>
      <c r="P144" s="115"/>
    </row>
    <row r="145" spans="1:16" ht="27.75" customHeight="1">
      <c r="A145" s="116">
        <v>1403</v>
      </c>
      <c r="B145" s="107" t="s">
        <v>281</v>
      </c>
      <c r="C145" s="108">
        <v>189573.8</v>
      </c>
      <c r="D145" s="108">
        <v>156951.8</v>
      </c>
      <c r="E145" s="97">
        <f t="shared" si="31"/>
        <v>82.79192588849304</v>
      </c>
      <c r="F145" s="109">
        <v>0</v>
      </c>
      <c r="G145" s="109">
        <v>0</v>
      </c>
      <c r="H145" s="110">
        <v>0</v>
      </c>
      <c r="I145" s="111">
        <f t="shared" si="24"/>
        <v>189573.8</v>
      </c>
      <c r="J145" s="112">
        <v>189573.8</v>
      </c>
      <c r="K145" s="113">
        <f t="shared" si="26"/>
        <v>0</v>
      </c>
      <c r="L145" s="111">
        <f t="shared" si="20"/>
        <v>156951.8</v>
      </c>
      <c r="M145" s="112">
        <v>156951.8</v>
      </c>
      <c r="N145" s="113">
        <f t="shared" si="21"/>
        <v>0</v>
      </c>
      <c r="O145" s="114">
        <v>0</v>
      </c>
      <c r="P145" s="115"/>
    </row>
    <row r="146" spans="1:16" ht="15.75" thickBot="1">
      <c r="A146" s="206" t="s">
        <v>282</v>
      </c>
      <c r="B146" s="207"/>
      <c r="C146" s="148">
        <f>C10+C19+C21+C26+C58+C101+C103+C114+C119+C123+C134+C138+C140+C142</f>
        <v>4091321.8</v>
      </c>
      <c r="D146" s="148">
        <f>D142+D140+D138+D134+D123+D119+D114+D103+D101+D58+D26+D21+D19+D10</f>
        <v>2614039.5</v>
      </c>
      <c r="E146" s="148">
        <f>D146/C146*100</f>
        <v>63.89229759438625</v>
      </c>
      <c r="F146" s="148">
        <f>F10+F19+F21+F26+F58+F101+F103+F114+F119+F123+F134+F138+F140+F142</f>
        <v>798616.8</v>
      </c>
      <c r="G146" s="148">
        <f>G10+G19+G21+G26+G58+G101+G103+G114+G119+G123+G134+G138+G140+G142</f>
        <v>519089.8</v>
      </c>
      <c r="H146" s="149">
        <f>G146/F146*100</f>
        <v>64.99860759252748</v>
      </c>
      <c r="I146" s="148"/>
      <c r="J146" s="148">
        <f>J10+J19+J21+J26+J58+J101+J103+J114+J119+J123+J134+J138+J140+J142</f>
        <v>545451.9</v>
      </c>
      <c r="K146" s="148">
        <f>K142+K140+K138+K134+K123+K119+K114+K103+K101+K58+K26+K21+K19+K10</f>
        <v>4344486.7</v>
      </c>
      <c r="L146" s="150"/>
      <c r="M146" s="148">
        <f>M10+M19+M21+M26+M58+M101+M103+M114+M119+M123+M134+M138+M140+M142</f>
        <v>393252.79999999993</v>
      </c>
      <c r="N146" s="148">
        <f>N142+N140+N138+N134+N123+N119+N114+N103+N101+N58+N26+N21+N19+N10</f>
        <v>2739876.5</v>
      </c>
      <c r="O146" s="151">
        <f t="shared" si="28"/>
        <v>63.06559759982693</v>
      </c>
      <c r="P146" s="115"/>
    </row>
    <row r="147" spans="1:15" ht="12.75">
      <c r="A147" s="152"/>
      <c r="B147" s="153"/>
      <c r="C147" s="154"/>
      <c r="D147" s="88"/>
      <c r="E147" s="155"/>
      <c r="F147" s="90"/>
      <c r="G147" s="90"/>
      <c r="H147" s="91"/>
      <c r="I147" s="91"/>
      <c r="J147" s="91"/>
      <c r="K147" s="94"/>
      <c r="L147" s="90"/>
      <c r="M147" s="94"/>
      <c r="N147" s="94"/>
      <c r="O147" s="95"/>
    </row>
    <row r="148" spans="1:15" ht="12.75" hidden="1">
      <c r="A148" s="156"/>
      <c r="B148" s="157"/>
      <c r="C148" s="158">
        <v>4091321.8</v>
      </c>
      <c r="D148" s="158">
        <v>2614039.5</v>
      </c>
      <c r="E148" s="158"/>
      <c r="F148" s="158">
        <v>798616.8</v>
      </c>
      <c r="G148" s="158">
        <v>519089.8</v>
      </c>
      <c r="H148" s="158"/>
      <c r="I148" s="158"/>
      <c r="J148" s="158">
        <v>545451.9</v>
      </c>
      <c r="K148" s="158">
        <v>4344486.7</v>
      </c>
      <c r="L148" s="158"/>
      <c r="M148" s="158">
        <v>393252.8</v>
      </c>
      <c r="N148" s="158">
        <v>2739876.5</v>
      </c>
      <c r="O148" s="158"/>
    </row>
    <row r="149" spans="1:15" ht="12.75" hidden="1">
      <c r="A149" s="156"/>
      <c r="B149" s="157"/>
      <c r="C149" s="159">
        <f>C148-C146</f>
        <v>0</v>
      </c>
      <c r="D149" s="159">
        <f>D148-D146</f>
        <v>0</v>
      </c>
      <c r="E149" s="160"/>
      <c r="F149" s="161">
        <f>F146-F148</f>
        <v>0</v>
      </c>
      <c r="G149" s="162">
        <f>G146-G148</f>
        <v>0</v>
      </c>
      <c r="H149" s="162"/>
      <c r="I149" s="162"/>
      <c r="J149" s="163">
        <f>J146-J148</f>
        <v>0</v>
      </c>
      <c r="K149" s="163">
        <f>K146-K148</f>
        <v>0</v>
      </c>
      <c r="L149" s="163">
        <f>L146-L148</f>
        <v>0</v>
      </c>
      <c r="M149" s="163">
        <f>M146-M148</f>
        <v>0</v>
      </c>
      <c r="N149" s="163">
        <f>N146-N148</f>
        <v>0</v>
      </c>
      <c r="O149" s="163"/>
    </row>
    <row r="150" spans="1:15" ht="12.75">
      <c r="A150" s="204" t="s">
        <v>283</v>
      </c>
      <c r="B150" s="204"/>
      <c r="C150" s="204"/>
      <c r="D150" s="164"/>
      <c r="E150" s="165"/>
      <c r="F150" s="164"/>
      <c r="G150" s="90"/>
      <c r="H150" s="91"/>
      <c r="I150" s="91"/>
      <c r="J150" s="91"/>
      <c r="K150" s="95"/>
      <c r="L150" s="91"/>
      <c r="M150" s="95"/>
      <c r="N150" s="94"/>
      <c r="O150" s="95"/>
    </row>
    <row r="151" spans="1:15" ht="12.75">
      <c r="A151" s="204" t="s">
        <v>284</v>
      </c>
      <c r="B151" s="204"/>
      <c r="C151" s="204"/>
      <c r="D151" s="166"/>
      <c r="E151" s="205" t="s">
        <v>285</v>
      </c>
      <c r="F151" s="205"/>
      <c r="G151" s="90"/>
      <c r="H151" s="91"/>
      <c r="I151" s="91"/>
      <c r="J151" s="91"/>
      <c r="K151" s="92"/>
      <c r="L151" s="93"/>
      <c r="M151" s="92"/>
      <c r="N151" s="94"/>
      <c r="O151" s="95"/>
    </row>
    <row r="152" spans="1:15" ht="12.75">
      <c r="A152" s="167"/>
      <c r="B152" s="168"/>
      <c r="C152" s="169"/>
      <c r="D152" s="170"/>
      <c r="E152" s="171"/>
      <c r="F152" s="172"/>
      <c r="G152" s="90"/>
      <c r="H152" s="91"/>
      <c r="I152" s="91"/>
      <c r="J152" s="91"/>
      <c r="K152" s="92"/>
      <c r="L152" s="93"/>
      <c r="M152" s="92"/>
      <c r="N152" s="94"/>
      <c r="O152" s="95"/>
    </row>
    <row r="153" spans="1:15" ht="12.75">
      <c r="A153" s="204" t="s">
        <v>286</v>
      </c>
      <c r="B153" s="204"/>
      <c r="C153" s="204"/>
      <c r="D153" s="173"/>
      <c r="E153" s="205" t="s">
        <v>287</v>
      </c>
      <c r="F153" s="205"/>
      <c r="G153" s="90"/>
      <c r="H153" s="91"/>
      <c r="I153" s="91"/>
      <c r="J153" s="91"/>
      <c r="K153" s="92"/>
      <c r="L153" s="93"/>
      <c r="M153" s="92"/>
      <c r="N153" s="94"/>
      <c r="O153" s="95"/>
    </row>
    <row r="154" spans="1:15" ht="12.75">
      <c r="A154" s="167"/>
      <c r="B154" s="174"/>
      <c r="C154" s="175"/>
      <c r="D154" s="176"/>
      <c r="E154" s="171"/>
      <c r="F154" s="172"/>
      <c r="G154" s="90"/>
      <c r="H154" s="91"/>
      <c r="I154" s="91"/>
      <c r="J154" s="91"/>
      <c r="K154" s="92"/>
      <c r="L154" s="93"/>
      <c r="M154" s="92"/>
      <c r="N154" s="94"/>
      <c r="O154" s="95"/>
    </row>
    <row r="155" spans="1:15" ht="12.75">
      <c r="A155" s="204" t="s">
        <v>288</v>
      </c>
      <c r="B155" s="204"/>
      <c r="C155" s="204"/>
      <c r="D155" s="173"/>
      <c r="E155" s="205" t="s">
        <v>289</v>
      </c>
      <c r="F155" s="205"/>
      <c r="G155" s="90"/>
      <c r="H155" s="91"/>
      <c r="I155" s="91"/>
      <c r="J155" s="91"/>
      <c r="K155" s="92"/>
      <c r="L155" s="93"/>
      <c r="M155" s="92"/>
      <c r="N155" s="94"/>
      <c r="O155" s="95"/>
    </row>
    <row r="156" spans="1:15" ht="12.75">
      <c r="A156" s="177"/>
      <c r="B156" s="178"/>
      <c r="C156" s="179"/>
      <c r="D156" s="164"/>
      <c r="E156" s="180"/>
      <c r="F156" s="164"/>
      <c r="G156" s="90"/>
      <c r="H156" s="91"/>
      <c r="I156" s="91"/>
      <c r="J156" s="91"/>
      <c r="K156" s="95"/>
      <c r="L156" s="91"/>
      <c r="M156" s="95"/>
      <c r="N156" s="94" t="s">
        <v>39</v>
      </c>
      <c r="O156" s="95"/>
    </row>
    <row r="157" spans="1:14" ht="12.75">
      <c r="A157" s="135"/>
      <c r="B157" s="135"/>
      <c r="C157" s="181" t="s">
        <v>290</v>
      </c>
      <c r="D157" s="182"/>
      <c r="E157" s="183" t="s">
        <v>291</v>
      </c>
      <c r="F157" s="184"/>
      <c r="G157" s="146"/>
      <c r="K157" t="s">
        <v>292</v>
      </c>
      <c r="L157" s="185"/>
      <c r="N157" s="146"/>
    </row>
    <row r="158" spans="3:12" ht="12.75">
      <c r="C158" s="146"/>
      <c r="F158" s="146"/>
      <c r="L158" s="185"/>
    </row>
    <row r="159" spans="11:13" ht="12.75">
      <c r="K159" s="186"/>
      <c r="L159" s="186" t="s">
        <v>39</v>
      </c>
      <c r="M159" s="186"/>
    </row>
    <row r="160" spans="11:13" ht="12.75">
      <c r="K160" s="187"/>
      <c r="L160" s="188"/>
      <c r="M160" s="187"/>
    </row>
    <row r="161" spans="3:12" ht="12.75">
      <c r="C161" s="146"/>
      <c r="F161" s="146"/>
      <c r="L161" s="185"/>
    </row>
  </sheetData>
  <sheetProtection/>
  <mergeCells count="28">
    <mergeCell ref="A1:O1"/>
    <mergeCell ref="A3:A8"/>
    <mergeCell ref="B3:B5"/>
    <mergeCell ref="C3:E3"/>
    <mergeCell ref="F3:H3"/>
    <mergeCell ref="I3:O3"/>
    <mergeCell ref="M4:M5"/>
    <mergeCell ref="N4:N5"/>
    <mergeCell ref="O4:O5"/>
    <mergeCell ref="B6:O8"/>
    <mergeCell ref="E4:E5"/>
    <mergeCell ref="F4:F5"/>
    <mergeCell ref="K4:K5"/>
    <mergeCell ref="L4:L5"/>
    <mergeCell ref="A146:B146"/>
    <mergeCell ref="A150:C150"/>
    <mergeCell ref="G4:G5"/>
    <mergeCell ref="H4:H5"/>
    <mergeCell ref="I4:I5"/>
    <mergeCell ref="J4:J5"/>
    <mergeCell ref="C4:C5"/>
    <mergeCell ref="D4:D5"/>
    <mergeCell ref="A151:C151"/>
    <mergeCell ref="E151:F151"/>
    <mergeCell ref="A153:C153"/>
    <mergeCell ref="E153:F153"/>
    <mergeCell ref="A155:C155"/>
    <mergeCell ref="E155:F1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Бучельникова</cp:lastModifiedBy>
  <cp:lastPrinted>2021-10-03T11:46:06Z</cp:lastPrinted>
  <dcterms:created xsi:type="dcterms:W3CDTF">2006-05-12T06:58:42Z</dcterms:created>
  <dcterms:modified xsi:type="dcterms:W3CDTF">2021-11-18T05:17:22Z</dcterms:modified>
  <cp:category/>
  <cp:version/>
  <cp:contentType/>
  <cp:contentStatus/>
</cp:coreProperties>
</file>