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8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<sst xmlns="http://schemas.openxmlformats.org/spreadsheetml/2006/main" count="626" uniqueCount="239">
  <si>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</si>
  <si>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</si>
  <si>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</si>
  <si>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</si>
  <si>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</si>
  <si>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</si>
  <si>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</si>
  <si>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</si>
  <si>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</si>
  <si>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</si>
  <si>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</si>
  <si>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</si>
  <si>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</si>
  <si>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</si>
  <si>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</si>
  <si>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</si>
  <si>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</si>
  <si>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</si>
  <si>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</si>
  <si>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</si>
  <si>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</si>
  <si>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</si>
  <si>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</si>
  <si>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</si>
  <si>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</si>
  <si>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</si>
  <si>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</si>
  <si>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</si>
  <si>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</si>
  <si>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</si>
  <si>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</si>
  <si>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</si>
  <si>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</si>
  <si>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</si>
  <si>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</si>
  <si>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</si>
  <si>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</si>
  <si>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</si>
  <si>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</si>
  <si>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</si>
  <si>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</si>
  <si>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</si>
  <si>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</si>
  <si>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</si>
  <si>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</si>
  <si>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</si>
  <si>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</si>
  <si>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</si>
  <si>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</si>
  <si>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</si>
  <si>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</si>
  <si>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</si>
  <si>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</si>
  <si>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</si>
  <si>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</si>
  <si>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</si>
  <si>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</si>
  <si>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</si>
  <si>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</si>
  <si>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</si>
  <si>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</si>
  <si>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</si>
  <si>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</si>
  <si>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</si>
  <si>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</si>
  <si>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</si>
  <si>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</si>
  <si>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</si>
  <si>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Уточн. план на 2018 год</t>
  </si>
  <si>
    <t>Первонач. план на 2018 год</t>
  </si>
  <si>
    <t xml:space="preserve">% исп-ия к уточн. плану на 2018 год </t>
  </si>
  <si>
    <t xml:space="preserve">% исп-ия к первонач. плану на 2018 год </t>
  </si>
  <si>
    <t>План                 на 9 месяцев 2018 года</t>
  </si>
  <si>
    <t xml:space="preserve">% исп-ия к плану за 9 месяцев2018 года </t>
  </si>
  <si>
    <t>План 2019</t>
  </si>
  <si>
    <t>Ожидаемое 2018 (направлено в ДФ ХМАО-Югры)</t>
  </si>
  <si>
    <t>Отчет об исполнении консолидированного бюджета Октябрьского района по состоянию на 01.12.2018</t>
  </si>
  <si>
    <t>Исполнение на 01.12.2018</t>
  </si>
  <si>
    <t>Отчет  об  исполнении  консолидированного  бюджета  района  по  расходам на 1 декабря 2018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</si>
  <si>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</si>
  <si>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</si>
  <si>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</si>
  <si>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</si>
  <si>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</si>
  <si>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</si>
  <si>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01.12.2018</t>
  </si>
  <si>
    <t>% исполнения</t>
  </si>
  <si>
    <t>исполнения на 01.12.2018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</si>
  <si>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</si>
  <si>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</si>
  <si>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</si>
  <si>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</si>
  <si>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</si>
  <si>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</si>
  <si>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</si>
  <si>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</si>
  <si>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</si>
  <si>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</si>
  <si>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</si>
  <si>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</si>
  <si>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</si>
  <si>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</si>
  <si>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</si>
  <si>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</si>
  <si>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</si>
  <si>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</si>
  <si>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</si>
  <si>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</si>
  <si>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</si>
  <si>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</si>
  <si>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</si>
  <si>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</si>
  <si>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</si>
  <si>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</si>
  <si>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</si>
  <si>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</si>
  <si>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</si>
  <si>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</si>
  <si>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</si>
  <si>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</si>
  <si>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</si>
  <si>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</si>
  <si>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</si>
  <si>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</si>
  <si>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</si>
  <si>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</si>
  <si>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</si>
  <si>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</si>
  <si>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</si>
  <si>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Иные межбюджетные трансферты за счет средств резервного фонда Правительства Ханты-Мансийского автономного округа-Югры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</si>
  <si>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</si>
  <si>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</si>
  <si>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</si>
  <si>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</si>
  <si>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</si>
  <si>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</si>
  <si>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</si>
  <si>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</si>
  <si>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</si>
  <si>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Градостроительная деятельность (0910299990)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</si>
  <si>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</si>
  <si>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</si>
  <si>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</si>
  <si>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</si>
  <si>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2018-2020  годы" (150019990)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</si>
  <si>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</si>
  <si>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</si>
  <si>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</si>
  <si>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</si>
  <si>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09101S2172, 0910199990) 01.40.36,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</si>
  <si>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</si>
  <si>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1040442120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</si>
  <si>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</si>
  <si>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</si>
  <si>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</si>
  <si>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</si>
  <si>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</si>
  <si>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</si>
  <si>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(1010182591) ОЗП доля поселения 10101S2591; 1010199990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</si>
  <si>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</si>
  <si>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</si>
  <si>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</si>
  <si>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</si>
  <si>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</si>
  <si>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(0600299990)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</si>
  <si>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</si>
  <si>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(10601L5550, 10601S5550)</t>
  </si>
  <si>
    <t>Субсидии на благоустройство территорий муниципальных образований (1060182600,  10601S2600)</t>
  </si>
  <si>
    <t>Внешнее благоустройство 1060182600,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</si>
  <si>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</si>
  <si>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</si>
  <si>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</si>
  <si>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</si>
  <si>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</si>
  <si>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</si>
  <si>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</si>
  <si>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</si>
  <si>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</si>
  <si>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</si>
  <si>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</si>
  <si>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</si>
  <si>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</si>
  <si>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</si>
  <si>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</si>
  <si>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</si>
  <si>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</si>
  <si>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</si>
  <si>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</si>
  <si>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</si>
  <si>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</si>
  <si>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</si>
  <si>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</si>
  <si>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</si>
  <si>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</si>
  <si>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</si>
  <si>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</si>
  <si>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</si>
  <si>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</si>
  <si>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</si>
  <si>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</si>
  <si>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</si>
  <si>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</si>
  <si>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(1800582010, 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</si>
  <si>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</si>
  <si>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</si>
  <si>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</si>
  <si>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</si>
  <si>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</si>
  <si>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 (0910399990)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</si>
  <si>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(09201R4970 о/б, 0920154970 ф/б, 09201S4970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</si>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</sst>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177" fontId="5" fillId="0" borderId="13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0" fillId="0" borderId="0" xfId="0" applyNumberFormat="1" applyFill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76" fontId="1" fillId="0" borderId="13" xfId="0" applyNumberFormat="1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4" xfId="0" applyNumberFormat="1" applyFont="1" applyFill="1" applyBorder="1" applyAlignment="1">
      <alignment horizontal="right" vertical="top" wrapText="1"/>
    </xf>
    <xf numFmtId="176" fontId="7" fillId="0" borderId="0" xfId="0" applyNumberFormat="1" applyFont="1" applyFill="1" applyAlignment="1" quotePrefix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170" fontId="2" fillId="0" borderId="21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6" fontId="4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0" borderId="13" xfId="53" applyNumberFormat="1" applyFont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0" borderId="13" xfId="0" applyNumberFormat="1" applyFont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3" borderId="25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2" fillId="33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2" fillId="33" borderId="26" xfId="53" applyNumberFormat="1" applyFont="1" applyFill="1" applyBorder="1" applyAlignment="1">
      <alignment horizontal="center" vertical="center" wrapText="1"/>
      <protection/>
    </xf>
    <xf numFmtId="179" fontId="31" fillId="34" borderId="13" xfId="53" applyNumberFormat="1" applyFont="1" applyFill="1" applyBorder="1" applyAlignment="1">
      <alignment horizontal="center" vertical="center" wrapText="1"/>
      <protection/>
    </xf>
    <xf numFmtId="49" fontId="34" fillId="33" borderId="25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0" fontId="30" fillId="36" borderId="13" xfId="53" applyNumberFormat="1" applyFont="1" applyFill="1" applyBorder="1" applyAlignment="1">
      <alignment horizontal="left" vertical="center" wrapText="1"/>
      <protection/>
    </xf>
    <xf numFmtId="179" fontId="32" fillId="34" borderId="13" xfId="0" applyNumberFormat="1" applyFont="1" applyFill="1" applyBorder="1" applyAlignment="1">
      <alignment horizontal="center" vertical="center" wrapText="1"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1" fillId="34" borderId="13" xfId="0" applyNumberFormat="1" applyFont="1" applyFill="1" applyBorder="1" applyAlignment="1">
      <alignment horizontal="center" vertical="center" wrapText="1"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3" borderId="13" xfId="0" applyNumberFormat="1" applyFont="1" applyFill="1" applyBorder="1" applyAlignment="1">
      <alignment horizontal="center" vertical="center" wrapText="1"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0" fontId="32" fillId="0" borderId="2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3" borderId="25" xfId="53" applyNumberFormat="1" applyFont="1" applyFill="1" applyBorder="1" applyAlignment="1">
      <alignment horizontal="center" vertical="center" wrapText="1"/>
      <protection/>
    </xf>
    <xf numFmtId="0" fontId="34" fillId="33" borderId="13" xfId="0" applyNumberFormat="1" applyFont="1" applyFill="1" applyBorder="1" applyAlignment="1">
      <alignment horizontal="left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0" fontId="30" fillId="0" borderId="13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179" fontId="32" fillId="35" borderId="28" xfId="53" applyNumberFormat="1" applyFont="1" applyFill="1" applyBorder="1" applyAlignment="1">
      <alignment horizontal="center" vertical="center" wrapText="1"/>
      <protection/>
    </xf>
    <xf numFmtId="179" fontId="32" fillId="35" borderId="28" xfId="0" applyNumberFormat="1" applyFont="1" applyFill="1" applyBorder="1" applyAlignment="1">
      <alignment horizontal="center" vertical="center" wrapText="1"/>
    </xf>
    <xf numFmtId="179" fontId="32" fillId="35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2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7"/>
  <sheetViews>
    <sheetView zoomScalePageLayoutView="0" workbookViewId="0" topLeftCell="A1">
      <pane ySplit="1" topLeftCell="A193" activePane="bottomLeft" state="frozen"/>
      <selection pane="topLeft" activeCell="A1" sqref="A1"/>
      <selection pane="bottomLeft" activeCell="D78" sqref="D78"/>
    </sheetView>
  </sheetViews>
  <sheetFormatPr defaultColWidth="9.125" defaultRowHeight="12.75" outlineLevelCol="1"/>
  <cols>
    <col min="1" max="1" width="21.375" style="1" customWidth="1"/>
    <col min="2" max="2" width="60.50390625" style="1" customWidth="1"/>
    <col min="3" max="3" width="11.50390625" style="1" customWidth="1"/>
    <col min="4" max="4" width="12.00390625" style="1" customWidth="1"/>
    <col min="5" max="6" width="8.625" style="1" hidden="1" customWidth="1"/>
    <col min="7" max="7" width="9.00390625" style="1" hidden="1" customWidth="1"/>
    <col min="8" max="8" width="11.50390625" style="1" hidden="1" customWidth="1"/>
    <col min="9" max="9" width="9.125" style="1" hidden="1" customWidth="1" outlineLevel="1"/>
    <col min="10" max="10" width="12.375" style="1" customWidth="1" collapsed="1"/>
    <col min="11" max="11" width="10.375" style="1" hidden="1" customWidth="1"/>
    <col min="12" max="12" width="7.00390625" style="1" hidden="1" customWidth="1"/>
    <col min="13" max="13" width="9.125" style="1" hidden="1" customWidth="1"/>
    <col min="14" max="14" width="12.50390625" style="1" hidden="1" customWidth="1"/>
    <col min="15" max="15" width="10.625" style="1" hidden="1" customWidth="1"/>
    <col min="16" max="16" width="6.50390625" style="1" hidden="1" customWidth="1"/>
    <col min="17" max="17" width="8.00390625" style="1" customWidth="1"/>
    <col min="18" max="18" width="8.375" style="1" customWidth="1"/>
    <col min="19" max="19" width="11.375" style="1" hidden="1" customWidth="1"/>
    <col min="20" max="20" width="10.50390625" style="1" hidden="1" customWidth="1"/>
    <col min="21" max="16384" width="9.125" style="1" customWidth="1"/>
  </cols>
  <sheetData>
    <row r="1" spans="1:18" ht="12.75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2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4.25" customHeight="1">
      <c r="A3" s="44"/>
      <c r="B3" s="45"/>
      <c r="C3" s="45"/>
      <c r="D3" s="45"/>
      <c r="E3" s="45"/>
      <c r="F3" s="45"/>
      <c r="G3" s="45"/>
      <c r="H3" s="46"/>
      <c r="I3" s="46"/>
      <c r="J3" s="47" t="s">
        <v>56</v>
      </c>
      <c r="K3" s="46"/>
      <c r="L3" s="46"/>
    </row>
    <row r="4" spans="1:20" ht="12.75" customHeight="1">
      <c r="A4" s="75" t="s">
        <v>45</v>
      </c>
      <c r="B4" s="75" t="s">
        <v>16</v>
      </c>
      <c r="C4" s="72" t="s">
        <v>69</v>
      </c>
      <c r="D4" s="72" t="s">
        <v>68</v>
      </c>
      <c r="E4" s="72" t="s">
        <v>72</v>
      </c>
      <c r="F4" s="86" t="s">
        <v>59</v>
      </c>
      <c r="G4" s="86" t="s">
        <v>60</v>
      </c>
      <c r="H4" s="86" t="s">
        <v>61</v>
      </c>
      <c r="I4" s="86" t="s">
        <v>62</v>
      </c>
      <c r="J4" s="72" t="s">
        <v>77</v>
      </c>
      <c r="K4" s="72" t="s">
        <v>63</v>
      </c>
      <c r="L4" s="72" t="s">
        <v>64</v>
      </c>
      <c r="M4" s="72" t="s">
        <v>65</v>
      </c>
      <c r="N4" s="72" t="s">
        <v>66</v>
      </c>
      <c r="O4" s="72" t="s">
        <v>67</v>
      </c>
      <c r="P4" s="72" t="s">
        <v>73</v>
      </c>
      <c r="Q4" s="72" t="s">
        <v>70</v>
      </c>
      <c r="R4" s="72" t="s">
        <v>71</v>
      </c>
      <c r="S4" s="72" t="s">
        <v>75</v>
      </c>
      <c r="T4" s="72" t="s">
        <v>74</v>
      </c>
    </row>
    <row r="5" spans="1:20" ht="27.75" customHeight="1">
      <c r="A5" s="75"/>
      <c r="B5" s="75"/>
      <c r="C5" s="73"/>
      <c r="D5" s="73"/>
      <c r="E5" s="73"/>
      <c r="F5" s="87"/>
      <c r="G5" s="87"/>
      <c r="H5" s="87"/>
      <c r="I5" s="87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39.75" customHeight="1">
      <c r="A6" s="75"/>
      <c r="B6" s="75"/>
      <c r="C6" s="74"/>
      <c r="D6" s="74"/>
      <c r="E6" s="74"/>
      <c r="F6" s="88"/>
      <c r="G6" s="88"/>
      <c r="H6" s="88"/>
      <c r="I6" s="88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18" ht="12.75">
      <c r="A7" s="69" t="s">
        <v>24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20" ht="12.75">
      <c r="A8" s="48" t="s">
        <v>3</v>
      </c>
      <c r="B8" s="56" t="s">
        <v>55</v>
      </c>
      <c r="C8" s="34">
        <f aca="true" t="shared" si="0" ref="C8:I8">C9+C11+C12+C13+C15+C16+C18+C20+C14+C21+C17+C19+C10</f>
        <v>766549.3999999999</v>
      </c>
      <c r="D8" s="34">
        <f t="shared" si="0"/>
        <v>941125.5</v>
      </c>
      <c r="E8" s="34">
        <f t="shared" si="0"/>
        <v>594305</v>
      </c>
      <c r="F8" s="34">
        <f t="shared" si="0"/>
        <v>219571.59999999998</v>
      </c>
      <c r="G8" s="34">
        <f t="shared" si="0"/>
        <v>235276.2</v>
      </c>
      <c r="H8" s="34">
        <f t="shared" si="0"/>
        <v>190046.6</v>
      </c>
      <c r="I8" s="34">
        <f t="shared" si="0"/>
        <v>296231.10000000003</v>
      </c>
      <c r="J8" s="34">
        <f>J9+J11+J12+J13+J15+J16+J18+J20+J14+J21+J17+J19+J10+0.1</f>
        <v>906098</v>
      </c>
      <c r="K8" s="34" t="e">
        <f>K9+K11+K12+K13+K15+K16+K18+K20+K14+K21+K17+K19</f>
        <v>#REF!</v>
      </c>
      <c r="L8" s="34">
        <f aca="true" t="shared" si="1" ref="L8:L20">J8/H8*100</f>
        <v>476.77674843959323</v>
      </c>
      <c r="M8" s="57"/>
      <c r="N8" s="57"/>
      <c r="O8" s="34">
        <f>J8*100/I8</f>
        <v>305.8753790537185</v>
      </c>
      <c r="P8" s="34">
        <f>J8*100/E8</f>
        <v>152.4634657288766</v>
      </c>
      <c r="Q8" s="22">
        <f>J8*100/D8</f>
        <v>96.27812656229163</v>
      </c>
      <c r="R8" s="22">
        <f>J8*100/C8</f>
        <v>118.2047758435399</v>
      </c>
      <c r="S8" s="34">
        <f>S9+S11+S12+S13+S15+S16+S18+S20+S14+S21+S17+S19+S10</f>
        <v>836259.8999999999</v>
      </c>
      <c r="T8" s="34">
        <f>T9+T11+T12+T13+T15+T16+T18+T20+T14+T21+T17+T19+T10</f>
        <v>725891.4000000001</v>
      </c>
    </row>
    <row r="9" spans="1:20" ht="12.75">
      <c r="A9" s="12" t="s">
        <v>23</v>
      </c>
      <c r="B9" s="58" t="s">
        <v>22</v>
      </c>
      <c r="C9" s="42">
        <v>583323.2</v>
      </c>
      <c r="D9" s="42">
        <f>F9+G9+H9+I9</f>
        <v>619814.2000000001</v>
      </c>
      <c r="E9" s="42">
        <f>F9+G9+H9</f>
        <v>451996.9</v>
      </c>
      <c r="F9" s="42">
        <v>154524.2</v>
      </c>
      <c r="G9" s="42">
        <v>165563.1</v>
      </c>
      <c r="H9" s="19">
        <v>131909.6</v>
      </c>
      <c r="I9" s="59">
        <f>152269.2+15548.1</f>
        <v>167817.30000000002</v>
      </c>
      <c r="J9" s="59">
        <v>579404.9</v>
      </c>
      <c r="K9" s="19" t="e">
        <f>J9/#REF!*100</f>
        <v>#REF!</v>
      </c>
      <c r="L9" s="19">
        <f t="shared" si="1"/>
        <v>439.2439215947892</v>
      </c>
      <c r="M9" s="39"/>
      <c r="N9" s="39"/>
      <c r="O9" s="19">
        <f aca="true" t="shared" si="2" ref="O9:O81">J9*100/I9</f>
        <v>345.2593385783229</v>
      </c>
      <c r="P9" s="19">
        <f aca="true" t="shared" si="3" ref="P9:P78">J9*100/E9</f>
        <v>128.18780394290314</v>
      </c>
      <c r="Q9" s="59">
        <f aca="true" t="shared" si="4" ref="Q9:Q78">J9*100/D9</f>
        <v>93.48041719599195</v>
      </c>
      <c r="R9" s="17">
        <f aca="true" t="shared" si="5" ref="R9:R72">J9*100/C9</f>
        <v>99.32827975983126</v>
      </c>
      <c r="S9" s="16">
        <v>602700</v>
      </c>
      <c r="T9" s="16">
        <v>537533.4</v>
      </c>
    </row>
    <row r="10" spans="1:20" ht="12.75">
      <c r="A10" s="12" t="s">
        <v>57</v>
      </c>
      <c r="B10" s="26" t="s">
        <v>58</v>
      </c>
      <c r="C10" s="49">
        <v>4437.4</v>
      </c>
      <c r="D10" s="42">
        <f aca="true" t="shared" si="6" ref="D10:D26">F10+G10+H10+I10</f>
        <v>4763</v>
      </c>
      <c r="E10" s="42">
        <v>4271.4</v>
      </c>
      <c r="F10" s="49">
        <v>1193.9</v>
      </c>
      <c r="G10" s="49">
        <v>1200.1</v>
      </c>
      <c r="H10" s="16">
        <f>1021.2+220</f>
        <v>1241.2</v>
      </c>
      <c r="I10" s="17">
        <f>1022.2+105.6</f>
        <v>1127.8</v>
      </c>
      <c r="J10" s="17">
        <v>4732.1</v>
      </c>
      <c r="K10" s="19"/>
      <c r="L10" s="19"/>
      <c r="M10" s="39"/>
      <c r="N10" s="39"/>
      <c r="O10" s="16"/>
      <c r="P10" s="19">
        <f t="shared" si="3"/>
        <v>110.78569087418647</v>
      </c>
      <c r="Q10" s="17">
        <f t="shared" si="4"/>
        <v>99.3512492126811</v>
      </c>
      <c r="R10" s="17">
        <f t="shared" si="5"/>
        <v>106.64127642313069</v>
      </c>
      <c r="S10" s="16">
        <v>4813.6</v>
      </c>
      <c r="T10" s="16">
        <v>5380.3</v>
      </c>
    </row>
    <row r="11" spans="1:20" ht="12.75">
      <c r="A11" s="12" t="s">
        <v>8</v>
      </c>
      <c r="B11" s="26" t="s">
        <v>5</v>
      </c>
      <c r="C11" s="49">
        <v>38473</v>
      </c>
      <c r="D11" s="42">
        <f t="shared" si="6"/>
        <v>55175</v>
      </c>
      <c r="E11" s="42">
        <v>53</v>
      </c>
      <c r="F11" s="49">
        <v>12473.1</v>
      </c>
      <c r="G11" s="49">
        <v>22891.4</v>
      </c>
      <c r="H11" s="16">
        <v>7418.9</v>
      </c>
      <c r="I11" s="17">
        <f>7761.6+4630</f>
        <v>12391.6</v>
      </c>
      <c r="J11" s="17">
        <v>55307.9</v>
      </c>
      <c r="K11" s="19" t="e">
        <f>J11/#REF!*100</f>
        <v>#REF!</v>
      </c>
      <c r="L11" s="19">
        <f t="shared" si="1"/>
        <v>745.5000067395437</v>
      </c>
      <c r="M11" s="39"/>
      <c r="N11" s="39"/>
      <c r="O11" s="16">
        <f t="shared" si="2"/>
        <v>446.33380677232964</v>
      </c>
      <c r="P11" s="19">
        <f t="shared" si="3"/>
        <v>104354.52830188679</v>
      </c>
      <c r="Q11" s="17">
        <f t="shared" si="4"/>
        <v>100.24086995922066</v>
      </c>
      <c r="R11" s="17">
        <f t="shared" si="5"/>
        <v>143.7577002053388</v>
      </c>
      <c r="S11" s="16">
        <f>35940+12100+143.5+2000</f>
        <v>50183.5</v>
      </c>
      <c r="T11" s="16">
        <f>30800+9300+80+2200</f>
        <v>42380</v>
      </c>
    </row>
    <row r="12" spans="1:20" ht="12.75">
      <c r="A12" s="12" t="s">
        <v>9</v>
      </c>
      <c r="B12" s="26" t="s">
        <v>6</v>
      </c>
      <c r="C12" s="49">
        <v>4052</v>
      </c>
      <c r="D12" s="42">
        <f t="shared" si="6"/>
        <v>2605</v>
      </c>
      <c r="E12" s="42">
        <f aca="true" t="shared" si="7" ref="E12:E21">F12+G12+H12</f>
        <v>1131.6999999999998</v>
      </c>
      <c r="F12" s="49">
        <v>-987.6</v>
      </c>
      <c r="G12" s="49">
        <v>924.8</v>
      </c>
      <c r="H12" s="16">
        <v>1194.5</v>
      </c>
      <c r="I12" s="17">
        <f>603.3+870</f>
        <v>1473.3</v>
      </c>
      <c r="J12" s="17">
        <v>2617</v>
      </c>
      <c r="K12" s="19" t="e">
        <f>J12/#REF!*100</f>
        <v>#REF!</v>
      </c>
      <c r="L12" s="19">
        <f t="shared" si="1"/>
        <v>219.0874843030557</v>
      </c>
      <c r="M12" s="39"/>
      <c r="N12" s="39"/>
      <c r="O12" s="16">
        <f t="shared" si="2"/>
        <v>177.62845313242383</v>
      </c>
      <c r="P12" s="19">
        <f t="shared" si="3"/>
        <v>231.24502960148453</v>
      </c>
      <c r="Q12" s="17">
        <f t="shared" si="4"/>
        <v>100.46065259117083</v>
      </c>
      <c r="R12" s="17">
        <f t="shared" si="5"/>
        <v>64.58538993089832</v>
      </c>
      <c r="S12" s="16">
        <f>150+1500.6</f>
        <v>1650.6</v>
      </c>
      <c r="T12" s="16">
        <f>100+2400</f>
        <v>2500</v>
      </c>
    </row>
    <row r="13" spans="1:20" ht="12.75">
      <c r="A13" s="12" t="s">
        <v>10</v>
      </c>
      <c r="B13" s="26" t="s">
        <v>21</v>
      </c>
      <c r="C13" s="49">
        <v>3794</v>
      </c>
      <c r="D13" s="42">
        <f t="shared" si="6"/>
        <v>3050</v>
      </c>
      <c r="E13" s="42">
        <f t="shared" si="7"/>
        <v>2476.4</v>
      </c>
      <c r="F13" s="49">
        <v>864.8</v>
      </c>
      <c r="G13" s="49">
        <v>788.1</v>
      </c>
      <c r="H13" s="16">
        <v>823.5</v>
      </c>
      <c r="I13" s="17">
        <f>823.6-250</f>
        <v>573.6</v>
      </c>
      <c r="J13" s="17">
        <v>2923.4</v>
      </c>
      <c r="K13" s="19" t="e">
        <f>J13/#REF!*100</f>
        <v>#REF!</v>
      </c>
      <c r="L13" s="19">
        <f t="shared" si="1"/>
        <v>354.99696417729206</v>
      </c>
      <c r="M13" s="39"/>
      <c r="N13" s="39"/>
      <c r="O13" s="16">
        <f t="shared" si="2"/>
        <v>509.65829846582983</v>
      </c>
      <c r="P13" s="19">
        <f t="shared" si="3"/>
        <v>118.05039573574544</v>
      </c>
      <c r="Q13" s="17">
        <f t="shared" si="4"/>
        <v>95.84918032786885</v>
      </c>
      <c r="R13" s="17">
        <f t="shared" si="5"/>
        <v>77.05324196099104</v>
      </c>
      <c r="S13" s="16">
        <v>3005</v>
      </c>
      <c r="T13" s="16">
        <v>3105</v>
      </c>
    </row>
    <row r="14" spans="1:20" ht="21.75" customHeight="1" hidden="1">
      <c r="A14" s="12" t="s">
        <v>37</v>
      </c>
      <c r="B14" s="26" t="s">
        <v>38</v>
      </c>
      <c r="C14" s="49"/>
      <c r="D14" s="42">
        <f t="shared" si="6"/>
        <v>0</v>
      </c>
      <c r="E14" s="42">
        <f t="shared" si="7"/>
        <v>0</v>
      </c>
      <c r="F14" s="49"/>
      <c r="G14" s="49"/>
      <c r="H14" s="16"/>
      <c r="I14" s="17"/>
      <c r="J14" s="17"/>
      <c r="K14" s="19" t="e">
        <f>J14/#REF!*100</f>
        <v>#REF!</v>
      </c>
      <c r="L14" s="19"/>
      <c r="M14" s="39"/>
      <c r="N14" s="39"/>
      <c r="O14" s="16" t="e">
        <f t="shared" si="2"/>
        <v>#DIV/0!</v>
      </c>
      <c r="P14" s="19"/>
      <c r="Q14" s="17"/>
      <c r="R14" s="17" t="e">
        <f t="shared" si="5"/>
        <v>#DIV/0!</v>
      </c>
      <c r="S14" s="16"/>
      <c r="T14" s="16"/>
    </row>
    <row r="15" spans="1:20" ht="22.5">
      <c r="A15" s="13" t="s">
        <v>11</v>
      </c>
      <c r="B15" s="26" t="s">
        <v>17</v>
      </c>
      <c r="C15" s="49">
        <v>95355.4</v>
      </c>
      <c r="D15" s="42">
        <f t="shared" si="6"/>
        <v>114839.2</v>
      </c>
      <c r="E15" s="42">
        <f t="shared" si="7"/>
        <v>81590.4</v>
      </c>
      <c r="F15" s="49">
        <v>27684.8</v>
      </c>
      <c r="G15" s="49">
        <v>27017.3</v>
      </c>
      <c r="H15" s="16">
        <v>26888.3</v>
      </c>
      <c r="I15" s="17">
        <f>23328.8+9920</f>
        <v>33248.8</v>
      </c>
      <c r="J15" s="17">
        <v>118354.9</v>
      </c>
      <c r="K15" s="19" t="e">
        <f>J15/#REF!*100</f>
        <v>#REF!</v>
      </c>
      <c r="L15" s="19">
        <f t="shared" si="1"/>
        <v>440.1724913810096</v>
      </c>
      <c r="M15" s="39"/>
      <c r="N15" s="39"/>
      <c r="O15" s="16">
        <f t="shared" si="2"/>
        <v>355.96743341113057</v>
      </c>
      <c r="P15" s="19">
        <f t="shared" si="3"/>
        <v>145.05983547083972</v>
      </c>
      <c r="Q15" s="17">
        <f t="shared" si="4"/>
        <v>103.06141108610997</v>
      </c>
      <c r="R15" s="17">
        <f t="shared" si="5"/>
        <v>124.1197666833761</v>
      </c>
      <c r="S15" s="16">
        <v>99106.7</v>
      </c>
      <c r="T15" s="16">
        <v>99505.9</v>
      </c>
    </row>
    <row r="16" spans="1:20" ht="12.75">
      <c r="A16" s="27" t="s">
        <v>14</v>
      </c>
      <c r="B16" s="26" t="s">
        <v>13</v>
      </c>
      <c r="C16" s="49">
        <v>5108.6</v>
      </c>
      <c r="D16" s="42">
        <f t="shared" si="6"/>
        <v>10980</v>
      </c>
      <c r="E16" s="42">
        <v>11</v>
      </c>
      <c r="F16" s="49">
        <v>3563.9</v>
      </c>
      <c r="G16" s="49">
        <v>2637.2</v>
      </c>
      <c r="H16" s="16">
        <v>2305.1</v>
      </c>
      <c r="I16" s="17">
        <f>669+1804.8</f>
        <v>2473.8</v>
      </c>
      <c r="J16" s="17">
        <v>11138.8</v>
      </c>
      <c r="K16" s="19" t="e">
        <f>J16/#REF!*100</f>
        <v>#REF!</v>
      </c>
      <c r="L16" s="19">
        <f t="shared" si="1"/>
        <v>483.22415513426745</v>
      </c>
      <c r="M16" s="39"/>
      <c r="N16" s="39"/>
      <c r="O16" s="16">
        <f t="shared" si="2"/>
        <v>450.2708383862883</v>
      </c>
      <c r="P16" s="19">
        <f t="shared" si="3"/>
        <v>101261.81818181818</v>
      </c>
      <c r="Q16" s="17">
        <f t="shared" si="4"/>
        <v>101.44626593806922</v>
      </c>
      <c r="R16" s="17">
        <f t="shared" si="5"/>
        <v>218.0401675605841</v>
      </c>
      <c r="S16" s="16">
        <v>8700.4</v>
      </c>
      <c r="T16" s="16">
        <v>4251.8</v>
      </c>
    </row>
    <row r="17" spans="1:20" ht="12.75">
      <c r="A17" s="28" t="s">
        <v>41</v>
      </c>
      <c r="B17" s="26" t="s">
        <v>42</v>
      </c>
      <c r="C17" s="49">
        <v>14127.1</v>
      </c>
      <c r="D17" s="42">
        <f t="shared" si="6"/>
        <v>20077.1</v>
      </c>
      <c r="E17" s="42">
        <f t="shared" si="7"/>
        <v>15878.6</v>
      </c>
      <c r="F17" s="49">
        <v>3424</v>
      </c>
      <c r="G17" s="49">
        <v>6135.2</v>
      </c>
      <c r="H17" s="16">
        <v>6319.4</v>
      </c>
      <c r="I17" s="17">
        <f>3648.9+549.6</f>
        <v>4198.5</v>
      </c>
      <c r="J17" s="17">
        <v>18629.1</v>
      </c>
      <c r="K17" s="19" t="e">
        <f>J17/#REF!*100</f>
        <v>#REF!</v>
      </c>
      <c r="L17" s="19">
        <f t="shared" si="1"/>
        <v>294.79222711016865</v>
      </c>
      <c r="M17" s="39"/>
      <c r="N17" s="39"/>
      <c r="O17" s="16">
        <f t="shared" si="2"/>
        <v>443.7084673097534</v>
      </c>
      <c r="P17" s="19">
        <f t="shared" si="3"/>
        <v>117.32205610066377</v>
      </c>
      <c r="Q17" s="17">
        <f t="shared" si="4"/>
        <v>92.78780301936037</v>
      </c>
      <c r="R17" s="17">
        <f t="shared" si="5"/>
        <v>131.86782849983362</v>
      </c>
      <c r="S17" s="16">
        <v>16880.2</v>
      </c>
      <c r="T17" s="16">
        <v>14097.8</v>
      </c>
    </row>
    <row r="18" spans="1:20" ht="12.75">
      <c r="A18" s="28" t="s">
        <v>18</v>
      </c>
      <c r="B18" s="26" t="s">
        <v>15</v>
      </c>
      <c r="C18" s="49">
        <v>13419</v>
      </c>
      <c r="D18" s="42">
        <f t="shared" si="6"/>
        <v>90616</v>
      </c>
      <c r="E18" s="42">
        <f t="shared" si="7"/>
        <v>20954</v>
      </c>
      <c r="F18" s="49">
        <v>5202.7</v>
      </c>
      <c r="G18" s="49">
        <v>5336.7</v>
      </c>
      <c r="H18" s="16">
        <v>10414.6</v>
      </c>
      <c r="I18" s="17">
        <f>25812+43850</f>
        <v>69662</v>
      </c>
      <c r="J18" s="17">
        <v>85091</v>
      </c>
      <c r="K18" s="19" t="e">
        <f>J18/#REF!*100</f>
        <v>#REF!</v>
      </c>
      <c r="L18" s="19">
        <f t="shared" si="1"/>
        <v>817.0356998828566</v>
      </c>
      <c r="M18" s="39"/>
      <c r="N18" s="39"/>
      <c r="O18" s="16">
        <f t="shared" si="2"/>
        <v>122.14837357526342</v>
      </c>
      <c r="P18" s="19">
        <f t="shared" si="3"/>
        <v>406.0847570869524</v>
      </c>
      <c r="Q18" s="17">
        <f t="shared" si="4"/>
        <v>93.9028427650746</v>
      </c>
      <c r="R18" s="17">
        <f t="shared" si="5"/>
        <v>634.1083538266637</v>
      </c>
      <c r="S18" s="16">
        <v>32756</v>
      </c>
      <c r="T18" s="16">
        <f>16903.5</f>
        <v>16903.5</v>
      </c>
    </row>
    <row r="19" spans="1:20" ht="12.75">
      <c r="A19" s="28" t="s">
        <v>47</v>
      </c>
      <c r="B19" s="26" t="s">
        <v>48</v>
      </c>
      <c r="C19" s="49">
        <v>6</v>
      </c>
      <c r="D19" s="42">
        <f t="shared" si="6"/>
        <v>11.2</v>
      </c>
      <c r="E19" s="42">
        <f t="shared" si="7"/>
        <v>9</v>
      </c>
      <c r="F19" s="49">
        <v>6</v>
      </c>
      <c r="G19" s="49">
        <v>3</v>
      </c>
      <c r="H19" s="16">
        <v>0</v>
      </c>
      <c r="I19" s="17">
        <v>2.2</v>
      </c>
      <c r="J19" s="17">
        <v>11.2</v>
      </c>
      <c r="K19" s="19" t="e">
        <f>J19/#REF!*100</f>
        <v>#REF!</v>
      </c>
      <c r="L19" s="19" t="e">
        <f t="shared" si="1"/>
        <v>#DIV/0!</v>
      </c>
      <c r="M19" s="39"/>
      <c r="N19" s="39"/>
      <c r="O19" s="16">
        <f t="shared" si="2"/>
        <v>509.09090909090907</v>
      </c>
      <c r="P19" s="19">
        <f t="shared" si="3"/>
        <v>124.44444444444444</v>
      </c>
      <c r="Q19" s="17">
        <f t="shared" si="4"/>
        <v>100</v>
      </c>
      <c r="R19" s="17">
        <f t="shared" si="5"/>
        <v>186.66666666666666</v>
      </c>
      <c r="S19" s="16">
        <v>9</v>
      </c>
      <c r="T19" s="16">
        <v>6</v>
      </c>
    </row>
    <row r="20" spans="1:20" ht="12.75">
      <c r="A20" s="20" t="s">
        <v>12</v>
      </c>
      <c r="B20" s="26" t="s">
        <v>7</v>
      </c>
      <c r="C20" s="49">
        <v>4453.7</v>
      </c>
      <c r="D20" s="42">
        <f t="shared" si="6"/>
        <v>19194.8</v>
      </c>
      <c r="E20" s="42">
        <f t="shared" si="7"/>
        <v>15932.599999999999</v>
      </c>
      <c r="F20" s="49">
        <v>11621.8</v>
      </c>
      <c r="G20" s="49">
        <v>2779.3</v>
      </c>
      <c r="H20" s="16">
        <v>1531.5</v>
      </c>
      <c r="I20" s="17">
        <f>1674.9+1587.3</f>
        <v>3262.2</v>
      </c>
      <c r="J20" s="17">
        <v>28036.4</v>
      </c>
      <c r="K20" s="19" t="e">
        <f>J20/#REF!*100</f>
        <v>#REF!</v>
      </c>
      <c r="L20" s="19">
        <f t="shared" si="1"/>
        <v>1830.6496898465557</v>
      </c>
      <c r="M20" s="39"/>
      <c r="N20" s="39"/>
      <c r="O20" s="16">
        <f t="shared" si="2"/>
        <v>859.4322849610693</v>
      </c>
      <c r="P20" s="19">
        <f t="shared" si="3"/>
        <v>175.96876843704106</v>
      </c>
      <c r="Q20" s="17">
        <f t="shared" si="4"/>
        <v>146.06247525371455</v>
      </c>
      <c r="R20" s="17">
        <f t="shared" si="5"/>
        <v>629.5080494869435</v>
      </c>
      <c r="S20" s="16">
        <v>16454.9</v>
      </c>
      <c r="T20" s="16">
        <v>227.7</v>
      </c>
    </row>
    <row r="21" spans="1:20" ht="12.75">
      <c r="A21" s="29" t="s">
        <v>39</v>
      </c>
      <c r="B21" s="15" t="s">
        <v>40</v>
      </c>
      <c r="C21" s="49">
        <v>0</v>
      </c>
      <c r="D21" s="42">
        <f t="shared" si="6"/>
        <v>0</v>
      </c>
      <c r="E21" s="42">
        <f t="shared" si="7"/>
        <v>0</v>
      </c>
      <c r="F21" s="49"/>
      <c r="G21" s="49"/>
      <c r="H21" s="16"/>
      <c r="I21" s="17"/>
      <c r="J21" s="17">
        <v>-148.8</v>
      </c>
      <c r="K21" s="19"/>
      <c r="L21" s="19"/>
      <c r="M21" s="39"/>
      <c r="N21" s="39"/>
      <c r="O21" s="16"/>
      <c r="P21" s="19"/>
      <c r="Q21" s="17"/>
      <c r="R21" s="17"/>
      <c r="S21" s="16"/>
      <c r="T21" s="16"/>
    </row>
    <row r="22" spans="1:20" ht="12.75">
      <c r="A22" s="23" t="s">
        <v>1</v>
      </c>
      <c r="B22" s="30" t="s">
        <v>0</v>
      </c>
      <c r="C22" s="31">
        <f aca="true" t="shared" si="8" ref="C22:I22">C23+C24+C26+C25</f>
        <v>2394102</v>
      </c>
      <c r="D22" s="31">
        <f t="shared" si="8"/>
        <v>3090487.8</v>
      </c>
      <c r="E22" s="31">
        <f t="shared" si="8"/>
        <v>2080037.7000000004</v>
      </c>
      <c r="F22" s="31">
        <f t="shared" si="8"/>
        <v>597357.8</v>
      </c>
      <c r="G22" s="31">
        <f t="shared" si="8"/>
        <v>709386.3</v>
      </c>
      <c r="H22" s="31">
        <f t="shared" si="8"/>
        <v>773293.6</v>
      </c>
      <c r="I22" s="31">
        <f t="shared" si="8"/>
        <v>1016605</v>
      </c>
      <c r="J22" s="31">
        <f>J23+J24+J26+J25+0.1</f>
        <v>2591628.9</v>
      </c>
      <c r="K22" s="25" t="e">
        <f>J22/#REF!*100</f>
        <v>#REF!</v>
      </c>
      <c r="L22" s="25">
        <f aca="true" t="shared" si="9" ref="L22:L27">J22/H22*100</f>
        <v>335.1416460707809</v>
      </c>
      <c r="M22" s="39"/>
      <c r="N22" s="39"/>
      <c r="O22" s="34">
        <f t="shared" si="2"/>
        <v>254.9297809867156</v>
      </c>
      <c r="P22" s="25">
        <f t="shared" si="3"/>
        <v>124.59528497969049</v>
      </c>
      <c r="Q22" s="22">
        <f t="shared" si="4"/>
        <v>83.8582472320389</v>
      </c>
      <c r="R22" s="22">
        <f t="shared" si="5"/>
        <v>108.25056325920951</v>
      </c>
      <c r="S22" s="31">
        <f>S23+S24+S26+S25</f>
        <v>0</v>
      </c>
      <c r="T22" s="31">
        <f>T23+T24+T26+T25</f>
        <v>0</v>
      </c>
    </row>
    <row r="23" spans="1:20" ht="22.5">
      <c r="A23" s="14" t="s">
        <v>54</v>
      </c>
      <c r="B23" s="32" t="s">
        <v>20</v>
      </c>
      <c r="C23" s="35">
        <v>2384102</v>
      </c>
      <c r="D23" s="42">
        <v>2962817.8</v>
      </c>
      <c r="E23" s="42">
        <f>F23+G23+H23</f>
        <v>2017955.7000000002</v>
      </c>
      <c r="F23" s="49">
        <v>596797.4</v>
      </c>
      <c r="G23" s="49">
        <v>708124.3</v>
      </c>
      <c r="H23" s="17">
        <v>713034</v>
      </c>
      <c r="I23" s="17">
        <f>714980.5+38.3+235998.2</f>
        <v>951017</v>
      </c>
      <c r="J23" s="17">
        <v>2461995.5</v>
      </c>
      <c r="K23" s="19" t="e">
        <f>J23/#REF!*100</f>
        <v>#REF!</v>
      </c>
      <c r="L23" s="19">
        <f t="shared" si="9"/>
        <v>345.2844464639835</v>
      </c>
      <c r="M23" s="39"/>
      <c r="N23" s="39"/>
      <c r="O23" s="16">
        <f t="shared" si="2"/>
        <v>258.8802828971512</v>
      </c>
      <c r="P23" s="19">
        <f t="shared" si="3"/>
        <v>122.0044374611395</v>
      </c>
      <c r="Q23" s="17">
        <f t="shared" si="4"/>
        <v>83.09641922631896</v>
      </c>
      <c r="R23" s="17">
        <f t="shared" si="5"/>
        <v>103.26720501052388</v>
      </c>
      <c r="S23" s="16"/>
      <c r="T23" s="16"/>
    </row>
    <row r="24" spans="1:20" ht="13.5" customHeight="1">
      <c r="A24" s="14" t="s">
        <v>2</v>
      </c>
      <c r="B24" s="33" t="s">
        <v>19</v>
      </c>
      <c r="C24" s="50">
        <v>10000</v>
      </c>
      <c r="D24" s="42">
        <f t="shared" si="6"/>
        <v>136390</v>
      </c>
      <c r="E24" s="42">
        <f>F24+G24+H24</f>
        <v>70697.6</v>
      </c>
      <c r="F24" s="50">
        <v>4813.1</v>
      </c>
      <c r="G24" s="50">
        <v>3384.5</v>
      </c>
      <c r="H24" s="17">
        <v>62500</v>
      </c>
      <c r="I24" s="17">
        <f>59352.4+6340</f>
        <v>65692.4</v>
      </c>
      <c r="J24" s="17">
        <v>138353.3</v>
      </c>
      <c r="K24" s="19" t="e">
        <f>J24/#REF!*100</f>
        <v>#REF!</v>
      </c>
      <c r="L24" s="19">
        <f t="shared" si="9"/>
        <v>221.36527999999998</v>
      </c>
      <c r="M24" s="39"/>
      <c r="N24" s="39"/>
      <c r="O24" s="16">
        <f t="shared" si="2"/>
        <v>210.6077719797115</v>
      </c>
      <c r="P24" s="19">
        <f t="shared" si="3"/>
        <v>195.69730797085046</v>
      </c>
      <c r="Q24" s="17">
        <f t="shared" si="4"/>
        <v>101.43947503482659</v>
      </c>
      <c r="R24" s="17">
        <f t="shared" si="5"/>
        <v>1383.533</v>
      </c>
      <c r="S24" s="16"/>
      <c r="T24" s="16"/>
    </row>
    <row r="25" spans="1:20" ht="40.5" customHeight="1">
      <c r="A25" s="14" t="s">
        <v>52</v>
      </c>
      <c r="B25" s="15" t="s">
        <v>51</v>
      </c>
      <c r="C25" s="49">
        <v>0</v>
      </c>
      <c r="D25" s="42">
        <f t="shared" si="6"/>
        <v>243.2</v>
      </c>
      <c r="E25" s="42">
        <f>F25+G25+H25</f>
        <v>67.8</v>
      </c>
      <c r="F25" s="49">
        <v>67.8</v>
      </c>
      <c r="G25" s="49"/>
      <c r="H25" s="17"/>
      <c r="I25" s="17">
        <v>175.4</v>
      </c>
      <c r="J25" s="17">
        <v>243.2</v>
      </c>
      <c r="K25" s="19" t="e">
        <f>J25/#REF!*100</f>
        <v>#REF!</v>
      </c>
      <c r="L25" s="19"/>
      <c r="M25" s="39"/>
      <c r="N25" s="39"/>
      <c r="O25" s="16">
        <f t="shared" si="2"/>
        <v>138.654503990878</v>
      </c>
      <c r="P25" s="19">
        <f>J25*100/E25</f>
        <v>358.7020648967552</v>
      </c>
      <c r="Q25" s="17">
        <f>J25*100/D25</f>
        <v>100</v>
      </c>
      <c r="R25" s="17"/>
      <c r="S25" s="16"/>
      <c r="T25" s="16"/>
    </row>
    <row r="26" spans="1:20" ht="24" customHeight="1">
      <c r="A26" s="14" t="s">
        <v>53</v>
      </c>
      <c r="B26" s="18" t="s">
        <v>50</v>
      </c>
      <c r="C26" s="60">
        <v>0</v>
      </c>
      <c r="D26" s="42">
        <f t="shared" si="6"/>
        <v>-8963.199999999999</v>
      </c>
      <c r="E26" s="42">
        <f>F26+G26+H26</f>
        <v>-8683.4</v>
      </c>
      <c r="F26" s="60">
        <v>-4320.5</v>
      </c>
      <c r="G26" s="60">
        <v>-2122.5</v>
      </c>
      <c r="H26" s="17">
        <v>-2240.4</v>
      </c>
      <c r="I26" s="17">
        <v>-279.8</v>
      </c>
      <c r="J26" s="17">
        <v>-8963.2</v>
      </c>
      <c r="K26" s="19" t="e">
        <f>J26/#REF!*100</f>
        <v>#REF!</v>
      </c>
      <c r="L26" s="19"/>
      <c r="M26" s="39"/>
      <c r="N26" s="39"/>
      <c r="O26" s="16">
        <f t="shared" si="2"/>
        <v>3203.431022158685</v>
      </c>
      <c r="P26" s="19">
        <f>J26*100/E26</f>
        <v>103.22224013635214</v>
      </c>
      <c r="Q26" s="17">
        <f>J26*100/D26</f>
        <v>100.00000000000003</v>
      </c>
      <c r="R26" s="17"/>
      <c r="S26" s="16"/>
      <c r="T26" s="16"/>
    </row>
    <row r="27" spans="1:20" ht="12.75">
      <c r="A27" s="20"/>
      <c r="B27" s="21" t="s">
        <v>4</v>
      </c>
      <c r="C27" s="22">
        <f aca="true" t="shared" si="10" ref="C27:J27">C22+C8</f>
        <v>3160651.4</v>
      </c>
      <c r="D27" s="22">
        <f t="shared" si="10"/>
        <v>4031613.3</v>
      </c>
      <c r="E27" s="22">
        <f t="shared" si="10"/>
        <v>2674342.7</v>
      </c>
      <c r="F27" s="22">
        <f t="shared" si="10"/>
        <v>816929.4</v>
      </c>
      <c r="G27" s="22">
        <f t="shared" si="10"/>
        <v>944662.5</v>
      </c>
      <c r="H27" s="22">
        <f t="shared" si="10"/>
        <v>963340.2</v>
      </c>
      <c r="I27" s="22">
        <f t="shared" si="10"/>
        <v>1312836.1</v>
      </c>
      <c r="J27" s="22">
        <f t="shared" si="10"/>
        <v>3497726.9</v>
      </c>
      <c r="K27" s="25" t="e">
        <f>J27/#REF!*100</f>
        <v>#REF!</v>
      </c>
      <c r="L27" s="25">
        <f t="shared" si="9"/>
        <v>363.0832493027905</v>
      </c>
      <c r="M27" s="39"/>
      <c r="N27" s="40" t="e">
        <f>I27+#REF!+#REF!</f>
        <v>#REF!</v>
      </c>
      <c r="O27" s="34">
        <f t="shared" si="2"/>
        <v>266.42525293142074</v>
      </c>
      <c r="P27" s="25">
        <f t="shared" si="3"/>
        <v>130.7882830424089</v>
      </c>
      <c r="Q27" s="22">
        <f t="shared" si="4"/>
        <v>86.75749978302731</v>
      </c>
      <c r="R27" s="22">
        <f t="shared" si="5"/>
        <v>110.66474777952419</v>
      </c>
      <c r="S27" s="34">
        <f>S22+S8</f>
        <v>836259.8999999999</v>
      </c>
      <c r="T27" s="34">
        <f>T22+T8</f>
        <v>725891.4000000001</v>
      </c>
    </row>
    <row r="28" spans="1:20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  <c r="M28" s="39"/>
      <c r="N28" s="39"/>
      <c r="O28" s="38"/>
      <c r="P28" s="25"/>
      <c r="Q28" s="22"/>
      <c r="R28" s="17"/>
      <c r="S28" s="16"/>
      <c r="T28" s="16"/>
    </row>
    <row r="29" spans="1:20" ht="12.75">
      <c r="A29" s="69" t="s">
        <v>25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16"/>
      <c r="T29" s="16"/>
    </row>
    <row r="30" spans="1:20" ht="12.75">
      <c r="A30" s="23" t="s">
        <v>3</v>
      </c>
      <c r="B30" s="24" t="s">
        <v>55</v>
      </c>
      <c r="C30" s="25">
        <f>C31+C33+C35+C37+C34+C36+C39+C32</f>
        <v>17496.5</v>
      </c>
      <c r="D30" s="25">
        <f>D31+D33+D35+D37+D34+D36+D39+D32+D38</f>
        <v>17890.399999999998</v>
      </c>
      <c r="E30" s="25">
        <f aca="true" t="shared" si="11" ref="E30:J30">E31+E33+E35+E37+E34+E36+E39+E32+E38</f>
        <v>13266</v>
      </c>
      <c r="F30" s="25">
        <f t="shared" si="11"/>
        <v>4517.4</v>
      </c>
      <c r="G30" s="25">
        <f t="shared" si="11"/>
        <v>4374.3</v>
      </c>
      <c r="H30" s="25">
        <f t="shared" si="11"/>
        <v>4374.3</v>
      </c>
      <c r="I30" s="25">
        <f t="shared" si="11"/>
        <v>4624.400000000001</v>
      </c>
      <c r="J30" s="25">
        <f t="shared" si="11"/>
        <v>17755.6</v>
      </c>
      <c r="K30" s="25" t="e">
        <f>J30/#REF!*100</f>
        <v>#REF!</v>
      </c>
      <c r="L30" s="25">
        <f aca="true" t="shared" si="12" ref="L30:L38">J30/H30*100</f>
        <v>405.90723087122507</v>
      </c>
      <c r="M30" s="39"/>
      <c r="N30" s="39"/>
      <c r="O30" s="25">
        <f t="shared" si="2"/>
        <v>383.9546752011071</v>
      </c>
      <c r="P30" s="25">
        <f t="shared" si="3"/>
        <v>133.84290667872756</v>
      </c>
      <c r="Q30" s="22">
        <f t="shared" si="4"/>
        <v>99.24652327505254</v>
      </c>
      <c r="R30" s="22">
        <f t="shared" si="5"/>
        <v>101.48086760209183</v>
      </c>
      <c r="S30" s="34">
        <f>S31+S33+S35+S37+S34+S36+S39+S32+S38</f>
        <v>18657</v>
      </c>
      <c r="T30" s="34">
        <f>T31+T33+T35+T37+T34+T36+T39+T32+T38</f>
        <v>18979.500000000004</v>
      </c>
    </row>
    <row r="31" spans="1:20" ht="12.75">
      <c r="A31" s="12" t="s">
        <v>23</v>
      </c>
      <c r="B31" s="58" t="s">
        <v>22</v>
      </c>
      <c r="C31" s="42">
        <v>13130</v>
      </c>
      <c r="D31" s="49">
        <f aca="true" t="shared" si="13" ref="D31:D38">F31+G31+H31+I31</f>
        <v>13130</v>
      </c>
      <c r="E31" s="42">
        <f>F31+G31+H31</f>
        <v>9847.5</v>
      </c>
      <c r="F31" s="42">
        <v>3282.5</v>
      </c>
      <c r="G31" s="42">
        <v>3282.5</v>
      </c>
      <c r="H31" s="16">
        <v>3282.5</v>
      </c>
      <c r="I31" s="17">
        <v>3282.5</v>
      </c>
      <c r="J31" s="59">
        <v>12862.8</v>
      </c>
      <c r="K31" s="19" t="e">
        <f>J31/#REF!*100</f>
        <v>#REF!</v>
      </c>
      <c r="L31" s="19">
        <f t="shared" si="12"/>
        <v>391.85986290936785</v>
      </c>
      <c r="M31" s="39"/>
      <c r="N31" s="39"/>
      <c r="O31" s="16">
        <f t="shared" si="2"/>
        <v>391.85986290936785</v>
      </c>
      <c r="P31" s="19">
        <f>J31*100/E31</f>
        <v>130.61995430312263</v>
      </c>
      <c r="Q31" s="17">
        <f t="shared" si="4"/>
        <v>97.96496572734196</v>
      </c>
      <c r="R31" s="17">
        <f t="shared" si="5"/>
        <v>97.96496572734196</v>
      </c>
      <c r="S31" s="16">
        <v>13500</v>
      </c>
      <c r="T31" s="16">
        <v>13550</v>
      </c>
    </row>
    <row r="32" spans="1:20" ht="12.75">
      <c r="A32" s="12" t="s">
        <v>57</v>
      </c>
      <c r="B32" s="26" t="s">
        <v>58</v>
      </c>
      <c r="C32" s="49">
        <v>1279.5</v>
      </c>
      <c r="D32" s="49">
        <f t="shared" si="13"/>
        <v>1279.5</v>
      </c>
      <c r="E32" s="42">
        <f aca="true" t="shared" si="14" ref="E32:E39">F32+G32+H32</f>
        <v>960</v>
      </c>
      <c r="F32" s="42">
        <v>320</v>
      </c>
      <c r="G32" s="42">
        <v>320</v>
      </c>
      <c r="H32" s="16">
        <v>320</v>
      </c>
      <c r="I32" s="17">
        <v>319.5</v>
      </c>
      <c r="J32" s="59">
        <v>1364.6</v>
      </c>
      <c r="K32" s="19"/>
      <c r="L32" s="19"/>
      <c r="M32" s="39"/>
      <c r="N32" s="39"/>
      <c r="O32" s="16"/>
      <c r="P32" s="19">
        <f>J32*100/E32</f>
        <v>142.14583333333334</v>
      </c>
      <c r="Q32" s="17">
        <f>J32*100/D32</f>
        <v>106.65103556076592</v>
      </c>
      <c r="R32" s="17">
        <f t="shared" si="5"/>
        <v>106.65103556076592</v>
      </c>
      <c r="S32" s="16">
        <v>1388</v>
      </c>
      <c r="T32" s="16">
        <v>1549.2</v>
      </c>
    </row>
    <row r="33" spans="1:20" ht="12.75">
      <c r="A33" s="12" t="s">
        <v>9</v>
      </c>
      <c r="B33" s="26" t="s">
        <v>6</v>
      </c>
      <c r="C33" s="49">
        <v>622</v>
      </c>
      <c r="D33" s="49">
        <f t="shared" si="13"/>
        <v>622</v>
      </c>
      <c r="E33" s="42">
        <f t="shared" si="14"/>
        <v>466.5</v>
      </c>
      <c r="F33" s="49">
        <v>155.5</v>
      </c>
      <c r="G33" s="49">
        <v>155.5</v>
      </c>
      <c r="H33" s="16">
        <v>155.5</v>
      </c>
      <c r="I33" s="17">
        <v>155.5</v>
      </c>
      <c r="J33" s="17">
        <v>868</v>
      </c>
      <c r="K33" s="19" t="e">
        <f>J33/#REF!*100</f>
        <v>#REF!</v>
      </c>
      <c r="L33" s="19">
        <f t="shared" si="12"/>
        <v>558.1993569131834</v>
      </c>
      <c r="M33" s="39"/>
      <c r="N33" s="39"/>
      <c r="O33" s="16">
        <f t="shared" si="2"/>
        <v>558.1993569131832</v>
      </c>
      <c r="P33" s="19">
        <f t="shared" si="3"/>
        <v>186.06645230439443</v>
      </c>
      <c r="Q33" s="17">
        <f t="shared" si="4"/>
        <v>139.5498392282958</v>
      </c>
      <c r="R33" s="17">
        <f t="shared" si="5"/>
        <v>139.5498392282958</v>
      </c>
      <c r="S33" s="16">
        <f>390+490</f>
        <v>880</v>
      </c>
      <c r="T33" s="16">
        <f>400+500</f>
        <v>900</v>
      </c>
    </row>
    <row r="34" spans="1:20" ht="12.75">
      <c r="A34" s="12" t="s">
        <v>10</v>
      </c>
      <c r="B34" s="26" t="s">
        <v>21</v>
      </c>
      <c r="C34" s="49">
        <v>24</v>
      </c>
      <c r="D34" s="49">
        <f t="shared" si="13"/>
        <v>24</v>
      </c>
      <c r="E34" s="42">
        <f t="shared" si="14"/>
        <v>18</v>
      </c>
      <c r="F34" s="49">
        <v>6</v>
      </c>
      <c r="G34" s="49">
        <v>6</v>
      </c>
      <c r="H34" s="16">
        <v>6</v>
      </c>
      <c r="I34" s="17">
        <v>6</v>
      </c>
      <c r="J34" s="17">
        <v>17.3</v>
      </c>
      <c r="K34" s="19" t="e">
        <f>J34/#REF!*100</f>
        <v>#REF!</v>
      </c>
      <c r="L34" s="19">
        <f t="shared" si="12"/>
        <v>288.3333333333333</v>
      </c>
      <c r="M34" s="39"/>
      <c r="N34" s="39"/>
      <c r="O34" s="16">
        <f t="shared" si="2"/>
        <v>288.3333333333333</v>
      </c>
      <c r="P34" s="19">
        <f t="shared" si="3"/>
        <v>96.11111111111111</v>
      </c>
      <c r="Q34" s="17">
        <f t="shared" si="4"/>
        <v>72.08333333333333</v>
      </c>
      <c r="R34" s="17">
        <f t="shared" si="5"/>
        <v>72.08333333333333</v>
      </c>
      <c r="S34" s="16">
        <v>24</v>
      </c>
      <c r="T34" s="16">
        <v>24.7</v>
      </c>
    </row>
    <row r="35" spans="1:20" ht="22.5">
      <c r="A35" s="13" t="s">
        <v>11</v>
      </c>
      <c r="B35" s="26" t="s">
        <v>17</v>
      </c>
      <c r="C35" s="49">
        <v>1757.5</v>
      </c>
      <c r="D35" s="49">
        <f t="shared" si="13"/>
        <v>1893.6</v>
      </c>
      <c r="E35" s="42">
        <f t="shared" si="14"/>
        <v>1334.3</v>
      </c>
      <c r="F35" s="49">
        <f>439.4+16.1</f>
        <v>455.5</v>
      </c>
      <c r="G35" s="49">
        <v>439.4</v>
      </c>
      <c r="H35" s="16">
        <v>439.4</v>
      </c>
      <c r="I35" s="17">
        <f>439.3+120</f>
        <v>559.3</v>
      </c>
      <c r="J35" s="17">
        <v>1528.5</v>
      </c>
      <c r="K35" s="19" t="e">
        <f>J35/#REF!*100</f>
        <v>#REF!</v>
      </c>
      <c r="L35" s="19">
        <f t="shared" si="12"/>
        <v>347.8607191624943</v>
      </c>
      <c r="M35" s="39"/>
      <c r="N35" s="39"/>
      <c r="O35" s="16">
        <f t="shared" si="2"/>
        <v>273.28803861970323</v>
      </c>
      <c r="P35" s="19">
        <f t="shared" si="3"/>
        <v>114.55444802518174</v>
      </c>
      <c r="Q35" s="17">
        <f t="shared" si="4"/>
        <v>80.7192648922687</v>
      </c>
      <c r="R35" s="17">
        <f t="shared" si="5"/>
        <v>86.9701280227596</v>
      </c>
      <c r="S35" s="16">
        <v>1868.1</v>
      </c>
      <c r="T35" s="16">
        <v>2015.2</v>
      </c>
    </row>
    <row r="36" spans="1:20" ht="15" customHeight="1">
      <c r="A36" s="28" t="s">
        <v>41</v>
      </c>
      <c r="B36" s="26" t="s">
        <v>42</v>
      </c>
      <c r="C36" s="49">
        <v>616</v>
      </c>
      <c r="D36" s="49">
        <f t="shared" si="13"/>
        <v>783</v>
      </c>
      <c r="E36" s="42">
        <f t="shared" si="14"/>
        <v>589</v>
      </c>
      <c r="F36" s="49">
        <f>154+127</f>
        <v>281</v>
      </c>
      <c r="G36" s="49">
        <v>154</v>
      </c>
      <c r="H36" s="16">
        <v>154</v>
      </c>
      <c r="I36" s="17">
        <f>154+40</f>
        <v>194</v>
      </c>
      <c r="J36" s="17">
        <v>927.7</v>
      </c>
      <c r="K36" s="19"/>
      <c r="L36" s="19">
        <f t="shared" si="12"/>
        <v>602.4025974025974</v>
      </c>
      <c r="M36" s="39"/>
      <c r="N36" s="39"/>
      <c r="O36" s="16">
        <f t="shared" si="2"/>
        <v>478.1958762886598</v>
      </c>
      <c r="P36" s="19">
        <f t="shared" si="3"/>
        <v>157.50424448217316</v>
      </c>
      <c r="Q36" s="17">
        <f t="shared" si="4"/>
        <v>118.48020434227331</v>
      </c>
      <c r="R36" s="17">
        <f t="shared" si="5"/>
        <v>150.60064935064935</v>
      </c>
      <c r="S36" s="16">
        <v>858.9</v>
      </c>
      <c r="T36" s="16">
        <v>755.9</v>
      </c>
    </row>
    <row r="37" spans="1:20" ht="14.25" customHeight="1">
      <c r="A37" s="27" t="s">
        <v>18</v>
      </c>
      <c r="B37" s="26" t="s">
        <v>15</v>
      </c>
      <c r="C37" s="49">
        <v>67.5</v>
      </c>
      <c r="D37" s="49">
        <f t="shared" si="13"/>
        <v>135.5</v>
      </c>
      <c r="E37" s="42">
        <f t="shared" si="14"/>
        <v>50.699999999999996</v>
      </c>
      <c r="F37" s="49">
        <v>16.9</v>
      </c>
      <c r="G37" s="49">
        <v>16.9</v>
      </c>
      <c r="H37" s="16">
        <v>16.9</v>
      </c>
      <c r="I37" s="17">
        <f>16.8+68</f>
        <v>84.8</v>
      </c>
      <c r="J37" s="17">
        <v>163.8</v>
      </c>
      <c r="K37" s="19" t="e">
        <f>J37/#REF!*100</f>
        <v>#REF!</v>
      </c>
      <c r="L37" s="19">
        <f t="shared" si="12"/>
        <v>969.2307692307693</v>
      </c>
      <c r="M37" s="39"/>
      <c r="N37" s="39"/>
      <c r="O37" s="16">
        <f t="shared" si="2"/>
        <v>193.1603773584906</v>
      </c>
      <c r="P37" s="19">
        <f t="shared" si="3"/>
        <v>323.07692307692315</v>
      </c>
      <c r="Q37" s="17">
        <f t="shared" si="4"/>
        <v>120.88560885608858</v>
      </c>
      <c r="R37" s="17">
        <f t="shared" si="5"/>
        <v>242.66666666666669</v>
      </c>
      <c r="S37" s="16">
        <v>138</v>
      </c>
      <c r="T37" s="16">
        <v>184.5</v>
      </c>
    </row>
    <row r="38" spans="1:20" ht="14.25" customHeight="1">
      <c r="A38" s="20" t="s">
        <v>12</v>
      </c>
      <c r="B38" s="26" t="s">
        <v>7</v>
      </c>
      <c r="C38" s="61"/>
      <c r="D38" s="49">
        <f t="shared" si="13"/>
        <v>22.8</v>
      </c>
      <c r="E38" s="42">
        <f t="shared" si="14"/>
        <v>0</v>
      </c>
      <c r="F38" s="49">
        <v>0</v>
      </c>
      <c r="G38" s="49">
        <v>0</v>
      </c>
      <c r="H38" s="16">
        <v>0</v>
      </c>
      <c r="I38" s="17">
        <v>22.8</v>
      </c>
      <c r="J38" s="17">
        <v>22.8</v>
      </c>
      <c r="K38" s="19"/>
      <c r="L38" s="19" t="e">
        <f t="shared" si="12"/>
        <v>#DIV/0!</v>
      </c>
      <c r="M38" s="39"/>
      <c r="N38" s="39"/>
      <c r="O38" s="16"/>
      <c r="P38" s="19" t="e">
        <f t="shared" si="3"/>
        <v>#DIV/0!</v>
      </c>
      <c r="Q38" s="17">
        <f t="shared" si="4"/>
        <v>100</v>
      </c>
      <c r="R38" s="17"/>
      <c r="S38" s="16"/>
      <c r="T38" s="16"/>
    </row>
    <row r="39" spans="1:20" ht="15.75" customHeight="1">
      <c r="A39" s="29" t="s">
        <v>39</v>
      </c>
      <c r="B39" s="15" t="s">
        <v>40</v>
      </c>
      <c r="C39" s="61"/>
      <c r="D39" s="26"/>
      <c r="E39" s="42">
        <f t="shared" si="14"/>
        <v>0</v>
      </c>
      <c r="F39" s="49"/>
      <c r="G39" s="49"/>
      <c r="H39" s="16"/>
      <c r="I39" s="17"/>
      <c r="J39" s="17">
        <v>0.1</v>
      </c>
      <c r="K39" s="19"/>
      <c r="L39" s="19"/>
      <c r="M39" s="39"/>
      <c r="N39" s="39"/>
      <c r="O39" s="16" t="e">
        <f t="shared" si="2"/>
        <v>#DIV/0!</v>
      </c>
      <c r="P39" s="25"/>
      <c r="Q39" s="22"/>
      <c r="R39" s="17"/>
      <c r="S39" s="16"/>
      <c r="T39" s="16"/>
    </row>
    <row r="40" spans="1:20" ht="12.75">
      <c r="A40" s="23" t="s">
        <v>1</v>
      </c>
      <c r="B40" s="30" t="s">
        <v>0</v>
      </c>
      <c r="C40" s="31">
        <f>C41+C42</f>
        <v>14293.3</v>
      </c>
      <c r="D40" s="31">
        <f>D41+D42</f>
        <v>22137.2</v>
      </c>
      <c r="E40" s="31">
        <f aca="true" t="shared" si="15" ref="E40:J40">E41+E42</f>
        <v>20005.9</v>
      </c>
      <c r="F40" s="31">
        <f t="shared" si="15"/>
        <v>8298.400000000001</v>
      </c>
      <c r="G40" s="31">
        <f t="shared" si="15"/>
        <v>6337.9</v>
      </c>
      <c r="H40" s="31">
        <f t="shared" si="15"/>
        <v>5369.6</v>
      </c>
      <c r="I40" s="31">
        <f t="shared" si="15"/>
        <v>2125.9</v>
      </c>
      <c r="J40" s="31">
        <f t="shared" si="15"/>
        <v>16311.6</v>
      </c>
      <c r="K40" s="31" t="e">
        <f>K41</f>
        <v>#REF!</v>
      </c>
      <c r="L40" s="25">
        <f>J40/H40*100</f>
        <v>303.7768176400477</v>
      </c>
      <c r="M40" s="39"/>
      <c r="N40" s="39"/>
      <c r="O40" s="34">
        <f t="shared" si="2"/>
        <v>767.2797403452655</v>
      </c>
      <c r="P40" s="25">
        <f t="shared" si="3"/>
        <v>81.53394748549178</v>
      </c>
      <c r="Q40" s="22">
        <f t="shared" si="4"/>
        <v>73.68411542561842</v>
      </c>
      <c r="R40" s="22">
        <f t="shared" si="5"/>
        <v>114.12060196035905</v>
      </c>
      <c r="S40" s="31">
        <f>S41+S42</f>
        <v>0</v>
      </c>
      <c r="T40" s="31">
        <f>T41+T42</f>
        <v>0</v>
      </c>
    </row>
    <row r="41" spans="1:20" ht="22.5">
      <c r="A41" s="14" t="s">
        <v>54</v>
      </c>
      <c r="B41" s="32" t="s">
        <v>20</v>
      </c>
      <c r="C41" s="35">
        <v>14293.3</v>
      </c>
      <c r="D41" s="49">
        <v>22205</v>
      </c>
      <c r="E41" s="42">
        <f>F41+G41+H41</f>
        <v>20073.7</v>
      </c>
      <c r="F41" s="35">
        <f>8355.1+11.1</f>
        <v>8366.2</v>
      </c>
      <c r="G41" s="35">
        <v>6337.9</v>
      </c>
      <c r="H41" s="16">
        <v>5369.6</v>
      </c>
      <c r="I41" s="35">
        <f>3861.8-1735.9</f>
        <v>2125.9</v>
      </c>
      <c r="J41" s="17">
        <v>16379.4</v>
      </c>
      <c r="K41" s="19" t="e">
        <f>J41/#REF!*100</f>
        <v>#REF!</v>
      </c>
      <c r="L41" s="19">
        <f>J41/H41*100</f>
        <v>305.0394815256257</v>
      </c>
      <c r="M41" s="39"/>
      <c r="N41" s="39"/>
      <c r="O41" s="16">
        <f t="shared" si="2"/>
        <v>770.4689778446775</v>
      </c>
      <c r="P41" s="19">
        <f t="shared" si="3"/>
        <v>81.59631756975544</v>
      </c>
      <c r="Q41" s="17">
        <f t="shared" si="4"/>
        <v>73.76446746228326</v>
      </c>
      <c r="R41" s="17">
        <f t="shared" si="5"/>
        <v>114.59495008150672</v>
      </c>
      <c r="S41" s="16"/>
      <c r="T41" s="16"/>
    </row>
    <row r="42" spans="1:20" ht="23.25" customHeight="1">
      <c r="A42" s="14" t="s">
        <v>53</v>
      </c>
      <c r="B42" s="18" t="s">
        <v>50</v>
      </c>
      <c r="C42" s="60">
        <v>0</v>
      </c>
      <c r="D42" s="49">
        <f>F42+G42+H42+I42</f>
        <v>-67.8</v>
      </c>
      <c r="E42" s="42">
        <f>F42+G42+H42</f>
        <v>-67.8</v>
      </c>
      <c r="F42" s="35">
        <v>-67.8</v>
      </c>
      <c r="G42" s="35"/>
      <c r="H42" s="16"/>
      <c r="I42" s="35"/>
      <c r="J42" s="17">
        <v>-67.8</v>
      </c>
      <c r="K42" s="19"/>
      <c r="L42" s="19"/>
      <c r="M42" s="39"/>
      <c r="N42" s="39"/>
      <c r="O42" s="16"/>
      <c r="P42" s="19">
        <f t="shared" si="3"/>
        <v>100</v>
      </c>
      <c r="Q42" s="17">
        <f t="shared" si="4"/>
        <v>100</v>
      </c>
      <c r="R42" s="17"/>
      <c r="S42" s="16"/>
      <c r="T42" s="16"/>
    </row>
    <row r="43" spans="1:20" ht="12.75">
      <c r="A43" s="20"/>
      <c r="B43" s="21" t="s">
        <v>4</v>
      </c>
      <c r="C43" s="22">
        <f aca="true" t="shared" si="16" ref="C43:I43">C40+C30</f>
        <v>31789.8</v>
      </c>
      <c r="D43" s="22">
        <f t="shared" si="16"/>
        <v>40027.6</v>
      </c>
      <c r="E43" s="22">
        <f t="shared" si="16"/>
        <v>33271.9</v>
      </c>
      <c r="F43" s="22">
        <f t="shared" si="16"/>
        <v>12815.800000000001</v>
      </c>
      <c r="G43" s="22">
        <f t="shared" si="16"/>
        <v>10712.2</v>
      </c>
      <c r="H43" s="22">
        <f t="shared" si="16"/>
        <v>9743.900000000001</v>
      </c>
      <c r="I43" s="22">
        <f t="shared" si="16"/>
        <v>6750.300000000001</v>
      </c>
      <c r="J43" s="22">
        <f>J40+J30</f>
        <v>34067.2</v>
      </c>
      <c r="K43" s="25" t="e">
        <f>J43/#REF!*100</f>
        <v>#REF!</v>
      </c>
      <c r="L43" s="25">
        <f>J43/H43*100</f>
        <v>349.6259198062377</v>
      </c>
      <c r="M43" s="39"/>
      <c r="N43" s="40" t="e">
        <f>I43+#REF!+#REF!</f>
        <v>#REF!</v>
      </c>
      <c r="O43" s="34">
        <f t="shared" si="2"/>
        <v>504.6768291779623</v>
      </c>
      <c r="P43" s="25">
        <f t="shared" si="3"/>
        <v>102.3903053327282</v>
      </c>
      <c r="Q43" s="22">
        <f t="shared" si="4"/>
        <v>85.10927460052562</v>
      </c>
      <c r="R43" s="22">
        <f t="shared" si="5"/>
        <v>107.16393308545507</v>
      </c>
      <c r="S43" s="34">
        <f>S40+S30</f>
        <v>18657</v>
      </c>
      <c r="T43" s="34">
        <f>T40+T30</f>
        <v>18979.500000000004</v>
      </c>
    </row>
    <row r="44" spans="1:20" ht="12.75">
      <c r="A44" s="6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39"/>
      <c r="N44" s="39"/>
      <c r="O44" s="38"/>
      <c r="P44" s="25"/>
      <c r="Q44" s="22"/>
      <c r="R44" s="17"/>
      <c r="S44" s="16"/>
      <c r="T44" s="16"/>
    </row>
    <row r="45" spans="1:20" ht="12.75">
      <c r="A45" s="69" t="s">
        <v>26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16"/>
      <c r="T45" s="16"/>
    </row>
    <row r="46" spans="1:20" ht="12.75">
      <c r="A46" s="23" t="s">
        <v>3</v>
      </c>
      <c r="B46" s="24" t="s">
        <v>55</v>
      </c>
      <c r="C46" s="25">
        <f>C47+C50+C52+C54+C55+C56+C51+C49+C48+C53</f>
        <v>17783.1</v>
      </c>
      <c r="D46" s="25">
        <f>D47+D50+D52+D54+D55+D56+D51+D49+D48+D53</f>
        <v>18028.6</v>
      </c>
      <c r="E46" s="25">
        <f aca="true" t="shared" si="17" ref="E46:J46">E47+E50+E52+E54+E55+E56+E51+E49+E48+E53</f>
        <v>13165.699999999999</v>
      </c>
      <c r="F46" s="25">
        <f t="shared" si="17"/>
        <v>4352.599999999999</v>
      </c>
      <c r="G46" s="25">
        <f t="shared" si="17"/>
        <v>4276.299999999999</v>
      </c>
      <c r="H46" s="25">
        <f t="shared" si="17"/>
        <v>4536.8</v>
      </c>
      <c r="I46" s="25">
        <f t="shared" si="17"/>
        <v>4862.9</v>
      </c>
      <c r="J46" s="25">
        <f t="shared" si="17"/>
        <v>18780.899999999998</v>
      </c>
      <c r="K46" s="25" t="e">
        <f>J46/#REF!*100</f>
        <v>#REF!</v>
      </c>
      <c r="L46" s="25">
        <f>J46/H46*100</f>
        <v>413.96799506259913</v>
      </c>
      <c r="M46" s="39"/>
      <c r="N46" s="39"/>
      <c r="O46" s="25">
        <f t="shared" si="2"/>
        <v>386.207818379979</v>
      </c>
      <c r="P46" s="25">
        <f t="shared" si="3"/>
        <v>142.6502198895615</v>
      </c>
      <c r="Q46" s="22">
        <f t="shared" si="4"/>
        <v>104.17281430615799</v>
      </c>
      <c r="R46" s="22">
        <f t="shared" si="5"/>
        <v>105.61094522327377</v>
      </c>
      <c r="S46" s="34">
        <f>S47+S50+S52+S54+S55+S56+S51+S49+S48+S53</f>
        <v>19053.8</v>
      </c>
      <c r="T46" s="34">
        <f>T47+T50+T52+T54+T55+T56+T51+T49+T48+T53</f>
        <v>19673.7</v>
      </c>
    </row>
    <row r="47" spans="1:20" ht="12.75">
      <c r="A47" s="20" t="s">
        <v>23</v>
      </c>
      <c r="B47" s="58" t="s">
        <v>22</v>
      </c>
      <c r="C47" s="42">
        <v>11950</v>
      </c>
      <c r="D47" s="49">
        <f aca="true" t="shared" si="18" ref="D47:D60">F47+G47+H47+I47</f>
        <v>11950</v>
      </c>
      <c r="E47" s="42">
        <f>F47+G47+H47</f>
        <v>8846.5</v>
      </c>
      <c r="F47" s="49">
        <v>2664.1</v>
      </c>
      <c r="G47" s="49">
        <v>3091.2</v>
      </c>
      <c r="H47" s="16">
        <v>3091.2</v>
      </c>
      <c r="I47" s="17">
        <v>3103.5</v>
      </c>
      <c r="J47" s="59">
        <v>11484.6</v>
      </c>
      <c r="K47" s="19" t="e">
        <f>J47/#REF!*100</f>
        <v>#REF!</v>
      </c>
      <c r="L47" s="19">
        <f>J47/H47*100</f>
        <v>371.52562111801245</v>
      </c>
      <c r="M47" s="39"/>
      <c r="N47" s="39"/>
      <c r="O47" s="16">
        <f t="shared" si="2"/>
        <v>370.05316578057034</v>
      </c>
      <c r="P47" s="19">
        <f t="shared" si="3"/>
        <v>129.8208330978353</v>
      </c>
      <c r="Q47" s="17">
        <f t="shared" si="4"/>
        <v>96.10543933054393</v>
      </c>
      <c r="R47" s="17">
        <f t="shared" si="5"/>
        <v>96.10543933054393</v>
      </c>
      <c r="S47" s="16">
        <v>12500</v>
      </c>
      <c r="T47" s="16">
        <v>12400</v>
      </c>
    </row>
    <row r="48" spans="1:20" ht="12.75">
      <c r="A48" s="12" t="s">
        <v>57</v>
      </c>
      <c r="B48" s="26" t="s">
        <v>58</v>
      </c>
      <c r="C48" s="49">
        <v>3002.3</v>
      </c>
      <c r="D48" s="49">
        <f t="shared" si="18"/>
        <v>3002.3</v>
      </c>
      <c r="E48" s="42">
        <f aca="true" t="shared" si="19" ref="E48:E56">F48+G48+H48</f>
        <v>2225.9</v>
      </c>
      <c r="F48" s="49">
        <v>773.9</v>
      </c>
      <c r="G48" s="49">
        <v>726</v>
      </c>
      <c r="H48" s="16">
        <v>726</v>
      </c>
      <c r="I48" s="17">
        <v>776.4</v>
      </c>
      <c r="J48" s="59">
        <v>3201.9</v>
      </c>
      <c r="K48" s="19"/>
      <c r="L48" s="19"/>
      <c r="M48" s="39"/>
      <c r="N48" s="39"/>
      <c r="O48" s="16"/>
      <c r="P48" s="19">
        <f>J48*100/E48</f>
        <v>143.8474324992138</v>
      </c>
      <c r="Q48" s="17">
        <f>J48*100/D48</f>
        <v>106.64823635213003</v>
      </c>
      <c r="R48" s="17">
        <f t="shared" si="5"/>
        <v>106.64823635213003</v>
      </c>
      <c r="S48" s="16">
        <v>3256.8</v>
      </c>
      <c r="T48" s="16">
        <v>3758.4</v>
      </c>
    </row>
    <row r="49" spans="1:20" ht="12.75">
      <c r="A49" s="12" t="s">
        <v>8</v>
      </c>
      <c r="B49" s="26" t="s">
        <v>5</v>
      </c>
      <c r="C49" s="49">
        <v>13</v>
      </c>
      <c r="D49" s="49">
        <f t="shared" si="18"/>
        <v>15.3</v>
      </c>
      <c r="E49" s="42">
        <f t="shared" si="19"/>
        <v>11.3</v>
      </c>
      <c r="F49" s="49">
        <v>3</v>
      </c>
      <c r="G49" s="49">
        <v>3</v>
      </c>
      <c r="H49" s="16">
        <v>5.3</v>
      </c>
      <c r="I49" s="17">
        <v>4</v>
      </c>
      <c r="J49" s="59">
        <v>15.3</v>
      </c>
      <c r="K49" s="19" t="e">
        <f>J49/#REF!*100</f>
        <v>#REF!</v>
      </c>
      <c r="L49" s="19">
        <f>J49/H49*100</f>
        <v>288.6792452830189</v>
      </c>
      <c r="M49" s="39"/>
      <c r="N49" s="39"/>
      <c r="O49" s="16">
        <f t="shared" si="2"/>
        <v>382.5</v>
      </c>
      <c r="P49" s="19">
        <f t="shared" si="3"/>
        <v>135.39823008849558</v>
      </c>
      <c r="Q49" s="17">
        <f t="shared" si="4"/>
        <v>100</v>
      </c>
      <c r="R49" s="17">
        <f t="shared" si="5"/>
        <v>117.6923076923077</v>
      </c>
      <c r="S49" s="16">
        <v>11.2</v>
      </c>
      <c r="T49" s="16">
        <v>11</v>
      </c>
    </row>
    <row r="50" spans="1:20" ht="14.25" customHeight="1">
      <c r="A50" s="12" t="s">
        <v>9</v>
      </c>
      <c r="B50" s="26" t="s">
        <v>6</v>
      </c>
      <c r="C50" s="49">
        <v>1922.3</v>
      </c>
      <c r="D50" s="49">
        <f t="shared" si="18"/>
        <v>1992.3</v>
      </c>
      <c r="E50" s="42">
        <f t="shared" si="19"/>
        <v>1399.8</v>
      </c>
      <c r="F50" s="49">
        <v>823.8</v>
      </c>
      <c r="G50" s="49">
        <v>253</v>
      </c>
      <c r="H50" s="16">
        <v>323</v>
      </c>
      <c r="I50" s="17">
        <v>592.5</v>
      </c>
      <c r="J50" s="17">
        <v>2769.7</v>
      </c>
      <c r="K50" s="19" t="e">
        <f>J50/#REF!*100</f>
        <v>#REF!</v>
      </c>
      <c r="L50" s="19">
        <f>J50/H50*100</f>
        <v>857.4922600619194</v>
      </c>
      <c r="M50" s="39"/>
      <c r="N50" s="39"/>
      <c r="O50" s="16">
        <f t="shared" si="2"/>
        <v>467.4599156118143</v>
      </c>
      <c r="P50" s="19">
        <f t="shared" si="3"/>
        <v>197.86398056865266</v>
      </c>
      <c r="Q50" s="17">
        <f t="shared" si="4"/>
        <v>139.02022787732773</v>
      </c>
      <c r="R50" s="17">
        <f t="shared" si="5"/>
        <v>144.08260937418717</v>
      </c>
      <c r="S50" s="16">
        <f>820+1550</f>
        <v>2370</v>
      </c>
      <c r="T50" s="16">
        <f>830+1570</f>
        <v>2400</v>
      </c>
    </row>
    <row r="51" spans="1:20" ht="20.25" customHeight="1">
      <c r="A51" s="12" t="s">
        <v>10</v>
      </c>
      <c r="B51" s="26" t="s">
        <v>21</v>
      </c>
      <c r="C51" s="49"/>
      <c r="D51" s="49">
        <f t="shared" si="18"/>
        <v>0</v>
      </c>
      <c r="E51" s="42">
        <f t="shared" si="19"/>
        <v>0</v>
      </c>
      <c r="F51" s="49"/>
      <c r="G51" s="49"/>
      <c r="H51" s="16"/>
      <c r="I51" s="17"/>
      <c r="J51" s="17">
        <v>29.8</v>
      </c>
      <c r="K51" s="19"/>
      <c r="L51" s="19"/>
      <c r="M51" s="39"/>
      <c r="N51" s="39"/>
      <c r="O51" s="16" t="e">
        <f t="shared" si="2"/>
        <v>#DIV/0!</v>
      </c>
      <c r="P51" s="19"/>
      <c r="Q51" s="17"/>
      <c r="R51" s="17"/>
      <c r="S51" s="16"/>
      <c r="T51" s="16"/>
    </row>
    <row r="52" spans="1:20" ht="22.5">
      <c r="A52" s="13" t="s">
        <v>11</v>
      </c>
      <c r="B52" s="26" t="s">
        <v>17</v>
      </c>
      <c r="C52" s="49">
        <v>737.8</v>
      </c>
      <c r="D52" s="49">
        <f t="shared" si="18"/>
        <v>776</v>
      </c>
      <c r="E52" s="42">
        <f t="shared" si="19"/>
        <v>442.2</v>
      </c>
      <c r="F52" s="49">
        <v>72.8</v>
      </c>
      <c r="G52" s="49">
        <v>158.1</v>
      </c>
      <c r="H52" s="16">
        <v>211.3</v>
      </c>
      <c r="I52" s="17">
        <v>333.8</v>
      </c>
      <c r="J52" s="17">
        <v>936.3</v>
      </c>
      <c r="K52" s="19" t="e">
        <f>J52/#REF!*100</f>
        <v>#REF!</v>
      </c>
      <c r="L52" s="19">
        <f>J52/H52*100</f>
        <v>443.1140558447704</v>
      </c>
      <c r="M52" s="39"/>
      <c r="N52" s="39"/>
      <c r="O52" s="16">
        <f t="shared" si="2"/>
        <v>280.49730377471536</v>
      </c>
      <c r="P52" s="19">
        <f t="shared" si="3"/>
        <v>211.73677069199456</v>
      </c>
      <c r="Q52" s="17">
        <f t="shared" si="4"/>
        <v>120.65721649484536</v>
      </c>
      <c r="R52" s="17">
        <f t="shared" si="5"/>
        <v>126.90431011114124</v>
      </c>
      <c r="S52" s="16">
        <v>765.8</v>
      </c>
      <c r="T52" s="16">
        <v>954.3</v>
      </c>
    </row>
    <row r="53" spans="1:20" ht="12.75">
      <c r="A53" s="28" t="s">
        <v>41</v>
      </c>
      <c r="B53" s="26" t="s">
        <v>42</v>
      </c>
      <c r="C53" s="49"/>
      <c r="D53" s="49">
        <f>F53+G53+H53+I53</f>
        <v>135</v>
      </c>
      <c r="E53" s="42">
        <f t="shared" si="19"/>
        <v>135</v>
      </c>
      <c r="F53" s="49"/>
      <c r="G53" s="49"/>
      <c r="H53" s="16">
        <v>135</v>
      </c>
      <c r="I53" s="17"/>
      <c r="J53" s="17">
        <v>205</v>
      </c>
      <c r="K53" s="19"/>
      <c r="L53" s="19"/>
      <c r="M53" s="39"/>
      <c r="N53" s="39"/>
      <c r="O53" s="16"/>
      <c r="P53" s="19"/>
      <c r="Q53" s="17">
        <f t="shared" si="4"/>
        <v>151.85185185185185</v>
      </c>
      <c r="R53" s="17"/>
      <c r="S53" s="16"/>
      <c r="T53" s="16"/>
    </row>
    <row r="54" spans="1:20" ht="12.75">
      <c r="A54" s="28" t="s">
        <v>18</v>
      </c>
      <c r="B54" s="26" t="s">
        <v>15</v>
      </c>
      <c r="C54" s="49">
        <v>150</v>
      </c>
      <c r="D54" s="49">
        <f t="shared" si="18"/>
        <v>150</v>
      </c>
      <c r="E54" s="42">
        <f t="shared" si="19"/>
        <v>105</v>
      </c>
      <c r="F54" s="49">
        <v>15</v>
      </c>
      <c r="G54" s="49">
        <v>45</v>
      </c>
      <c r="H54" s="16">
        <v>45</v>
      </c>
      <c r="I54" s="17">
        <v>45</v>
      </c>
      <c r="J54" s="17">
        <v>134.2</v>
      </c>
      <c r="K54" s="19" t="e">
        <f>J54/#REF!*100</f>
        <v>#REF!</v>
      </c>
      <c r="L54" s="19">
        <f>J54/H54*100</f>
        <v>298.22222222222223</v>
      </c>
      <c r="M54" s="39"/>
      <c r="N54" s="39"/>
      <c r="O54" s="16">
        <f t="shared" si="2"/>
        <v>298.2222222222222</v>
      </c>
      <c r="P54" s="19">
        <f t="shared" si="3"/>
        <v>127.8095238095238</v>
      </c>
      <c r="Q54" s="17">
        <f t="shared" si="4"/>
        <v>89.46666666666665</v>
      </c>
      <c r="R54" s="17">
        <f t="shared" si="5"/>
        <v>89.46666666666665</v>
      </c>
      <c r="S54" s="16">
        <v>150</v>
      </c>
      <c r="T54" s="16">
        <v>150</v>
      </c>
    </row>
    <row r="55" spans="1:20" ht="16.5" customHeight="1">
      <c r="A55" s="20" t="s">
        <v>12</v>
      </c>
      <c r="B55" s="26" t="s">
        <v>7</v>
      </c>
      <c r="C55" s="49">
        <v>7.7</v>
      </c>
      <c r="D55" s="49">
        <f t="shared" si="18"/>
        <v>7.7</v>
      </c>
      <c r="E55" s="42">
        <f t="shared" si="19"/>
        <v>0</v>
      </c>
      <c r="F55" s="49"/>
      <c r="G55" s="49"/>
      <c r="H55" s="16"/>
      <c r="I55" s="17">
        <v>7.7</v>
      </c>
      <c r="J55" s="17"/>
      <c r="K55" s="19" t="e">
        <f>J55/#REF!*100</f>
        <v>#REF!</v>
      </c>
      <c r="L55" s="19"/>
      <c r="M55" s="39"/>
      <c r="N55" s="39"/>
      <c r="O55" s="16">
        <f t="shared" si="2"/>
        <v>0</v>
      </c>
      <c r="P55" s="19"/>
      <c r="Q55" s="17">
        <f t="shared" si="4"/>
        <v>0</v>
      </c>
      <c r="R55" s="17">
        <f t="shared" si="5"/>
        <v>0</v>
      </c>
      <c r="S55" s="16"/>
      <c r="T55" s="16"/>
    </row>
    <row r="56" spans="1:20" ht="14.25" customHeight="1">
      <c r="A56" s="43" t="s">
        <v>39</v>
      </c>
      <c r="B56" s="15" t="s">
        <v>40</v>
      </c>
      <c r="C56" s="49"/>
      <c r="D56" s="49">
        <f t="shared" si="18"/>
        <v>0</v>
      </c>
      <c r="E56" s="42">
        <f t="shared" si="19"/>
        <v>0</v>
      </c>
      <c r="F56" s="49"/>
      <c r="G56" s="49"/>
      <c r="H56" s="16"/>
      <c r="I56" s="17"/>
      <c r="J56" s="17">
        <v>4.1</v>
      </c>
      <c r="K56" s="19"/>
      <c r="L56" s="19"/>
      <c r="M56" s="39"/>
      <c r="N56" s="39"/>
      <c r="O56" s="16" t="e">
        <f t="shared" si="2"/>
        <v>#DIV/0!</v>
      </c>
      <c r="P56" s="19"/>
      <c r="Q56" s="17"/>
      <c r="R56" s="17"/>
      <c r="S56" s="16"/>
      <c r="T56" s="16"/>
    </row>
    <row r="57" spans="1:20" ht="12.75">
      <c r="A57" s="48" t="s">
        <v>1</v>
      </c>
      <c r="B57" s="30" t="s">
        <v>0</v>
      </c>
      <c r="C57" s="31">
        <f>C58+C60+C59</f>
        <v>18783.7</v>
      </c>
      <c r="D57" s="31">
        <f>D58+D60+D59</f>
        <v>26303.5</v>
      </c>
      <c r="E57" s="31">
        <f aca="true" t="shared" si="20" ref="E57:O57">E58+E60+E59</f>
        <v>21082.399999999998</v>
      </c>
      <c r="F57" s="31">
        <f t="shared" si="20"/>
        <v>12081.3</v>
      </c>
      <c r="G57" s="31">
        <f t="shared" si="20"/>
        <v>2235.8</v>
      </c>
      <c r="H57" s="31">
        <f t="shared" si="20"/>
        <v>6765.3</v>
      </c>
      <c r="I57" s="31">
        <f t="shared" si="20"/>
        <v>5182.6</v>
      </c>
      <c r="J57" s="31">
        <f t="shared" si="20"/>
        <v>19429.2</v>
      </c>
      <c r="K57" s="31" t="e">
        <f t="shared" si="20"/>
        <v>#REF!</v>
      </c>
      <c r="L57" s="31">
        <f t="shared" si="20"/>
        <v>287.18903818012507</v>
      </c>
      <c r="M57" s="31">
        <f t="shared" si="20"/>
        <v>0.1</v>
      </c>
      <c r="N57" s="31">
        <f t="shared" si="20"/>
        <v>0</v>
      </c>
      <c r="O57" s="31" t="e">
        <f t="shared" si="20"/>
        <v>#DIV/0!</v>
      </c>
      <c r="P57" s="25">
        <f t="shared" si="3"/>
        <v>92.15838803931243</v>
      </c>
      <c r="Q57" s="22">
        <f t="shared" si="4"/>
        <v>73.86545516756325</v>
      </c>
      <c r="R57" s="22">
        <f t="shared" si="5"/>
        <v>103.43649014837332</v>
      </c>
      <c r="S57" s="31">
        <f>S58+S60+S59</f>
        <v>0</v>
      </c>
      <c r="T57" s="31">
        <f>T58+T60+T59</f>
        <v>0</v>
      </c>
    </row>
    <row r="58" spans="1:20" ht="22.5">
      <c r="A58" s="14" t="s">
        <v>54</v>
      </c>
      <c r="B58" s="32" t="s">
        <v>20</v>
      </c>
      <c r="C58" s="35">
        <v>18783.7</v>
      </c>
      <c r="D58" s="49">
        <v>26303.5</v>
      </c>
      <c r="E58" s="42">
        <f>F58+G58+H58</f>
        <v>21082.399999999998</v>
      </c>
      <c r="F58" s="35">
        <f>11999.8+81.5</f>
        <v>12081.3</v>
      </c>
      <c r="G58" s="35">
        <v>2235.8</v>
      </c>
      <c r="H58" s="16">
        <v>6765.3</v>
      </c>
      <c r="I58" s="16">
        <f>4872.5+310.1</f>
        <v>5182.6</v>
      </c>
      <c r="J58" s="17">
        <v>19429.2</v>
      </c>
      <c r="K58" s="19" t="e">
        <f>J58/#REF!*100</f>
        <v>#REF!</v>
      </c>
      <c r="L58" s="19">
        <f>J58/H58*100</f>
        <v>287.18903818012507</v>
      </c>
      <c r="M58" s="39">
        <v>0.1</v>
      </c>
      <c r="N58" s="39"/>
      <c r="O58" s="16">
        <f t="shared" si="2"/>
        <v>374.89291089414576</v>
      </c>
      <c r="P58" s="19">
        <f t="shared" si="3"/>
        <v>92.15838803931243</v>
      </c>
      <c r="Q58" s="17">
        <f t="shared" si="4"/>
        <v>73.86545516756325</v>
      </c>
      <c r="R58" s="17">
        <f t="shared" si="5"/>
        <v>103.43649014837332</v>
      </c>
      <c r="S58" s="16"/>
      <c r="T58" s="16"/>
    </row>
    <row r="59" spans="1:20" ht="12.75" hidden="1">
      <c r="A59" s="14" t="s">
        <v>2</v>
      </c>
      <c r="B59" s="33" t="s">
        <v>19</v>
      </c>
      <c r="C59" s="33"/>
      <c r="D59" s="49">
        <f>F59+G59+H59+I59</f>
        <v>0</v>
      </c>
      <c r="E59" s="49">
        <f>F59</f>
        <v>0</v>
      </c>
      <c r="F59" s="35"/>
      <c r="G59" s="35"/>
      <c r="H59" s="16"/>
      <c r="I59" s="38"/>
      <c r="J59" s="17"/>
      <c r="K59" s="19"/>
      <c r="L59" s="19"/>
      <c r="M59" s="39"/>
      <c r="N59" s="39"/>
      <c r="O59" s="16"/>
      <c r="P59" s="19" t="e">
        <f t="shared" si="3"/>
        <v>#DIV/0!</v>
      </c>
      <c r="Q59" s="17" t="e">
        <f t="shared" si="4"/>
        <v>#DIV/0!</v>
      </c>
      <c r="R59" s="17" t="e">
        <f t="shared" si="5"/>
        <v>#DIV/0!</v>
      </c>
      <c r="S59" s="16"/>
      <c r="T59" s="16"/>
    </row>
    <row r="60" spans="1:20" ht="22.5" hidden="1">
      <c r="A60" s="14" t="s">
        <v>53</v>
      </c>
      <c r="B60" s="18" t="s">
        <v>50</v>
      </c>
      <c r="C60" s="18"/>
      <c r="D60" s="49">
        <f t="shared" si="18"/>
        <v>0</v>
      </c>
      <c r="E60" s="49">
        <f>F60</f>
        <v>0</v>
      </c>
      <c r="F60" s="63"/>
      <c r="G60" s="63"/>
      <c r="H60" s="16"/>
      <c r="I60" s="38"/>
      <c r="J60" s="17"/>
      <c r="K60" s="19" t="e">
        <f>J60/#REF!*100</f>
        <v>#REF!</v>
      </c>
      <c r="L60" s="19"/>
      <c r="M60" s="39"/>
      <c r="N60" s="39"/>
      <c r="O60" s="16" t="e">
        <f t="shared" si="2"/>
        <v>#DIV/0!</v>
      </c>
      <c r="P60" s="19"/>
      <c r="Q60" s="17"/>
      <c r="R60" s="17" t="e">
        <f t="shared" si="5"/>
        <v>#DIV/0!</v>
      </c>
      <c r="S60" s="16"/>
      <c r="T60" s="16"/>
    </row>
    <row r="61" spans="1:20" ht="12.75">
      <c r="A61" s="13"/>
      <c r="B61" s="64" t="s">
        <v>4</v>
      </c>
      <c r="C61" s="65">
        <f aca="true" t="shared" si="21" ref="C61:J61">C57+C46</f>
        <v>36566.8</v>
      </c>
      <c r="D61" s="65">
        <f t="shared" si="21"/>
        <v>44332.1</v>
      </c>
      <c r="E61" s="65">
        <f t="shared" si="21"/>
        <v>34248.1</v>
      </c>
      <c r="F61" s="65">
        <f t="shared" si="21"/>
        <v>16433.899999999998</v>
      </c>
      <c r="G61" s="65">
        <f t="shared" si="21"/>
        <v>6512.099999999999</v>
      </c>
      <c r="H61" s="65">
        <f t="shared" si="21"/>
        <v>11302.1</v>
      </c>
      <c r="I61" s="65">
        <f t="shared" si="21"/>
        <v>10045.5</v>
      </c>
      <c r="J61" s="65">
        <f t="shared" si="21"/>
        <v>38210.1</v>
      </c>
      <c r="K61" s="25" t="e">
        <f>J61/#REF!*100</f>
        <v>#REF!</v>
      </c>
      <c r="L61" s="25">
        <f>J61/H61*100</f>
        <v>338.07964891480344</v>
      </c>
      <c r="M61" s="39"/>
      <c r="N61" s="40" t="e">
        <f>I61+#REF!+#REF!</f>
        <v>#REF!</v>
      </c>
      <c r="O61" s="34">
        <f t="shared" si="2"/>
        <v>380.3703150664477</v>
      </c>
      <c r="P61" s="25">
        <f t="shared" si="3"/>
        <v>111.56852496926837</v>
      </c>
      <c r="Q61" s="22">
        <f t="shared" si="4"/>
        <v>86.19059327214366</v>
      </c>
      <c r="R61" s="22">
        <f t="shared" si="5"/>
        <v>104.49396720522441</v>
      </c>
      <c r="S61" s="34">
        <f>S57+S46</f>
        <v>19053.8</v>
      </c>
      <c r="T61" s="34">
        <f>T57+T46</f>
        <v>19673.7</v>
      </c>
    </row>
    <row r="62" spans="1:20" ht="12.7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39"/>
      <c r="N62" s="39"/>
      <c r="O62" s="38"/>
      <c r="P62" s="25"/>
      <c r="Q62" s="22"/>
      <c r="R62" s="17"/>
      <c r="S62" s="16"/>
      <c r="T62" s="16"/>
    </row>
    <row r="63" spans="1:20" ht="12.75">
      <c r="A63" s="69" t="s">
        <v>27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16"/>
      <c r="T63" s="16"/>
    </row>
    <row r="64" spans="1:20" ht="12.75">
      <c r="A64" s="48" t="s">
        <v>3</v>
      </c>
      <c r="B64" s="56" t="s">
        <v>55</v>
      </c>
      <c r="C64" s="34">
        <f>C65+C68+C70+C72+C69+C74+C73+C67+C71+C66</f>
        <v>38555.1</v>
      </c>
      <c r="D64" s="34">
        <f>D65+D68+D70+D72+D69+D74+D73+D67+D71+D66</f>
        <v>48918.8</v>
      </c>
      <c r="E64" s="34">
        <f>E65+E68+E70+E72+E69+E74+E73+E67+E71+E66</f>
        <v>37262.4</v>
      </c>
      <c r="F64" s="34">
        <f aca="true" t="shared" si="22" ref="F64:O64">F65+F68+F70+F72+F69+F74+F73+F67+F71+F66</f>
        <v>8823</v>
      </c>
      <c r="G64" s="34">
        <f t="shared" si="22"/>
        <v>9359.2</v>
      </c>
      <c r="H64" s="34">
        <f t="shared" si="22"/>
        <v>19080.199999999997</v>
      </c>
      <c r="I64" s="34">
        <f t="shared" si="22"/>
        <v>11656.4</v>
      </c>
      <c r="J64" s="34">
        <f>J65+J68+J70+J72+J69+J74+J73+J67+J71+J66+0.1</f>
        <v>43092.799999999996</v>
      </c>
      <c r="K64" s="34" t="e">
        <f t="shared" si="22"/>
        <v>#REF!</v>
      </c>
      <c r="L64" s="34">
        <f t="shared" si="22"/>
        <v>3208.6638188371844</v>
      </c>
      <c r="M64" s="34">
        <f t="shared" si="22"/>
        <v>0</v>
      </c>
      <c r="N64" s="34">
        <f t="shared" si="22"/>
        <v>0</v>
      </c>
      <c r="O64" s="34" t="e">
        <f t="shared" si="22"/>
        <v>#DIV/0!</v>
      </c>
      <c r="P64" s="25">
        <f t="shared" si="3"/>
        <v>115.64687191377904</v>
      </c>
      <c r="Q64" s="22">
        <f t="shared" si="4"/>
        <v>88.09046828622124</v>
      </c>
      <c r="R64" s="22">
        <f t="shared" si="5"/>
        <v>111.7693897824153</v>
      </c>
      <c r="S64" s="34">
        <f>S65+S68+S70+S72+S69+S74+S73+S67+S71+S66</f>
        <v>37941.1</v>
      </c>
      <c r="T64" s="34">
        <f>T65+T68+T70+T72+T69+T74+T73+T67+T71+T66</f>
        <v>37383</v>
      </c>
    </row>
    <row r="65" spans="1:20" ht="12.75">
      <c r="A65" s="12" t="s">
        <v>23</v>
      </c>
      <c r="B65" s="58" t="s">
        <v>22</v>
      </c>
      <c r="C65" s="42">
        <v>18720</v>
      </c>
      <c r="D65" s="49">
        <f>F65+G65+H65+I65</f>
        <v>18720</v>
      </c>
      <c r="E65" s="42">
        <f>F65+G65+H65</f>
        <v>13857</v>
      </c>
      <c r="F65" s="66">
        <v>4530</v>
      </c>
      <c r="G65" s="66">
        <v>4580</v>
      </c>
      <c r="H65" s="19">
        <v>4747</v>
      </c>
      <c r="I65" s="19">
        <v>4863</v>
      </c>
      <c r="J65" s="19">
        <v>23026.3</v>
      </c>
      <c r="K65" s="19" t="e">
        <f>J65/#REF!*100</f>
        <v>#REF!</v>
      </c>
      <c r="L65" s="19">
        <f aca="true" t="shared" si="23" ref="L65:L73">J65/H65*100</f>
        <v>485.0705708868759</v>
      </c>
      <c r="M65" s="39"/>
      <c r="N65" s="39"/>
      <c r="O65" s="19">
        <f t="shared" si="2"/>
        <v>473.499897182809</v>
      </c>
      <c r="P65" s="19">
        <f t="shared" si="3"/>
        <v>166.17088835967382</v>
      </c>
      <c r="Q65" s="17">
        <f t="shared" si="4"/>
        <v>123.00373931623932</v>
      </c>
      <c r="R65" s="17">
        <f t="shared" si="5"/>
        <v>123.00373931623932</v>
      </c>
      <c r="S65" s="16">
        <v>17580</v>
      </c>
      <c r="T65" s="16">
        <v>17800</v>
      </c>
    </row>
    <row r="66" spans="1:20" ht="12.75">
      <c r="A66" s="12" t="s">
        <v>57</v>
      </c>
      <c r="B66" s="26" t="s">
        <v>58</v>
      </c>
      <c r="C66" s="49">
        <v>5209.6</v>
      </c>
      <c r="D66" s="49">
        <f>F66+G66+H66+I66</f>
        <v>5209.6</v>
      </c>
      <c r="E66" s="42">
        <f aca="true" t="shared" si="24" ref="E66:E74">F66+G66+H66</f>
        <v>3904.2</v>
      </c>
      <c r="F66" s="66">
        <v>1295.1</v>
      </c>
      <c r="G66" s="66">
        <v>1264</v>
      </c>
      <c r="H66" s="19">
        <v>1345.1</v>
      </c>
      <c r="I66" s="19">
        <v>1305.4</v>
      </c>
      <c r="J66" s="19">
        <v>5555.7</v>
      </c>
      <c r="K66" s="19"/>
      <c r="L66" s="19"/>
      <c r="M66" s="39"/>
      <c r="N66" s="39"/>
      <c r="O66" s="19"/>
      <c r="P66" s="19">
        <f>J66*100/E66</f>
        <v>142.30059935454128</v>
      </c>
      <c r="Q66" s="17">
        <f>J66*100/D66</f>
        <v>106.6435042997543</v>
      </c>
      <c r="R66" s="17">
        <f t="shared" si="5"/>
        <v>106.6435042997543</v>
      </c>
      <c r="S66" s="16">
        <v>5651.2</v>
      </c>
      <c r="T66" s="16">
        <v>6459.7</v>
      </c>
    </row>
    <row r="67" spans="1:20" ht="12.75">
      <c r="A67" s="12" t="s">
        <v>8</v>
      </c>
      <c r="B67" s="26" t="s">
        <v>5</v>
      </c>
      <c r="C67" s="49">
        <v>47</v>
      </c>
      <c r="D67" s="49">
        <f aca="true" t="shared" si="25" ref="D67:D74">F67+G67+H67+I67</f>
        <v>82.3</v>
      </c>
      <c r="E67" s="42">
        <f t="shared" si="24"/>
        <v>70.5</v>
      </c>
      <c r="F67" s="35">
        <v>11.7</v>
      </c>
      <c r="G67" s="35">
        <v>47.1</v>
      </c>
      <c r="H67" s="16">
        <v>11.7</v>
      </c>
      <c r="I67" s="16">
        <v>11.8</v>
      </c>
      <c r="J67" s="16">
        <v>82.4</v>
      </c>
      <c r="K67" s="19" t="e">
        <f>J67/#REF!*100</f>
        <v>#REF!</v>
      </c>
      <c r="L67" s="19">
        <f t="shared" si="23"/>
        <v>704.2735042735044</v>
      </c>
      <c r="M67" s="39"/>
      <c r="N67" s="39"/>
      <c r="O67" s="16">
        <f t="shared" si="2"/>
        <v>698.3050847457627</v>
      </c>
      <c r="P67" s="19">
        <f t="shared" si="3"/>
        <v>116.87943262411348</v>
      </c>
      <c r="Q67" s="17">
        <f t="shared" si="4"/>
        <v>100.12150668286756</v>
      </c>
      <c r="R67" s="17">
        <f t="shared" si="5"/>
        <v>175.31914893617022</v>
      </c>
      <c r="S67" s="16">
        <v>82.4</v>
      </c>
      <c r="T67" s="16">
        <v>50</v>
      </c>
    </row>
    <row r="68" spans="1:20" ht="12.75">
      <c r="A68" s="12" t="s">
        <v>9</v>
      </c>
      <c r="B68" s="26" t="s">
        <v>6</v>
      </c>
      <c r="C68" s="49">
        <v>7580</v>
      </c>
      <c r="D68" s="49">
        <f t="shared" si="25"/>
        <v>7580</v>
      </c>
      <c r="E68" s="42">
        <f t="shared" si="24"/>
        <v>3910</v>
      </c>
      <c r="F68" s="35">
        <v>1260</v>
      </c>
      <c r="G68" s="35">
        <v>980</v>
      </c>
      <c r="H68" s="16">
        <v>1670</v>
      </c>
      <c r="I68" s="16">
        <v>3670</v>
      </c>
      <c r="J68" s="16">
        <v>6222.9</v>
      </c>
      <c r="K68" s="19" t="e">
        <f>J68/#REF!*100</f>
        <v>#REF!</v>
      </c>
      <c r="L68" s="19">
        <f t="shared" si="23"/>
        <v>372.62874251497004</v>
      </c>
      <c r="M68" s="39"/>
      <c r="N68" s="39"/>
      <c r="O68" s="16">
        <f t="shared" si="2"/>
        <v>169.56130790190736</v>
      </c>
      <c r="P68" s="19">
        <f t="shared" si="3"/>
        <v>159.153452685422</v>
      </c>
      <c r="Q68" s="17">
        <f t="shared" si="4"/>
        <v>82.09630606860158</v>
      </c>
      <c r="R68" s="17">
        <f t="shared" si="5"/>
        <v>82.09630606860158</v>
      </c>
      <c r="S68" s="16">
        <f>2400+4980</f>
        <v>7380</v>
      </c>
      <c r="T68" s="16">
        <f>2450+5100</f>
        <v>7550</v>
      </c>
    </row>
    <row r="69" spans="1:20" ht="18.75" customHeight="1">
      <c r="A69" s="12" t="s">
        <v>10</v>
      </c>
      <c r="B69" s="26" t="s">
        <v>21</v>
      </c>
      <c r="C69" s="49">
        <v>16</v>
      </c>
      <c r="D69" s="49">
        <f t="shared" si="25"/>
        <v>76.8</v>
      </c>
      <c r="E69" s="42">
        <f t="shared" si="24"/>
        <v>76.8</v>
      </c>
      <c r="F69" s="35">
        <v>1</v>
      </c>
      <c r="G69" s="35">
        <v>61.2</v>
      </c>
      <c r="H69" s="16">
        <v>14.6</v>
      </c>
      <c r="I69" s="16"/>
      <c r="J69" s="16">
        <v>92.8</v>
      </c>
      <c r="K69" s="19"/>
      <c r="L69" s="19">
        <f t="shared" si="23"/>
        <v>635.6164383561644</v>
      </c>
      <c r="M69" s="39"/>
      <c r="N69" s="39"/>
      <c r="O69" s="16" t="e">
        <f t="shared" si="2"/>
        <v>#DIV/0!</v>
      </c>
      <c r="P69" s="19">
        <f>J69*100/E69</f>
        <v>120.83333333333334</v>
      </c>
      <c r="Q69" s="17">
        <f>J69*100/D69</f>
        <v>120.83333333333334</v>
      </c>
      <c r="R69" s="17">
        <f t="shared" si="5"/>
        <v>580</v>
      </c>
      <c r="S69" s="16">
        <v>46.4</v>
      </c>
      <c r="T69" s="16">
        <v>46.1</v>
      </c>
    </row>
    <row r="70" spans="1:20" ht="22.5">
      <c r="A70" s="13" t="s">
        <v>11</v>
      </c>
      <c r="B70" s="26" t="s">
        <v>17</v>
      </c>
      <c r="C70" s="49">
        <v>6807.5</v>
      </c>
      <c r="D70" s="49">
        <f t="shared" si="25"/>
        <v>8039.5</v>
      </c>
      <c r="E70" s="42">
        <f t="shared" si="24"/>
        <v>6277.8</v>
      </c>
      <c r="F70" s="35">
        <v>1681.7</v>
      </c>
      <c r="G70" s="35">
        <v>2381.9</v>
      </c>
      <c r="H70" s="16">
        <v>2214.2</v>
      </c>
      <c r="I70" s="16">
        <v>1761.7</v>
      </c>
      <c r="J70" s="16">
        <v>7792.1</v>
      </c>
      <c r="K70" s="19" t="e">
        <f>J70/#REF!*100</f>
        <v>#REF!</v>
      </c>
      <c r="L70" s="19">
        <f t="shared" si="23"/>
        <v>351.9149128353356</v>
      </c>
      <c r="M70" s="39"/>
      <c r="N70" s="39"/>
      <c r="O70" s="16">
        <f t="shared" si="2"/>
        <v>442.3057274223761</v>
      </c>
      <c r="P70" s="19">
        <f t="shared" si="3"/>
        <v>124.1215075344866</v>
      </c>
      <c r="Q70" s="17">
        <f t="shared" si="4"/>
        <v>96.92269419740033</v>
      </c>
      <c r="R70" s="17">
        <f t="shared" si="5"/>
        <v>114.46345941975763</v>
      </c>
      <c r="S70" s="16">
        <v>7024.6</v>
      </c>
      <c r="T70" s="16">
        <v>5302.2</v>
      </c>
    </row>
    <row r="71" spans="1:20" ht="14.25" customHeight="1">
      <c r="A71" s="28" t="s">
        <v>41</v>
      </c>
      <c r="B71" s="26" t="s">
        <v>42</v>
      </c>
      <c r="C71" s="49"/>
      <c r="D71" s="49">
        <f t="shared" si="25"/>
        <v>2.5</v>
      </c>
      <c r="E71" s="42">
        <f t="shared" si="24"/>
        <v>2.5</v>
      </c>
      <c r="F71" s="35"/>
      <c r="G71" s="35">
        <v>1.5</v>
      </c>
      <c r="H71" s="16">
        <v>1</v>
      </c>
      <c r="I71" s="16"/>
      <c r="J71" s="16">
        <v>2.5</v>
      </c>
      <c r="K71" s="19" t="e">
        <f>J71/#REF!*100</f>
        <v>#REF!</v>
      </c>
      <c r="L71" s="19">
        <f t="shared" si="23"/>
        <v>250</v>
      </c>
      <c r="M71" s="39"/>
      <c r="N71" s="39"/>
      <c r="O71" s="16" t="e">
        <f t="shared" si="2"/>
        <v>#DIV/0!</v>
      </c>
      <c r="P71" s="19"/>
      <c r="Q71" s="17"/>
      <c r="R71" s="17"/>
      <c r="S71" s="16">
        <v>1.5</v>
      </c>
      <c r="T71" s="16"/>
    </row>
    <row r="72" spans="1:20" ht="12.75">
      <c r="A72" s="27" t="s">
        <v>18</v>
      </c>
      <c r="B72" s="26" t="s">
        <v>15</v>
      </c>
      <c r="C72" s="49">
        <v>175</v>
      </c>
      <c r="D72" s="49">
        <f t="shared" si="25"/>
        <v>9203</v>
      </c>
      <c r="E72" s="42">
        <f t="shared" si="24"/>
        <v>9158.5</v>
      </c>
      <c r="F72" s="35">
        <v>43.5</v>
      </c>
      <c r="G72" s="35">
        <v>43.5</v>
      </c>
      <c r="H72" s="16">
        <v>9071.5</v>
      </c>
      <c r="I72" s="16">
        <v>44.5</v>
      </c>
      <c r="J72" s="16">
        <v>297.3</v>
      </c>
      <c r="K72" s="19" t="e">
        <f>J72/#REF!*100</f>
        <v>#REF!</v>
      </c>
      <c r="L72" s="19">
        <f t="shared" si="23"/>
        <v>3.2772970291572507</v>
      </c>
      <c r="M72" s="39"/>
      <c r="N72" s="39"/>
      <c r="O72" s="16">
        <f t="shared" si="2"/>
        <v>668.0898876404494</v>
      </c>
      <c r="P72" s="19">
        <f t="shared" si="3"/>
        <v>3.24616476497243</v>
      </c>
      <c r="Q72" s="17">
        <f t="shared" si="4"/>
        <v>3.230468325546018</v>
      </c>
      <c r="R72" s="17">
        <f t="shared" si="5"/>
        <v>169.88571428571427</v>
      </c>
      <c r="S72" s="16">
        <v>175</v>
      </c>
      <c r="T72" s="16">
        <v>175</v>
      </c>
    </row>
    <row r="73" spans="1:20" ht="12.75" customHeight="1">
      <c r="A73" s="20" t="s">
        <v>12</v>
      </c>
      <c r="B73" s="26" t="s">
        <v>7</v>
      </c>
      <c r="C73" s="49"/>
      <c r="D73" s="49">
        <f t="shared" si="25"/>
        <v>5.1</v>
      </c>
      <c r="E73" s="42">
        <f t="shared" si="24"/>
        <v>5.1</v>
      </c>
      <c r="F73" s="35"/>
      <c r="G73" s="35"/>
      <c r="H73" s="16">
        <v>5.1</v>
      </c>
      <c r="I73" s="16"/>
      <c r="J73" s="16">
        <v>20.7</v>
      </c>
      <c r="K73" s="19"/>
      <c r="L73" s="19">
        <f t="shared" si="23"/>
        <v>405.88235294117646</v>
      </c>
      <c r="M73" s="39"/>
      <c r="N73" s="39"/>
      <c r="O73" s="16" t="e">
        <f t="shared" si="2"/>
        <v>#DIV/0!</v>
      </c>
      <c r="P73" s="19"/>
      <c r="Q73" s="17"/>
      <c r="R73" s="17"/>
      <c r="S73" s="16"/>
      <c r="T73" s="16"/>
    </row>
    <row r="74" spans="1:20" ht="12.75">
      <c r="A74" s="29" t="s">
        <v>39</v>
      </c>
      <c r="B74" s="15" t="s">
        <v>40</v>
      </c>
      <c r="C74" s="49"/>
      <c r="D74" s="49">
        <f t="shared" si="25"/>
        <v>0</v>
      </c>
      <c r="E74" s="42">
        <f t="shared" si="24"/>
        <v>0</v>
      </c>
      <c r="F74" s="35"/>
      <c r="G74" s="35"/>
      <c r="H74" s="16"/>
      <c r="I74" s="16"/>
      <c r="J74" s="16">
        <v>0</v>
      </c>
      <c r="K74" s="19"/>
      <c r="L74" s="19"/>
      <c r="M74" s="39"/>
      <c r="N74" s="39"/>
      <c r="O74" s="16" t="e">
        <f t="shared" si="2"/>
        <v>#DIV/0!</v>
      </c>
      <c r="P74" s="19"/>
      <c r="Q74" s="17"/>
      <c r="R74" s="17"/>
      <c r="S74" s="16"/>
      <c r="T74" s="16"/>
    </row>
    <row r="75" spans="1:20" ht="12.75">
      <c r="A75" s="23" t="s">
        <v>1</v>
      </c>
      <c r="B75" s="30" t="s">
        <v>0</v>
      </c>
      <c r="C75" s="31">
        <f aca="true" t="shared" si="26" ref="C75:J75">C76+C77</f>
        <v>21593.7</v>
      </c>
      <c r="D75" s="31">
        <f t="shared" si="26"/>
        <v>38480.7</v>
      </c>
      <c r="E75" s="31">
        <f t="shared" si="26"/>
        <v>32001.8</v>
      </c>
      <c r="F75" s="31">
        <f t="shared" si="26"/>
        <v>15097.4</v>
      </c>
      <c r="G75" s="31">
        <f t="shared" si="26"/>
        <v>11021.4</v>
      </c>
      <c r="H75" s="31">
        <f t="shared" si="26"/>
        <v>5883</v>
      </c>
      <c r="I75" s="31">
        <f t="shared" si="26"/>
        <v>6373.9</v>
      </c>
      <c r="J75" s="31">
        <f t="shared" si="26"/>
        <v>31606.7</v>
      </c>
      <c r="K75" s="25" t="e">
        <f>J75/#REF!*100</f>
        <v>#REF!</v>
      </c>
      <c r="L75" s="25">
        <f>J75/H75*100</f>
        <v>537.2548019717831</v>
      </c>
      <c r="M75" s="39"/>
      <c r="N75" s="39"/>
      <c r="O75" s="34">
        <f t="shared" si="2"/>
        <v>495.8769356281084</v>
      </c>
      <c r="P75" s="25">
        <f t="shared" si="3"/>
        <v>98.76538194726547</v>
      </c>
      <c r="Q75" s="22">
        <f t="shared" si="4"/>
        <v>82.13649959590133</v>
      </c>
      <c r="R75" s="22">
        <f aca="true" t="shared" si="27" ref="R75:R137">J75*100/C75</f>
        <v>146.37000606658424</v>
      </c>
      <c r="S75" s="31">
        <f>S76+S77</f>
        <v>0</v>
      </c>
      <c r="T75" s="31">
        <f>T76+T77</f>
        <v>0</v>
      </c>
    </row>
    <row r="76" spans="1:20" ht="22.5">
      <c r="A76" s="14" t="s">
        <v>54</v>
      </c>
      <c r="B76" s="32" t="s">
        <v>20</v>
      </c>
      <c r="C76" s="35">
        <v>21593.7</v>
      </c>
      <c r="D76" s="49">
        <v>38385.7</v>
      </c>
      <c r="E76" s="42">
        <f>F76+G76+H76</f>
        <v>31971.8</v>
      </c>
      <c r="F76" s="35">
        <f>15005.1+92.3</f>
        <v>15097.4</v>
      </c>
      <c r="G76" s="35">
        <v>10996.4</v>
      </c>
      <c r="H76" s="16">
        <v>5878</v>
      </c>
      <c r="I76" s="17">
        <f>5021.7+1352.2</f>
        <v>6373.9</v>
      </c>
      <c r="J76" s="17">
        <v>31511.7</v>
      </c>
      <c r="K76" s="19" t="e">
        <f>J76/#REF!*100</f>
        <v>#REF!</v>
      </c>
      <c r="L76" s="19">
        <f>J76/H76*100</f>
        <v>536.0956107519564</v>
      </c>
      <c r="M76" s="39"/>
      <c r="N76" s="39"/>
      <c r="O76" s="16">
        <f t="shared" si="2"/>
        <v>494.38648237342915</v>
      </c>
      <c r="P76" s="19">
        <f t="shared" si="3"/>
        <v>98.56091931014207</v>
      </c>
      <c r="Q76" s="17">
        <f t="shared" si="4"/>
        <v>82.09228957658712</v>
      </c>
      <c r="R76" s="17">
        <f t="shared" si="27"/>
        <v>145.9300629350227</v>
      </c>
      <c r="S76" s="16"/>
      <c r="T76" s="16"/>
    </row>
    <row r="77" spans="1:20" ht="23.25" customHeight="1">
      <c r="A77" s="14" t="s">
        <v>2</v>
      </c>
      <c r="B77" s="33" t="s">
        <v>19</v>
      </c>
      <c r="C77" s="50"/>
      <c r="D77" s="49">
        <v>95</v>
      </c>
      <c r="E77" s="42">
        <f>F77+G77+H77</f>
        <v>30</v>
      </c>
      <c r="F77" s="63"/>
      <c r="G77" s="63">
        <v>25</v>
      </c>
      <c r="H77" s="16">
        <v>5</v>
      </c>
      <c r="I77" s="17"/>
      <c r="J77" s="17">
        <v>95</v>
      </c>
      <c r="K77" s="19" t="e">
        <f>J77/#REF!*100</f>
        <v>#REF!</v>
      </c>
      <c r="L77" s="19"/>
      <c r="M77" s="39"/>
      <c r="N77" s="39"/>
      <c r="O77" s="16" t="e">
        <f t="shared" si="2"/>
        <v>#DIV/0!</v>
      </c>
      <c r="P77" s="25"/>
      <c r="Q77" s="22"/>
      <c r="R77" s="17"/>
      <c r="S77" s="16"/>
      <c r="T77" s="16"/>
    </row>
    <row r="78" spans="1:20" ht="12.75">
      <c r="A78" s="20"/>
      <c r="B78" s="21" t="s">
        <v>4</v>
      </c>
      <c r="C78" s="22">
        <f aca="true" t="shared" si="28" ref="C78:K78">C75+C64</f>
        <v>60148.8</v>
      </c>
      <c r="D78" s="22">
        <f t="shared" si="28"/>
        <v>87399.5</v>
      </c>
      <c r="E78" s="22">
        <f t="shared" si="28"/>
        <v>69264.2</v>
      </c>
      <c r="F78" s="22">
        <f t="shared" si="28"/>
        <v>23920.4</v>
      </c>
      <c r="G78" s="22">
        <f t="shared" si="28"/>
        <v>20380.6</v>
      </c>
      <c r="H78" s="22">
        <f t="shared" si="28"/>
        <v>24963.199999999997</v>
      </c>
      <c r="I78" s="22">
        <f t="shared" si="28"/>
        <v>18030.3</v>
      </c>
      <c r="J78" s="22">
        <f t="shared" si="28"/>
        <v>74699.5</v>
      </c>
      <c r="K78" s="22" t="e">
        <f t="shared" si="28"/>
        <v>#REF!</v>
      </c>
      <c r="L78" s="25">
        <f>J78/H78*100</f>
        <v>299.2384790411486</v>
      </c>
      <c r="M78" s="39"/>
      <c r="N78" s="40" t="e">
        <f>I78+#REF!+#REF!</f>
        <v>#REF!</v>
      </c>
      <c r="O78" s="34">
        <f t="shared" si="2"/>
        <v>414.29981752938113</v>
      </c>
      <c r="P78" s="25">
        <f t="shared" si="3"/>
        <v>107.84719956341083</v>
      </c>
      <c r="Q78" s="22">
        <f t="shared" si="4"/>
        <v>85.46902442233652</v>
      </c>
      <c r="R78" s="22">
        <f t="shared" si="27"/>
        <v>124.19117255872104</v>
      </c>
      <c r="S78" s="34">
        <f>S75+S64</f>
        <v>37941.1</v>
      </c>
      <c r="T78" s="34">
        <f>T75+T64</f>
        <v>37383</v>
      </c>
    </row>
    <row r="79" spans="1:20" ht="12.75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8"/>
      <c r="M79" s="39"/>
      <c r="N79" s="39"/>
      <c r="O79" s="38"/>
      <c r="P79" s="25"/>
      <c r="Q79" s="22"/>
      <c r="R79" s="17"/>
      <c r="S79" s="16"/>
      <c r="T79" s="16"/>
    </row>
    <row r="80" spans="1:20" ht="12.75">
      <c r="A80" s="69" t="s">
        <v>28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1"/>
      <c r="S80" s="16"/>
      <c r="T80" s="16"/>
    </row>
    <row r="81" spans="1:20" ht="12.75">
      <c r="A81" s="23" t="s">
        <v>3</v>
      </c>
      <c r="B81" s="24" t="s">
        <v>55</v>
      </c>
      <c r="C81" s="25">
        <f aca="true" t="shared" si="29" ref="C81:I81">C82+C84+C85+C86+C87+C88+C89+C90+C91+C83</f>
        <v>33870.6</v>
      </c>
      <c r="D81" s="25">
        <f t="shared" si="29"/>
        <v>38476.8</v>
      </c>
      <c r="E81" s="25">
        <f t="shared" si="29"/>
        <v>28756.600000000002</v>
      </c>
      <c r="F81" s="25">
        <f t="shared" si="29"/>
        <v>8624.3</v>
      </c>
      <c r="G81" s="25">
        <f t="shared" si="29"/>
        <v>8277.1</v>
      </c>
      <c r="H81" s="25">
        <f t="shared" si="29"/>
        <v>11855.2</v>
      </c>
      <c r="I81" s="25">
        <f t="shared" si="29"/>
        <v>8690.199999999999</v>
      </c>
      <c r="J81" s="25">
        <f>J82+J84+J85+J86+J87+J88+J89+J90+J91+J83+0.1</f>
        <v>37730.9</v>
      </c>
      <c r="K81" s="25" t="e">
        <f>J81/#REF!*100</f>
        <v>#REF!</v>
      </c>
      <c r="L81" s="25">
        <f>J81/H81*100</f>
        <v>318.2645590120791</v>
      </c>
      <c r="M81" s="39"/>
      <c r="N81" s="39"/>
      <c r="O81" s="25">
        <f t="shared" si="2"/>
        <v>434.17757934224767</v>
      </c>
      <c r="P81" s="25">
        <f aca="true" t="shared" si="30" ref="P81:P150">J81*100/E81</f>
        <v>131.2077922981159</v>
      </c>
      <c r="Q81" s="22">
        <f aca="true" t="shared" si="31" ref="Q81:Q150">J81*100/D81</f>
        <v>98.06142922488355</v>
      </c>
      <c r="R81" s="22">
        <f t="shared" si="27"/>
        <v>111.39719993150402</v>
      </c>
      <c r="S81" s="34">
        <f>S82+S84+S85+S86+S87+S88+S89+S90+S91+S83</f>
        <v>37232.200000000004</v>
      </c>
      <c r="T81" s="34">
        <f>T82+T84+T85+T86+T87+T88+T89+T90+T91+T83</f>
        <v>36893.7</v>
      </c>
    </row>
    <row r="82" spans="1:20" ht="13.5" customHeight="1">
      <c r="A82" s="20" t="s">
        <v>23</v>
      </c>
      <c r="B82" s="26" t="s">
        <v>22</v>
      </c>
      <c r="C82" s="49">
        <v>20750</v>
      </c>
      <c r="D82" s="49">
        <v>23868.2</v>
      </c>
      <c r="E82" s="42">
        <f>F82+G82+H82</f>
        <v>17996</v>
      </c>
      <c r="F82" s="35">
        <v>5840</v>
      </c>
      <c r="G82" s="35">
        <v>5496</v>
      </c>
      <c r="H82" s="16">
        <v>6660</v>
      </c>
      <c r="I82" s="16">
        <v>5372.2</v>
      </c>
      <c r="J82" s="17">
        <v>22547.7</v>
      </c>
      <c r="K82" s="19" t="e">
        <f>J82/#REF!*100</f>
        <v>#REF!</v>
      </c>
      <c r="L82" s="19">
        <f>J82/H82*100</f>
        <v>338.55405405405406</v>
      </c>
      <c r="M82" s="39"/>
      <c r="N82" s="39"/>
      <c r="O82" s="16">
        <f aca="true" t="shared" si="32" ref="O82:O155">J82*100/I82</f>
        <v>419.7107330330219</v>
      </c>
      <c r="P82" s="19">
        <f t="shared" si="30"/>
        <v>125.29284285396754</v>
      </c>
      <c r="Q82" s="17">
        <f t="shared" si="31"/>
        <v>94.46753420869608</v>
      </c>
      <c r="R82" s="17">
        <f t="shared" si="27"/>
        <v>108.66361445783133</v>
      </c>
      <c r="S82" s="16">
        <v>23900</v>
      </c>
      <c r="T82" s="16">
        <v>23300</v>
      </c>
    </row>
    <row r="83" spans="1:20" ht="15.75" customHeight="1">
      <c r="A83" s="12" t="s">
        <v>57</v>
      </c>
      <c r="B83" s="26" t="s">
        <v>58</v>
      </c>
      <c r="C83" s="49">
        <v>4231.6</v>
      </c>
      <c r="D83" s="49">
        <f>F83+G83+H83+I83</f>
        <v>4231.6</v>
      </c>
      <c r="E83" s="42">
        <f aca="true" t="shared" si="33" ref="E83:E91">F83+G83+H83</f>
        <v>3327.5</v>
      </c>
      <c r="F83" s="35">
        <v>1187.3</v>
      </c>
      <c r="G83" s="35">
        <v>985</v>
      </c>
      <c r="H83" s="16">
        <v>1155.2</v>
      </c>
      <c r="I83" s="16">
        <v>904.1</v>
      </c>
      <c r="J83" s="17">
        <v>4512.8</v>
      </c>
      <c r="K83" s="19"/>
      <c r="L83" s="19"/>
      <c r="M83" s="39"/>
      <c r="N83" s="39"/>
      <c r="O83" s="16"/>
      <c r="P83" s="19">
        <f>J83*100/E83</f>
        <v>135.6213373403456</v>
      </c>
      <c r="Q83" s="17">
        <f>J83*100/D83</f>
        <v>106.64524057094242</v>
      </c>
      <c r="R83" s="17">
        <f t="shared" si="27"/>
        <v>106.64524057094242</v>
      </c>
      <c r="S83" s="16">
        <v>4590.3</v>
      </c>
      <c r="T83" s="16">
        <v>4138.7</v>
      </c>
    </row>
    <row r="84" spans="1:20" ht="15" customHeight="1" hidden="1">
      <c r="A84" s="12" t="s">
        <v>8</v>
      </c>
      <c r="B84" s="26" t="s">
        <v>5</v>
      </c>
      <c r="C84" s="49"/>
      <c r="D84" s="49">
        <f aca="true" t="shared" si="34" ref="D84:D91">F84+G84+H84+I84</f>
        <v>0</v>
      </c>
      <c r="E84" s="42">
        <f t="shared" si="33"/>
        <v>0</v>
      </c>
      <c r="F84" s="35"/>
      <c r="G84" s="35"/>
      <c r="H84" s="16"/>
      <c r="I84" s="16"/>
      <c r="J84" s="17"/>
      <c r="K84" s="19"/>
      <c r="L84" s="19"/>
      <c r="M84" s="39"/>
      <c r="N84" s="39"/>
      <c r="O84" s="16" t="e">
        <f t="shared" si="32"/>
        <v>#DIV/0!</v>
      </c>
      <c r="P84" s="19" t="e">
        <f>J84*100/E84</f>
        <v>#DIV/0!</v>
      </c>
      <c r="Q84" s="17" t="e">
        <f>J84*100/D84</f>
        <v>#DIV/0!</v>
      </c>
      <c r="R84" s="17" t="e">
        <f t="shared" si="27"/>
        <v>#DIV/0!</v>
      </c>
      <c r="S84" s="16"/>
      <c r="T84" s="16"/>
    </row>
    <row r="85" spans="1:20" ht="12.75">
      <c r="A85" s="12" t="s">
        <v>9</v>
      </c>
      <c r="B85" s="26" t="s">
        <v>6</v>
      </c>
      <c r="C85" s="49">
        <v>2145</v>
      </c>
      <c r="D85" s="49">
        <f t="shared" si="34"/>
        <v>2145</v>
      </c>
      <c r="E85" s="42">
        <f t="shared" si="33"/>
        <v>989</v>
      </c>
      <c r="F85" s="35">
        <v>374</v>
      </c>
      <c r="G85" s="35">
        <v>309</v>
      </c>
      <c r="H85" s="16">
        <v>306</v>
      </c>
      <c r="I85" s="16">
        <v>1156</v>
      </c>
      <c r="J85" s="17">
        <v>1820.8</v>
      </c>
      <c r="K85" s="19" t="e">
        <f>J85/#REF!*100</f>
        <v>#REF!</v>
      </c>
      <c r="L85" s="19">
        <f>J85/H85*100</f>
        <v>595.0326797385621</v>
      </c>
      <c r="M85" s="39"/>
      <c r="N85" s="39"/>
      <c r="O85" s="16">
        <f t="shared" si="32"/>
        <v>157.50865051903114</v>
      </c>
      <c r="P85" s="19">
        <f t="shared" si="30"/>
        <v>184.1051567239636</v>
      </c>
      <c r="Q85" s="17">
        <f t="shared" si="31"/>
        <v>84.88578088578089</v>
      </c>
      <c r="R85" s="17">
        <f t="shared" si="27"/>
        <v>84.88578088578089</v>
      </c>
      <c r="S85" s="16">
        <f>720+1100</f>
        <v>1820</v>
      </c>
      <c r="T85" s="16">
        <f>730+1150</f>
        <v>1880</v>
      </c>
    </row>
    <row r="86" spans="1:20" ht="12.75" hidden="1">
      <c r="A86" s="12" t="s">
        <v>10</v>
      </c>
      <c r="B86" s="26" t="s">
        <v>21</v>
      </c>
      <c r="C86" s="49"/>
      <c r="D86" s="49">
        <f t="shared" si="34"/>
        <v>0</v>
      </c>
      <c r="E86" s="42">
        <f t="shared" si="33"/>
        <v>0</v>
      </c>
      <c r="F86" s="35"/>
      <c r="G86" s="35"/>
      <c r="H86" s="16"/>
      <c r="I86" s="16"/>
      <c r="J86" s="17"/>
      <c r="K86" s="19"/>
      <c r="L86" s="19"/>
      <c r="M86" s="39"/>
      <c r="N86" s="39"/>
      <c r="O86" s="16" t="e">
        <f t="shared" si="32"/>
        <v>#DIV/0!</v>
      </c>
      <c r="P86" s="19" t="e">
        <f t="shared" si="30"/>
        <v>#DIV/0!</v>
      </c>
      <c r="Q86" s="17" t="e">
        <f t="shared" si="31"/>
        <v>#DIV/0!</v>
      </c>
      <c r="R86" s="17" t="e">
        <f t="shared" si="27"/>
        <v>#DIV/0!</v>
      </c>
      <c r="S86" s="16"/>
      <c r="T86" s="16"/>
    </row>
    <row r="87" spans="1:20" ht="22.5">
      <c r="A87" s="13" t="s">
        <v>11</v>
      </c>
      <c r="B87" s="26" t="s">
        <v>17</v>
      </c>
      <c r="C87" s="49">
        <v>6132.5</v>
      </c>
      <c r="D87" s="49">
        <v>7426.6</v>
      </c>
      <c r="E87" s="42">
        <f t="shared" si="33"/>
        <v>5879.7</v>
      </c>
      <c r="F87" s="35">
        <v>1070.5</v>
      </c>
      <c r="G87" s="35">
        <v>1273.6</v>
      </c>
      <c r="H87" s="16">
        <v>3535.6</v>
      </c>
      <c r="I87" s="16">
        <v>1016.9</v>
      </c>
      <c r="J87" s="17">
        <v>8206.5</v>
      </c>
      <c r="K87" s="19" t="e">
        <f>J87/#REF!*100</f>
        <v>#REF!</v>
      </c>
      <c r="L87" s="19">
        <f>J87/H87*100</f>
        <v>232.1105328657088</v>
      </c>
      <c r="M87" s="39"/>
      <c r="N87" s="39"/>
      <c r="O87" s="16">
        <f t="shared" si="32"/>
        <v>807.011505556102</v>
      </c>
      <c r="P87" s="19">
        <f t="shared" si="30"/>
        <v>139.57344762487884</v>
      </c>
      <c r="Q87" s="17">
        <f t="shared" si="31"/>
        <v>110.50144076697276</v>
      </c>
      <c r="R87" s="17">
        <f t="shared" si="27"/>
        <v>133.819812474521</v>
      </c>
      <c r="S87" s="16">
        <v>6182.4</v>
      </c>
      <c r="T87" s="16">
        <v>6954</v>
      </c>
    </row>
    <row r="88" spans="1:20" ht="12.75">
      <c r="A88" s="28" t="s">
        <v>41</v>
      </c>
      <c r="B88" s="26" t="s">
        <v>42</v>
      </c>
      <c r="C88" s="49">
        <v>479</v>
      </c>
      <c r="D88" s="49">
        <f t="shared" si="34"/>
        <v>479</v>
      </c>
      <c r="E88" s="42">
        <f t="shared" si="33"/>
        <v>331.5</v>
      </c>
      <c r="F88" s="35">
        <v>152.5</v>
      </c>
      <c r="G88" s="35">
        <v>119</v>
      </c>
      <c r="H88" s="16">
        <v>60</v>
      </c>
      <c r="I88" s="16">
        <v>147.5</v>
      </c>
      <c r="J88" s="17">
        <v>414.6</v>
      </c>
      <c r="K88" s="19" t="e">
        <f>J88/#REF!*100</f>
        <v>#REF!</v>
      </c>
      <c r="L88" s="19">
        <f>J88/H88*100</f>
        <v>691</v>
      </c>
      <c r="M88" s="39"/>
      <c r="N88" s="39"/>
      <c r="O88" s="16">
        <f t="shared" si="32"/>
        <v>281.08474576271186</v>
      </c>
      <c r="P88" s="19">
        <f t="shared" si="30"/>
        <v>125.06787330316742</v>
      </c>
      <c r="Q88" s="17">
        <f t="shared" si="31"/>
        <v>86.5553235908142</v>
      </c>
      <c r="R88" s="17">
        <f t="shared" si="27"/>
        <v>86.5553235908142</v>
      </c>
      <c r="S88" s="16">
        <v>489</v>
      </c>
      <c r="T88" s="16">
        <v>496</v>
      </c>
    </row>
    <row r="89" spans="1:20" ht="12.75">
      <c r="A89" s="27" t="s">
        <v>18</v>
      </c>
      <c r="B89" s="26" t="s">
        <v>15</v>
      </c>
      <c r="C89" s="49">
        <v>132.5</v>
      </c>
      <c r="D89" s="49">
        <f t="shared" si="34"/>
        <v>231.9</v>
      </c>
      <c r="E89" s="42">
        <f t="shared" si="33"/>
        <v>138.4</v>
      </c>
      <c r="F89" s="35">
        <v>0</v>
      </c>
      <c r="G89" s="35">
        <v>25</v>
      </c>
      <c r="H89" s="16">
        <v>113.4</v>
      </c>
      <c r="I89" s="16">
        <v>93.5</v>
      </c>
      <c r="J89" s="17">
        <v>130.9</v>
      </c>
      <c r="K89" s="19" t="e">
        <f>J89/#REF!*100</f>
        <v>#REF!</v>
      </c>
      <c r="L89" s="19">
        <f>J89/H89*100</f>
        <v>115.4320987654321</v>
      </c>
      <c r="M89" s="39"/>
      <c r="N89" s="39"/>
      <c r="O89" s="16">
        <f t="shared" si="32"/>
        <v>140</v>
      </c>
      <c r="P89" s="19">
        <f t="shared" si="30"/>
        <v>94.58092485549133</v>
      </c>
      <c r="Q89" s="17">
        <f t="shared" si="31"/>
        <v>56.446744286330315</v>
      </c>
      <c r="R89" s="17">
        <f t="shared" si="27"/>
        <v>98.79245283018868</v>
      </c>
      <c r="S89" s="16">
        <v>171</v>
      </c>
      <c r="T89" s="16">
        <v>125</v>
      </c>
    </row>
    <row r="90" spans="1:20" ht="14.25" customHeight="1">
      <c r="A90" s="20" t="s">
        <v>12</v>
      </c>
      <c r="B90" s="26" t="s">
        <v>7</v>
      </c>
      <c r="C90" s="49"/>
      <c r="D90" s="49">
        <f t="shared" si="34"/>
        <v>25</v>
      </c>
      <c r="E90" s="42">
        <f t="shared" si="33"/>
        <v>25</v>
      </c>
      <c r="F90" s="35"/>
      <c r="G90" s="35"/>
      <c r="H90" s="16">
        <v>25</v>
      </c>
      <c r="I90" s="16"/>
      <c r="J90" s="17">
        <v>28</v>
      </c>
      <c r="K90" s="25"/>
      <c r="L90" s="25">
        <f>J90/H90*100</f>
        <v>112.00000000000001</v>
      </c>
      <c r="M90" s="39"/>
      <c r="N90" s="39"/>
      <c r="O90" s="16" t="e">
        <f t="shared" si="32"/>
        <v>#DIV/0!</v>
      </c>
      <c r="P90" s="19"/>
      <c r="Q90" s="17">
        <f t="shared" si="31"/>
        <v>112</v>
      </c>
      <c r="R90" s="17"/>
      <c r="S90" s="16">
        <v>10</v>
      </c>
      <c r="T90" s="16"/>
    </row>
    <row r="91" spans="1:20" ht="12.75">
      <c r="A91" s="29" t="s">
        <v>39</v>
      </c>
      <c r="B91" s="15" t="s">
        <v>40</v>
      </c>
      <c r="C91" s="49"/>
      <c r="D91" s="49">
        <f t="shared" si="34"/>
        <v>69.5</v>
      </c>
      <c r="E91" s="42">
        <f t="shared" si="33"/>
        <v>69.5</v>
      </c>
      <c r="F91" s="35"/>
      <c r="G91" s="35">
        <v>69.5</v>
      </c>
      <c r="H91" s="16"/>
      <c r="I91" s="16"/>
      <c r="J91" s="17">
        <v>69.5</v>
      </c>
      <c r="K91" s="25"/>
      <c r="L91" s="25"/>
      <c r="M91" s="39"/>
      <c r="N91" s="39"/>
      <c r="O91" s="16" t="e">
        <f t="shared" si="32"/>
        <v>#DIV/0!</v>
      </c>
      <c r="P91" s="19"/>
      <c r="Q91" s="17">
        <f t="shared" si="31"/>
        <v>100</v>
      </c>
      <c r="R91" s="17"/>
      <c r="S91" s="16">
        <v>69.5</v>
      </c>
      <c r="T91" s="16"/>
    </row>
    <row r="92" spans="1:20" ht="12.75" hidden="1">
      <c r="A92" s="29" t="s">
        <v>43</v>
      </c>
      <c r="B92" s="15" t="s">
        <v>44</v>
      </c>
      <c r="C92" s="61"/>
      <c r="D92" s="15"/>
      <c r="E92" s="15"/>
      <c r="F92" s="35"/>
      <c r="G92" s="35"/>
      <c r="H92" s="16" t="e">
        <f>I92+#REF!+#REF!+#REF!</f>
        <v>#REF!</v>
      </c>
      <c r="I92" s="16"/>
      <c r="J92" s="17"/>
      <c r="K92" s="25"/>
      <c r="L92" s="25"/>
      <c r="M92" s="39"/>
      <c r="N92" s="39"/>
      <c r="O92" s="16" t="e">
        <f t="shared" si="32"/>
        <v>#DIV/0!</v>
      </c>
      <c r="P92" s="25" t="e">
        <f t="shared" si="30"/>
        <v>#DIV/0!</v>
      </c>
      <c r="Q92" s="22" t="e">
        <f t="shared" si="31"/>
        <v>#DIV/0!</v>
      </c>
      <c r="R92" s="17" t="e">
        <f t="shared" si="27"/>
        <v>#DIV/0!</v>
      </c>
      <c r="S92" s="16"/>
      <c r="T92" s="16"/>
    </row>
    <row r="93" spans="1:20" ht="12.75">
      <c r="A93" s="23" t="s">
        <v>1</v>
      </c>
      <c r="B93" s="30" t="s">
        <v>0</v>
      </c>
      <c r="C93" s="31">
        <f aca="true" t="shared" si="35" ref="C93:J93">C94+C95</f>
        <v>51108</v>
      </c>
      <c r="D93" s="31">
        <f t="shared" si="35"/>
        <v>87778.5</v>
      </c>
      <c r="E93" s="67">
        <f t="shared" si="35"/>
        <v>57636.9</v>
      </c>
      <c r="F93" s="31">
        <f t="shared" si="35"/>
        <v>25884.2</v>
      </c>
      <c r="G93" s="31">
        <f t="shared" si="35"/>
        <v>5073.3</v>
      </c>
      <c r="H93" s="31">
        <f t="shared" si="35"/>
        <v>26679.4</v>
      </c>
      <c r="I93" s="31">
        <f t="shared" si="35"/>
        <v>29989.3</v>
      </c>
      <c r="J93" s="31">
        <f t="shared" si="35"/>
        <v>73964</v>
      </c>
      <c r="K93" s="25" t="e">
        <f>J93/#REF!*100</f>
        <v>#REF!</v>
      </c>
      <c r="L93" s="25">
        <f>J93/H93*100</f>
        <v>277.23262142327036</v>
      </c>
      <c r="M93" s="39"/>
      <c r="N93" s="39"/>
      <c r="O93" s="34">
        <f t="shared" si="32"/>
        <v>246.63463301911017</v>
      </c>
      <c r="P93" s="25">
        <f t="shared" si="30"/>
        <v>128.32751240958484</v>
      </c>
      <c r="Q93" s="22">
        <f t="shared" si="31"/>
        <v>84.2620915144369</v>
      </c>
      <c r="R93" s="22">
        <f t="shared" si="27"/>
        <v>144.7209830163575</v>
      </c>
      <c r="S93" s="31">
        <f>S94+S95</f>
        <v>0</v>
      </c>
      <c r="T93" s="31">
        <f>T94+T95</f>
        <v>0</v>
      </c>
    </row>
    <row r="94" spans="1:20" ht="22.5">
      <c r="A94" s="14" t="s">
        <v>54</v>
      </c>
      <c r="B94" s="32" t="s">
        <v>20</v>
      </c>
      <c r="C94" s="35">
        <v>51108</v>
      </c>
      <c r="D94" s="49">
        <v>87673.5</v>
      </c>
      <c r="E94" s="42">
        <f>F94+G94+H94</f>
        <v>57531.9</v>
      </c>
      <c r="F94" s="35">
        <v>25824.2</v>
      </c>
      <c r="G94" s="35">
        <v>5073.3</v>
      </c>
      <c r="H94" s="16">
        <v>26634.4</v>
      </c>
      <c r="I94" s="16">
        <f>23871.6+6117.7</f>
        <v>29989.3</v>
      </c>
      <c r="J94" s="17">
        <v>73859</v>
      </c>
      <c r="K94" s="19" t="e">
        <f>J94/#REF!*100</f>
        <v>#REF!</v>
      </c>
      <c r="L94" s="19">
        <f>J94/H94*100</f>
        <v>277.306791217373</v>
      </c>
      <c r="M94" s="39"/>
      <c r="N94" s="39"/>
      <c r="O94" s="16">
        <f t="shared" si="32"/>
        <v>246.28450814123704</v>
      </c>
      <c r="P94" s="19">
        <f t="shared" si="30"/>
        <v>128.37921222834635</v>
      </c>
      <c r="Q94" s="17">
        <f t="shared" si="31"/>
        <v>84.24324339737777</v>
      </c>
      <c r="R94" s="17">
        <f t="shared" si="27"/>
        <v>144.5155357282617</v>
      </c>
      <c r="S94" s="16"/>
      <c r="T94" s="16"/>
    </row>
    <row r="95" spans="1:20" ht="15.75" customHeight="1">
      <c r="A95" s="14" t="s">
        <v>2</v>
      </c>
      <c r="B95" s="33" t="s">
        <v>19</v>
      </c>
      <c r="C95" s="50"/>
      <c r="D95" s="49">
        <f>F95+G95+H95+I95</f>
        <v>105</v>
      </c>
      <c r="E95" s="42">
        <f>F95+G95+H95</f>
        <v>105</v>
      </c>
      <c r="F95" s="51">
        <v>60</v>
      </c>
      <c r="G95" s="51"/>
      <c r="H95" s="16">
        <v>45</v>
      </c>
      <c r="I95" s="16"/>
      <c r="J95" s="17">
        <v>105</v>
      </c>
      <c r="K95" s="19" t="e">
        <f>J95/#REF!*100</f>
        <v>#REF!</v>
      </c>
      <c r="L95" s="19"/>
      <c r="M95" s="39"/>
      <c r="N95" s="39"/>
      <c r="O95" s="16" t="e">
        <f t="shared" si="32"/>
        <v>#DIV/0!</v>
      </c>
      <c r="P95" s="19">
        <f>J95*100/E95</f>
        <v>100</v>
      </c>
      <c r="Q95" s="17">
        <f>J95*100/D95</f>
        <v>100</v>
      </c>
      <c r="R95" s="17"/>
      <c r="S95" s="16"/>
      <c r="T95" s="16"/>
    </row>
    <row r="96" spans="1:20" ht="12.75">
      <c r="A96" s="20"/>
      <c r="B96" s="21" t="s">
        <v>4</v>
      </c>
      <c r="C96" s="22">
        <f aca="true" t="shared" si="36" ref="C96:J96">C93+C81</f>
        <v>84978.6</v>
      </c>
      <c r="D96" s="22">
        <f t="shared" si="36"/>
        <v>126255.3</v>
      </c>
      <c r="E96" s="22">
        <f t="shared" si="36"/>
        <v>86393.5</v>
      </c>
      <c r="F96" s="22">
        <f t="shared" si="36"/>
        <v>34508.5</v>
      </c>
      <c r="G96" s="22">
        <f t="shared" si="36"/>
        <v>13350.400000000001</v>
      </c>
      <c r="H96" s="22">
        <f t="shared" si="36"/>
        <v>38534.600000000006</v>
      </c>
      <c r="I96" s="22">
        <f t="shared" si="36"/>
        <v>38679.5</v>
      </c>
      <c r="J96" s="22">
        <f t="shared" si="36"/>
        <v>111694.9</v>
      </c>
      <c r="K96" s="25" t="e">
        <f>J96/#REF!*100</f>
        <v>#REF!</v>
      </c>
      <c r="L96" s="25">
        <f>J96/H96*100</f>
        <v>289.85612929678774</v>
      </c>
      <c r="M96" s="39"/>
      <c r="N96" s="40" t="e">
        <f>I96+#REF!+#REF!</f>
        <v>#REF!</v>
      </c>
      <c r="O96" s="34">
        <f t="shared" si="32"/>
        <v>288.77027882987113</v>
      </c>
      <c r="P96" s="25">
        <f t="shared" si="30"/>
        <v>129.28623102432474</v>
      </c>
      <c r="Q96" s="22">
        <f t="shared" si="31"/>
        <v>88.46749403787405</v>
      </c>
      <c r="R96" s="22">
        <f t="shared" si="27"/>
        <v>131.43885637089807</v>
      </c>
      <c r="S96" s="34">
        <f>S93+S81</f>
        <v>37232.200000000004</v>
      </c>
      <c r="T96" s="34">
        <f>T93+T81</f>
        <v>36893.7</v>
      </c>
    </row>
    <row r="97" spans="1:20" ht="12.75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8"/>
      <c r="M97" s="39"/>
      <c r="N97" s="39"/>
      <c r="O97" s="38"/>
      <c r="P97" s="25"/>
      <c r="Q97" s="22"/>
      <c r="R97" s="17"/>
      <c r="S97" s="16"/>
      <c r="T97" s="16"/>
    </row>
    <row r="98" spans="1:20" ht="12.75">
      <c r="A98" s="69" t="s">
        <v>29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16"/>
      <c r="T98" s="16"/>
    </row>
    <row r="99" spans="1:20" ht="12.75">
      <c r="A99" s="23" t="s">
        <v>3</v>
      </c>
      <c r="B99" s="24" t="s">
        <v>55</v>
      </c>
      <c r="C99" s="25">
        <f aca="true" t="shared" si="37" ref="C99:I99">C100+C103+C107+C104+C105+C108+C106+C102+C101</f>
        <v>2219.9</v>
      </c>
      <c r="D99" s="25">
        <f t="shared" si="37"/>
        <v>2577.3</v>
      </c>
      <c r="E99" s="25">
        <f t="shared" si="37"/>
        <v>1663</v>
      </c>
      <c r="F99" s="25">
        <f t="shared" si="37"/>
        <v>555.1</v>
      </c>
      <c r="G99" s="25">
        <f t="shared" si="37"/>
        <v>553.5</v>
      </c>
      <c r="H99" s="25">
        <f t="shared" si="37"/>
        <v>554.4000000000001</v>
      </c>
      <c r="I99" s="25">
        <f t="shared" si="37"/>
        <v>914.3000000000001</v>
      </c>
      <c r="J99" s="25">
        <f>J100+J103+J107+J104+J105+J108+J106+J102+J101+0.1</f>
        <v>2622.1</v>
      </c>
      <c r="K99" s="25" t="e">
        <f>J99/#REF!*100</f>
        <v>#REF!</v>
      </c>
      <c r="L99" s="25">
        <f>J99/H99*100</f>
        <v>472.9617604617603</v>
      </c>
      <c r="M99" s="39"/>
      <c r="N99" s="39"/>
      <c r="O99" s="25">
        <f t="shared" si="32"/>
        <v>286.7877064420868</v>
      </c>
      <c r="P99" s="25">
        <f t="shared" si="30"/>
        <v>157.67288033674083</v>
      </c>
      <c r="Q99" s="22">
        <f t="shared" si="31"/>
        <v>101.7382532107244</v>
      </c>
      <c r="R99" s="22">
        <f t="shared" si="27"/>
        <v>118.11793324023604</v>
      </c>
      <c r="S99" s="34">
        <f>S100+S103+S107+S104+S105+S108+S106+S102+S101</f>
        <v>2710</v>
      </c>
      <c r="T99" s="34">
        <f>T100+T103+T107+T104+T105+T108+T106+T102+T101</f>
        <v>2809.8</v>
      </c>
    </row>
    <row r="100" spans="1:20" ht="12.75">
      <c r="A100" s="20" t="s">
        <v>23</v>
      </c>
      <c r="B100" s="26" t="s">
        <v>22</v>
      </c>
      <c r="C100" s="49">
        <v>980</v>
      </c>
      <c r="D100" s="49">
        <f>F100+G100+H100+I100</f>
        <v>1300</v>
      </c>
      <c r="E100" s="42">
        <f>F100+G100+H100</f>
        <v>735</v>
      </c>
      <c r="F100" s="35">
        <v>245</v>
      </c>
      <c r="G100" s="35">
        <v>245</v>
      </c>
      <c r="H100" s="16">
        <v>245</v>
      </c>
      <c r="I100" s="17">
        <f>245+320</f>
        <v>565</v>
      </c>
      <c r="J100" s="17">
        <v>1207.8</v>
      </c>
      <c r="K100" s="19"/>
      <c r="L100" s="19">
        <f>J100/H100*100</f>
        <v>492.9795918367347</v>
      </c>
      <c r="M100" s="40"/>
      <c r="N100" s="39"/>
      <c r="O100" s="16">
        <f t="shared" si="32"/>
        <v>213.76991150442478</v>
      </c>
      <c r="P100" s="19">
        <f t="shared" si="30"/>
        <v>164.3265306122449</v>
      </c>
      <c r="Q100" s="17">
        <f t="shared" si="31"/>
        <v>92.9076923076923</v>
      </c>
      <c r="R100" s="17">
        <f t="shared" si="27"/>
        <v>123.24489795918367</v>
      </c>
      <c r="S100" s="16">
        <v>1270</v>
      </c>
      <c r="T100" s="16">
        <v>1280</v>
      </c>
    </row>
    <row r="101" spans="1:20" ht="12.75">
      <c r="A101" s="12" t="s">
        <v>57</v>
      </c>
      <c r="B101" s="26" t="s">
        <v>58</v>
      </c>
      <c r="C101" s="49">
        <v>1110.4</v>
      </c>
      <c r="D101" s="49">
        <f>F101+G101+H101+I101</f>
        <v>1110.4</v>
      </c>
      <c r="E101" s="42">
        <f aca="true" t="shared" si="38" ref="E101:E108">F101+G101+H101</f>
        <v>832.8000000000001</v>
      </c>
      <c r="F101" s="35">
        <v>277.6</v>
      </c>
      <c r="G101" s="35">
        <v>277.6</v>
      </c>
      <c r="H101" s="16">
        <v>277.6</v>
      </c>
      <c r="I101" s="17">
        <v>277.6</v>
      </c>
      <c r="J101" s="17">
        <v>1184.2</v>
      </c>
      <c r="K101" s="19"/>
      <c r="L101" s="19"/>
      <c r="M101" s="40"/>
      <c r="N101" s="39"/>
      <c r="O101" s="16"/>
      <c r="P101" s="19">
        <f>J101*100/E101</f>
        <v>142.19500480307394</v>
      </c>
      <c r="Q101" s="17">
        <f>J101*100/D101</f>
        <v>106.64625360230546</v>
      </c>
      <c r="R101" s="17">
        <f t="shared" si="27"/>
        <v>106.64625360230546</v>
      </c>
      <c r="S101" s="16">
        <v>1204.5</v>
      </c>
      <c r="T101" s="16">
        <v>1342.3</v>
      </c>
    </row>
    <row r="102" spans="1:20" ht="12.75" hidden="1">
      <c r="A102" s="12" t="s">
        <v>8</v>
      </c>
      <c r="B102" s="26" t="s">
        <v>5</v>
      </c>
      <c r="C102" s="49"/>
      <c r="D102" s="49">
        <f>F102+G102+H102+I102</f>
        <v>0</v>
      </c>
      <c r="E102" s="42">
        <f t="shared" si="38"/>
        <v>0</v>
      </c>
      <c r="F102" s="35"/>
      <c r="G102" s="35"/>
      <c r="H102" s="16"/>
      <c r="I102" s="17"/>
      <c r="J102" s="17"/>
      <c r="K102" s="19"/>
      <c r="L102" s="19"/>
      <c r="M102" s="40"/>
      <c r="N102" s="39"/>
      <c r="O102" s="16"/>
      <c r="P102" s="19" t="e">
        <f>J102*100/E102</f>
        <v>#DIV/0!</v>
      </c>
      <c r="Q102" s="17" t="e">
        <f>J102*100/D102</f>
        <v>#DIV/0!</v>
      </c>
      <c r="R102" s="17" t="e">
        <f t="shared" si="27"/>
        <v>#DIV/0!</v>
      </c>
      <c r="S102" s="16"/>
      <c r="T102" s="16"/>
    </row>
    <row r="103" spans="1:20" ht="12.75">
      <c r="A103" s="12" t="s">
        <v>9</v>
      </c>
      <c r="B103" s="26" t="s">
        <v>6</v>
      </c>
      <c r="C103" s="49">
        <v>70.5</v>
      </c>
      <c r="D103" s="49">
        <f aca="true" t="shared" si="39" ref="D103:D111">F103+G103+H103+I103</f>
        <v>70.5</v>
      </c>
      <c r="E103" s="42">
        <f t="shared" si="38"/>
        <v>53.9</v>
      </c>
      <c r="F103" s="35">
        <v>18.6</v>
      </c>
      <c r="G103" s="35">
        <v>16.7</v>
      </c>
      <c r="H103" s="16">
        <v>18.6</v>
      </c>
      <c r="I103" s="17">
        <v>16.6</v>
      </c>
      <c r="J103" s="17">
        <v>97.7</v>
      </c>
      <c r="K103" s="19"/>
      <c r="L103" s="19">
        <f aca="true" t="shared" si="40" ref="L103:L110">J103/H103*100</f>
        <v>525.2688172043011</v>
      </c>
      <c r="M103" s="40"/>
      <c r="N103" s="39"/>
      <c r="O103" s="16">
        <f t="shared" si="32"/>
        <v>588.5542168674698</v>
      </c>
      <c r="P103" s="19">
        <f t="shared" si="30"/>
        <v>181.26159554730984</v>
      </c>
      <c r="Q103" s="17">
        <f t="shared" si="31"/>
        <v>138.58156028368793</v>
      </c>
      <c r="R103" s="17">
        <f t="shared" si="27"/>
        <v>138.58156028368793</v>
      </c>
      <c r="S103" s="16">
        <f>74+48</f>
        <v>122</v>
      </c>
      <c r="T103" s="16">
        <f>75+50</f>
        <v>125</v>
      </c>
    </row>
    <row r="104" spans="1:20" ht="12.75">
      <c r="A104" s="12" t="s">
        <v>10</v>
      </c>
      <c r="B104" s="26" t="s">
        <v>21</v>
      </c>
      <c r="C104" s="49">
        <v>5</v>
      </c>
      <c r="D104" s="49">
        <f t="shared" si="39"/>
        <v>5</v>
      </c>
      <c r="E104" s="42">
        <f t="shared" si="38"/>
        <v>3.5</v>
      </c>
      <c r="F104" s="35">
        <v>1.5</v>
      </c>
      <c r="G104" s="35">
        <v>1.5</v>
      </c>
      <c r="H104" s="16">
        <v>0.5</v>
      </c>
      <c r="I104" s="17">
        <v>1.5</v>
      </c>
      <c r="J104" s="17">
        <v>1.2</v>
      </c>
      <c r="K104" s="19"/>
      <c r="L104" s="19">
        <f t="shared" si="40"/>
        <v>240</v>
      </c>
      <c r="M104" s="39"/>
      <c r="N104" s="39"/>
      <c r="O104" s="16">
        <f t="shared" si="32"/>
        <v>80</v>
      </c>
      <c r="P104" s="19">
        <f t="shared" si="30"/>
        <v>34.285714285714285</v>
      </c>
      <c r="Q104" s="17">
        <f t="shared" si="31"/>
        <v>24</v>
      </c>
      <c r="R104" s="17">
        <f t="shared" si="27"/>
        <v>24</v>
      </c>
      <c r="S104" s="16">
        <v>1.5</v>
      </c>
      <c r="T104" s="16">
        <v>1.5</v>
      </c>
    </row>
    <row r="105" spans="1:20" ht="22.5">
      <c r="A105" s="13" t="s">
        <v>11</v>
      </c>
      <c r="B105" s="26" t="s">
        <v>17</v>
      </c>
      <c r="C105" s="49">
        <v>19</v>
      </c>
      <c r="D105" s="49">
        <f t="shared" si="39"/>
        <v>19</v>
      </c>
      <c r="E105" s="42">
        <f t="shared" si="38"/>
        <v>13.3</v>
      </c>
      <c r="F105" s="35">
        <v>1.9</v>
      </c>
      <c r="G105" s="35">
        <v>5.7</v>
      </c>
      <c r="H105" s="16">
        <v>5.7</v>
      </c>
      <c r="I105" s="17">
        <v>5.7</v>
      </c>
      <c r="J105" s="17">
        <v>16.7</v>
      </c>
      <c r="K105" s="19"/>
      <c r="L105" s="19">
        <f t="shared" si="40"/>
        <v>292.98245614035085</v>
      </c>
      <c r="M105" s="39"/>
      <c r="N105" s="39"/>
      <c r="O105" s="16">
        <f t="shared" si="32"/>
        <v>292.98245614035085</v>
      </c>
      <c r="P105" s="19">
        <f t="shared" si="30"/>
        <v>125.56390977443608</v>
      </c>
      <c r="Q105" s="17">
        <f t="shared" si="31"/>
        <v>87.89473684210526</v>
      </c>
      <c r="R105" s="17">
        <f t="shared" si="27"/>
        <v>87.89473684210526</v>
      </c>
      <c r="S105" s="16">
        <v>26</v>
      </c>
      <c r="T105" s="16">
        <v>26</v>
      </c>
    </row>
    <row r="106" spans="1:20" ht="12.75">
      <c r="A106" s="28" t="s">
        <v>41</v>
      </c>
      <c r="B106" s="26" t="s">
        <v>42</v>
      </c>
      <c r="C106" s="49">
        <v>35</v>
      </c>
      <c r="D106" s="49">
        <f t="shared" si="39"/>
        <v>72.4</v>
      </c>
      <c r="E106" s="42">
        <f t="shared" si="38"/>
        <v>24.5</v>
      </c>
      <c r="F106" s="35">
        <v>10.5</v>
      </c>
      <c r="G106" s="35">
        <v>7</v>
      </c>
      <c r="H106" s="16">
        <v>7</v>
      </c>
      <c r="I106" s="17">
        <f>10.5+37.4</f>
        <v>47.9</v>
      </c>
      <c r="J106" s="17">
        <v>64.4</v>
      </c>
      <c r="K106" s="19"/>
      <c r="L106" s="19">
        <f t="shared" si="40"/>
        <v>920.0000000000001</v>
      </c>
      <c r="M106" s="39"/>
      <c r="N106" s="39"/>
      <c r="O106" s="16">
        <f t="shared" si="32"/>
        <v>134.44676409185806</v>
      </c>
      <c r="P106" s="19">
        <f t="shared" si="30"/>
        <v>262.8571428571429</v>
      </c>
      <c r="Q106" s="17">
        <f t="shared" si="31"/>
        <v>88.95027624309392</v>
      </c>
      <c r="R106" s="17">
        <f t="shared" si="27"/>
        <v>184.00000000000003</v>
      </c>
      <c r="S106" s="16">
        <v>36</v>
      </c>
      <c r="T106" s="16">
        <v>35</v>
      </c>
    </row>
    <row r="107" spans="1:20" ht="18.75" customHeight="1">
      <c r="A107" s="20" t="s">
        <v>12</v>
      </c>
      <c r="B107" s="52" t="s">
        <v>7</v>
      </c>
      <c r="C107" s="49"/>
      <c r="D107" s="49">
        <f t="shared" si="39"/>
        <v>0</v>
      </c>
      <c r="E107" s="42">
        <f t="shared" si="38"/>
        <v>0</v>
      </c>
      <c r="F107" s="35"/>
      <c r="G107" s="35"/>
      <c r="H107" s="16"/>
      <c r="I107" s="17"/>
      <c r="J107" s="17">
        <v>50</v>
      </c>
      <c r="K107" s="19"/>
      <c r="L107" s="19" t="e">
        <f t="shared" si="40"/>
        <v>#DIV/0!</v>
      </c>
      <c r="M107" s="39"/>
      <c r="N107" s="39"/>
      <c r="O107" s="16" t="e">
        <f t="shared" si="32"/>
        <v>#DIV/0!</v>
      </c>
      <c r="P107" s="19"/>
      <c r="Q107" s="17"/>
      <c r="R107" s="17"/>
      <c r="S107" s="16">
        <v>50</v>
      </c>
      <c r="T107" s="16"/>
    </row>
    <row r="108" spans="1:20" ht="16.5" customHeight="1">
      <c r="A108" s="28" t="s">
        <v>39</v>
      </c>
      <c r="B108" s="15" t="s">
        <v>40</v>
      </c>
      <c r="C108" s="49"/>
      <c r="D108" s="49">
        <f t="shared" si="39"/>
        <v>0</v>
      </c>
      <c r="E108" s="42">
        <f t="shared" si="38"/>
        <v>0</v>
      </c>
      <c r="F108" s="35"/>
      <c r="G108" s="35"/>
      <c r="H108" s="16"/>
      <c r="I108" s="17"/>
      <c r="J108" s="17"/>
      <c r="K108" s="25"/>
      <c r="L108" s="19" t="e">
        <f t="shared" si="40"/>
        <v>#DIV/0!</v>
      </c>
      <c r="M108" s="39"/>
      <c r="N108" s="39"/>
      <c r="O108" s="16" t="e">
        <f t="shared" si="32"/>
        <v>#DIV/0!</v>
      </c>
      <c r="P108" s="25"/>
      <c r="Q108" s="22"/>
      <c r="R108" s="17"/>
      <c r="S108" s="16"/>
      <c r="T108" s="16"/>
    </row>
    <row r="109" spans="1:20" ht="12.75">
      <c r="A109" s="48" t="s">
        <v>1</v>
      </c>
      <c r="B109" s="30" t="s">
        <v>0</v>
      </c>
      <c r="C109" s="31">
        <f aca="true" t="shared" si="41" ref="C109:K109">C110+C111</f>
        <v>19477.9</v>
      </c>
      <c r="D109" s="31">
        <f t="shared" si="41"/>
        <v>28843.6</v>
      </c>
      <c r="E109" s="31">
        <f t="shared" si="41"/>
        <v>21807.9</v>
      </c>
      <c r="F109" s="31">
        <f t="shared" si="41"/>
        <v>7217.5</v>
      </c>
      <c r="G109" s="31">
        <f t="shared" si="41"/>
        <v>8954.3</v>
      </c>
      <c r="H109" s="31">
        <f t="shared" si="41"/>
        <v>5636.1</v>
      </c>
      <c r="I109" s="31">
        <f t="shared" si="41"/>
        <v>7000.1</v>
      </c>
      <c r="J109" s="31">
        <f t="shared" si="41"/>
        <v>25412.6</v>
      </c>
      <c r="K109" s="31">
        <f t="shared" si="41"/>
        <v>0</v>
      </c>
      <c r="L109" s="25">
        <f>J109/H109*100</f>
        <v>450.8897996841787</v>
      </c>
      <c r="M109" s="39"/>
      <c r="N109" s="39"/>
      <c r="O109" s="34">
        <f t="shared" si="32"/>
        <v>363.03195668633305</v>
      </c>
      <c r="P109" s="25">
        <f t="shared" si="30"/>
        <v>116.52933111395411</v>
      </c>
      <c r="Q109" s="22">
        <f t="shared" si="31"/>
        <v>88.10481354615929</v>
      </c>
      <c r="R109" s="22">
        <f t="shared" si="27"/>
        <v>130.4688903834602</v>
      </c>
      <c r="S109" s="31">
        <f>S110+S111</f>
        <v>0</v>
      </c>
      <c r="T109" s="31">
        <f>T110+T111</f>
        <v>0</v>
      </c>
    </row>
    <row r="110" spans="1:20" ht="22.5">
      <c r="A110" s="14" t="s">
        <v>54</v>
      </c>
      <c r="B110" s="32" t="s">
        <v>20</v>
      </c>
      <c r="C110" s="35">
        <v>19477.9</v>
      </c>
      <c r="D110" s="49">
        <v>28843.6</v>
      </c>
      <c r="E110" s="42">
        <f>F110+G110+H110</f>
        <v>21807.9</v>
      </c>
      <c r="F110" s="35">
        <f>7108.9+108.6</f>
        <v>7217.5</v>
      </c>
      <c r="G110" s="35">
        <v>8954.3</v>
      </c>
      <c r="H110" s="16">
        <v>5636.1</v>
      </c>
      <c r="I110" s="17">
        <f>4781.3+2218.8</f>
        <v>7000.1</v>
      </c>
      <c r="J110" s="17">
        <v>25412.6</v>
      </c>
      <c r="K110" s="19"/>
      <c r="L110" s="19">
        <f t="shared" si="40"/>
        <v>450.8897996841787</v>
      </c>
      <c r="M110" s="39"/>
      <c r="N110" s="39"/>
      <c r="O110" s="16">
        <f t="shared" si="32"/>
        <v>363.03195668633305</v>
      </c>
      <c r="P110" s="19">
        <f t="shared" si="30"/>
        <v>116.52933111395411</v>
      </c>
      <c r="Q110" s="17">
        <f t="shared" si="31"/>
        <v>88.10481354615929</v>
      </c>
      <c r="R110" s="17">
        <f t="shared" si="27"/>
        <v>130.4688903834602</v>
      </c>
      <c r="S110" s="16"/>
      <c r="T110" s="16"/>
    </row>
    <row r="111" spans="1:20" ht="12.75" hidden="1">
      <c r="A111" s="14" t="s">
        <v>2</v>
      </c>
      <c r="B111" s="33" t="s">
        <v>19</v>
      </c>
      <c r="C111" s="33"/>
      <c r="D111" s="49">
        <f t="shared" si="39"/>
        <v>0</v>
      </c>
      <c r="E111" s="49">
        <f>F111+G111</f>
        <v>0</v>
      </c>
      <c r="F111" s="51"/>
      <c r="G111" s="51"/>
      <c r="H111" s="16"/>
      <c r="I111" s="17"/>
      <c r="J111" s="17"/>
      <c r="K111" s="19"/>
      <c r="L111" s="19"/>
      <c r="M111" s="39"/>
      <c r="N111" s="39"/>
      <c r="O111" s="16" t="e">
        <f t="shared" si="32"/>
        <v>#DIV/0!</v>
      </c>
      <c r="P111" s="25"/>
      <c r="Q111" s="22"/>
      <c r="R111" s="17" t="e">
        <f t="shared" si="27"/>
        <v>#DIV/0!</v>
      </c>
      <c r="S111" s="16"/>
      <c r="T111" s="16"/>
    </row>
    <row r="112" spans="1:20" ht="12.75">
      <c r="A112" s="20"/>
      <c r="B112" s="21" t="s">
        <v>4</v>
      </c>
      <c r="C112" s="22">
        <f aca="true" t="shared" si="42" ref="C112:K112">C109+C99</f>
        <v>21697.800000000003</v>
      </c>
      <c r="D112" s="22">
        <f t="shared" si="42"/>
        <v>31420.899999999998</v>
      </c>
      <c r="E112" s="34">
        <f t="shared" si="42"/>
        <v>23470.9</v>
      </c>
      <c r="F112" s="34">
        <f t="shared" si="42"/>
        <v>7772.6</v>
      </c>
      <c r="G112" s="34">
        <f>G109+G99</f>
        <v>9507.8</v>
      </c>
      <c r="H112" s="22">
        <f t="shared" si="42"/>
        <v>6190.5</v>
      </c>
      <c r="I112" s="22">
        <f t="shared" si="42"/>
        <v>7914.400000000001</v>
      </c>
      <c r="J112" s="22">
        <f t="shared" si="42"/>
        <v>28034.699999999997</v>
      </c>
      <c r="K112" s="22" t="e">
        <f t="shared" si="42"/>
        <v>#REF!</v>
      </c>
      <c r="L112" s="25">
        <f>J112/H112*100</f>
        <v>452.86648897504233</v>
      </c>
      <c r="M112" s="39"/>
      <c r="N112" s="40" t="e">
        <f>I112+#REF!+#REF!</f>
        <v>#REF!</v>
      </c>
      <c r="O112" s="34">
        <f t="shared" si="32"/>
        <v>354.2239462246032</v>
      </c>
      <c r="P112" s="25">
        <f t="shared" si="30"/>
        <v>119.44450361937545</v>
      </c>
      <c r="Q112" s="22">
        <f t="shared" si="31"/>
        <v>89.22309672861057</v>
      </c>
      <c r="R112" s="22">
        <f t="shared" si="27"/>
        <v>129.20526504991287</v>
      </c>
      <c r="S112" s="16"/>
      <c r="T112" s="16"/>
    </row>
    <row r="113" spans="1:20" ht="12.75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8"/>
      <c r="M113" s="39"/>
      <c r="N113" s="39"/>
      <c r="O113" s="38"/>
      <c r="P113" s="25"/>
      <c r="Q113" s="22"/>
      <c r="R113" s="17"/>
      <c r="S113" s="16"/>
      <c r="T113" s="16"/>
    </row>
    <row r="114" spans="1:20" ht="12.75">
      <c r="A114" s="69" t="s">
        <v>30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16"/>
      <c r="T114" s="16"/>
    </row>
    <row r="115" spans="1:20" ht="12.75">
      <c r="A115" s="23" t="s">
        <v>3</v>
      </c>
      <c r="B115" s="24" t="s">
        <v>55</v>
      </c>
      <c r="C115" s="25">
        <f aca="true" t="shared" si="43" ref="C115:I115">C116+C120+C124+C121+C122+C125+C123+C126+C117+C118+C119</f>
        <v>4041</v>
      </c>
      <c r="D115" s="25">
        <f t="shared" si="43"/>
        <v>4903.4</v>
      </c>
      <c r="E115" s="25">
        <f t="shared" si="43"/>
        <v>3557.5</v>
      </c>
      <c r="F115" s="25">
        <f t="shared" si="43"/>
        <v>952.3</v>
      </c>
      <c r="G115" s="25">
        <f t="shared" si="43"/>
        <v>1067.9</v>
      </c>
      <c r="H115" s="25">
        <f t="shared" si="43"/>
        <v>1537.3000000000002</v>
      </c>
      <c r="I115" s="25">
        <f t="shared" si="43"/>
        <v>981</v>
      </c>
      <c r="J115" s="25">
        <f>J116+J120+J124+J121+J122+J125+J123+J126+J117+J118+J119</f>
        <v>4608.1</v>
      </c>
      <c r="K115" s="25" t="e">
        <f>J115/#REF!*100</f>
        <v>#REF!</v>
      </c>
      <c r="L115" s="25">
        <f aca="true" t="shared" si="44" ref="L115:L124">J115/H115*100</f>
        <v>299.7528133740974</v>
      </c>
      <c r="M115" s="39"/>
      <c r="N115" s="39"/>
      <c r="O115" s="25">
        <f t="shared" si="32"/>
        <v>469.73496432212033</v>
      </c>
      <c r="P115" s="25">
        <f t="shared" si="30"/>
        <v>129.53197470133523</v>
      </c>
      <c r="Q115" s="22">
        <f t="shared" si="31"/>
        <v>93.9776481624995</v>
      </c>
      <c r="R115" s="22">
        <f t="shared" si="27"/>
        <v>114.03365503588222</v>
      </c>
      <c r="S115" s="34">
        <f>S116+S120+S124+S121+S122+S125+S123+S126+S117+S118+S119</f>
        <v>5257.1</v>
      </c>
      <c r="T115" s="34">
        <f>T116+T120+T124+T121+T122+T125+T123+T126+T117+T118+T119</f>
        <v>5053.8</v>
      </c>
    </row>
    <row r="116" spans="1:20" ht="12.75">
      <c r="A116" s="20" t="s">
        <v>23</v>
      </c>
      <c r="B116" s="26" t="s">
        <v>22</v>
      </c>
      <c r="C116" s="49">
        <v>1110</v>
      </c>
      <c r="D116" s="49">
        <v>1129</v>
      </c>
      <c r="E116" s="42">
        <f>F116+G116+H116</f>
        <v>875.1</v>
      </c>
      <c r="F116" s="49">
        <v>296.3</v>
      </c>
      <c r="G116" s="49">
        <v>353.7</v>
      </c>
      <c r="H116" s="17">
        <v>225.1</v>
      </c>
      <c r="I116" s="17">
        <v>234.9</v>
      </c>
      <c r="J116" s="17">
        <v>1061.2</v>
      </c>
      <c r="K116" s="19" t="e">
        <f>J116/#REF!*100</f>
        <v>#REF!</v>
      </c>
      <c r="L116" s="19">
        <f t="shared" si="44"/>
        <v>471.4349178143048</v>
      </c>
      <c r="M116" s="39"/>
      <c r="N116" s="39"/>
      <c r="O116" s="16">
        <f t="shared" si="32"/>
        <v>451.7667092379736</v>
      </c>
      <c r="P116" s="19">
        <f t="shared" si="30"/>
        <v>121.26614101245572</v>
      </c>
      <c r="Q116" s="17">
        <f t="shared" si="31"/>
        <v>93.99468556244464</v>
      </c>
      <c r="R116" s="17">
        <f t="shared" si="27"/>
        <v>95.6036036036036</v>
      </c>
      <c r="S116" s="16">
        <v>1200</v>
      </c>
      <c r="T116" s="16">
        <v>1210</v>
      </c>
    </row>
    <row r="117" spans="1:20" ht="12.75" hidden="1">
      <c r="A117" s="12" t="s">
        <v>8</v>
      </c>
      <c r="B117" s="26" t="s">
        <v>5</v>
      </c>
      <c r="C117" s="49"/>
      <c r="D117" s="49">
        <f>F117+G117+H117+I117</f>
        <v>0</v>
      </c>
      <c r="E117" s="42">
        <f aca="true" t="shared" si="45" ref="E117:E126">F117+G117+H117</f>
        <v>0</v>
      </c>
      <c r="F117" s="49"/>
      <c r="G117" s="49"/>
      <c r="H117" s="17"/>
      <c r="I117" s="17"/>
      <c r="J117" s="17"/>
      <c r="K117" s="19"/>
      <c r="L117" s="19"/>
      <c r="M117" s="39"/>
      <c r="N117" s="39"/>
      <c r="O117" s="16"/>
      <c r="P117" s="19" t="e">
        <f>J117*100/E117</f>
        <v>#DIV/0!</v>
      </c>
      <c r="Q117" s="17" t="e">
        <f>J117*100/D117</f>
        <v>#DIV/0!</v>
      </c>
      <c r="R117" s="17" t="e">
        <f t="shared" si="27"/>
        <v>#DIV/0!</v>
      </c>
      <c r="S117" s="16"/>
      <c r="T117" s="16"/>
    </row>
    <row r="118" spans="1:20" ht="13.5" customHeight="1">
      <c r="A118" s="12" t="s">
        <v>57</v>
      </c>
      <c r="B118" s="26" t="s">
        <v>58</v>
      </c>
      <c r="C118" s="49">
        <v>2422</v>
      </c>
      <c r="D118" s="49">
        <v>2622</v>
      </c>
      <c r="E118" s="42">
        <f t="shared" si="45"/>
        <v>1820.9</v>
      </c>
      <c r="F118" s="49">
        <v>463</v>
      </c>
      <c r="G118" s="49">
        <v>620.2</v>
      </c>
      <c r="H118" s="17">
        <v>737.7</v>
      </c>
      <c r="I118" s="17">
        <v>601.1</v>
      </c>
      <c r="J118" s="17">
        <v>2582.9</v>
      </c>
      <c r="K118" s="19"/>
      <c r="L118" s="19"/>
      <c r="M118" s="39"/>
      <c r="N118" s="39"/>
      <c r="O118" s="16"/>
      <c r="P118" s="19">
        <f>J118*100/E118</f>
        <v>141.84743808007028</v>
      </c>
      <c r="Q118" s="17">
        <f>J118*100/D118</f>
        <v>98.50877192982456</v>
      </c>
      <c r="R118" s="17">
        <f t="shared" si="27"/>
        <v>106.64327002477292</v>
      </c>
      <c r="S118" s="16">
        <v>2627.3</v>
      </c>
      <c r="T118" s="16">
        <v>2908.3</v>
      </c>
    </row>
    <row r="119" spans="1:20" ht="13.5" customHeight="1">
      <c r="A119" s="12" t="s">
        <v>8</v>
      </c>
      <c r="B119" s="26" t="s">
        <v>5</v>
      </c>
      <c r="C119" s="49"/>
      <c r="D119" s="49">
        <v>14</v>
      </c>
      <c r="E119" s="42">
        <f t="shared" si="45"/>
        <v>0</v>
      </c>
      <c r="F119" s="49"/>
      <c r="G119" s="49"/>
      <c r="H119" s="17"/>
      <c r="I119" s="17"/>
      <c r="J119" s="17">
        <v>13.6</v>
      </c>
      <c r="K119" s="19"/>
      <c r="L119" s="19"/>
      <c r="M119" s="39"/>
      <c r="N119" s="39"/>
      <c r="O119" s="16"/>
      <c r="P119" s="19"/>
      <c r="Q119" s="17">
        <f>J119*100/D119</f>
        <v>97.14285714285714</v>
      </c>
      <c r="R119" s="17"/>
      <c r="S119" s="16">
        <v>5.6</v>
      </c>
      <c r="T119" s="16"/>
    </row>
    <row r="120" spans="1:20" ht="12.75">
      <c r="A120" s="12" t="s">
        <v>9</v>
      </c>
      <c r="B120" s="26" t="s">
        <v>6</v>
      </c>
      <c r="C120" s="49">
        <v>99</v>
      </c>
      <c r="D120" s="49">
        <v>155</v>
      </c>
      <c r="E120" s="42">
        <f t="shared" si="45"/>
        <v>33</v>
      </c>
      <c r="F120" s="49">
        <v>11</v>
      </c>
      <c r="G120" s="49">
        <v>15</v>
      </c>
      <c r="H120" s="17">
        <v>7</v>
      </c>
      <c r="I120" s="17">
        <v>66</v>
      </c>
      <c r="J120" s="17">
        <v>150.9</v>
      </c>
      <c r="K120" s="19" t="e">
        <f>J120/#REF!*100</f>
        <v>#REF!</v>
      </c>
      <c r="L120" s="19">
        <f t="shared" si="44"/>
        <v>2155.714285714286</v>
      </c>
      <c r="M120" s="39"/>
      <c r="N120" s="39"/>
      <c r="O120" s="16">
        <f t="shared" si="32"/>
        <v>228.63636363636363</v>
      </c>
      <c r="P120" s="19">
        <f t="shared" si="30"/>
        <v>457.27272727272725</v>
      </c>
      <c r="Q120" s="17">
        <f t="shared" si="31"/>
        <v>97.35483870967742</v>
      </c>
      <c r="R120" s="17">
        <f t="shared" si="27"/>
        <v>152.42424242424244</v>
      </c>
      <c r="S120" s="16">
        <f>50+92</f>
        <v>142</v>
      </c>
      <c r="T120" s="16">
        <f>52+93</f>
        <v>145</v>
      </c>
    </row>
    <row r="121" spans="1:20" ht="12.75">
      <c r="A121" s="12" t="s">
        <v>10</v>
      </c>
      <c r="B121" s="26" t="s">
        <v>21</v>
      </c>
      <c r="C121" s="49">
        <v>17</v>
      </c>
      <c r="D121" s="49">
        <v>12</v>
      </c>
      <c r="E121" s="42">
        <f t="shared" si="45"/>
        <v>12</v>
      </c>
      <c r="F121" s="49">
        <v>6</v>
      </c>
      <c r="G121" s="49">
        <v>3</v>
      </c>
      <c r="H121" s="17">
        <v>3</v>
      </c>
      <c r="I121" s="17">
        <v>5</v>
      </c>
      <c r="J121" s="17">
        <v>13.5</v>
      </c>
      <c r="K121" s="19" t="e">
        <f>J121/#REF!*100</f>
        <v>#REF!</v>
      </c>
      <c r="L121" s="19">
        <f t="shared" si="44"/>
        <v>450</v>
      </c>
      <c r="M121" s="39"/>
      <c r="N121" s="39"/>
      <c r="O121" s="16">
        <f t="shared" si="32"/>
        <v>270</v>
      </c>
      <c r="P121" s="19">
        <f t="shared" si="30"/>
        <v>112.5</v>
      </c>
      <c r="Q121" s="17">
        <f t="shared" si="31"/>
        <v>112.5</v>
      </c>
      <c r="R121" s="17">
        <f t="shared" si="27"/>
        <v>79.41176470588235</v>
      </c>
      <c r="S121" s="16">
        <v>12</v>
      </c>
      <c r="T121" s="16">
        <v>12</v>
      </c>
    </row>
    <row r="122" spans="1:20" ht="22.5">
      <c r="A122" s="13" t="s">
        <v>11</v>
      </c>
      <c r="B122" s="26" t="s">
        <v>17</v>
      </c>
      <c r="C122" s="49">
        <v>283</v>
      </c>
      <c r="D122" s="49">
        <v>399</v>
      </c>
      <c r="E122" s="42">
        <f t="shared" si="45"/>
        <v>233</v>
      </c>
      <c r="F122" s="49">
        <v>137</v>
      </c>
      <c r="G122" s="49">
        <v>48</v>
      </c>
      <c r="H122" s="17">
        <v>48</v>
      </c>
      <c r="I122" s="17">
        <v>50</v>
      </c>
      <c r="J122" s="17">
        <v>387.1</v>
      </c>
      <c r="K122" s="19" t="e">
        <f>J122/#REF!*100</f>
        <v>#REF!</v>
      </c>
      <c r="L122" s="19">
        <f t="shared" si="44"/>
        <v>806.4583333333334</v>
      </c>
      <c r="M122" s="39"/>
      <c r="N122" s="39"/>
      <c r="O122" s="16">
        <f t="shared" si="32"/>
        <v>774.2</v>
      </c>
      <c r="P122" s="19">
        <f t="shared" si="30"/>
        <v>166.137339055794</v>
      </c>
      <c r="Q122" s="17">
        <f t="shared" si="31"/>
        <v>97.01754385964912</v>
      </c>
      <c r="R122" s="17">
        <f t="shared" si="27"/>
        <v>136.78445229681978</v>
      </c>
      <c r="S122" s="16">
        <v>657.2</v>
      </c>
      <c r="T122" s="16">
        <v>657.2</v>
      </c>
    </row>
    <row r="123" spans="1:20" ht="12.75">
      <c r="A123" s="28" t="s">
        <v>41</v>
      </c>
      <c r="B123" s="26" t="s">
        <v>42</v>
      </c>
      <c r="C123" s="49">
        <v>110</v>
      </c>
      <c r="D123" s="49">
        <f>F123+G123+H123+I123</f>
        <v>110</v>
      </c>
      <c r="E123" s="42">
        <f t="shared" si="45"/>
        <v>86</v>
      </c>
      <c r="F123" s="49">
        <v>39</v>
      </c>
      <c r="G123" s="49">
        <v>28</v>
      </c>
      <c r="H123" s="17">
        <v>19</v>
      </c>
      <c r="I123" s="17">
        <v>24</v>
      </c>
      <c r="J123" s="17">
        <v>114.5</v>
      </c>
      <c r="K123" s="19" t="e">
        <f>J123/#REF!*100</f>
        <v>#REF!</v>
      </c>
      <c r="L123" s="19">
        <f t="shared" si="44"/>
        <v>602.6315789473684</v>
      </c>
      <c r="M123" s="39"/>
      <c r="N123" s="39"/>
      <c r="O123" s="16">
        <f t="shared" si="32"/>
        <v>477.0833333333333</v>
      </c>
      <c r="P123" s="19">
        <f t="shared" si="30"/>
        <v>133.13953488372093</v>
      </c>
      <c r="Q123" s="17">
        <f t="shared" si="31"/>
        <v>104.0909090909091</v>
      </c>
      <c r="R123" s="17">
        <f t="shared" si="27"/>
        <v>104.0909090909091</v>
      </c>
      <c r="S123" s="16">
        <v>115.5</v>
      </c>
      <c r="T123" s="16">
        <v>121.3</v>
      </c>
    </row>
    <row r="124" spans="1:20" ht="18" customHeight="1">
      <c r="A124" s="27" t="s">
        <v>18</v>
      </c>
      <c r="B124" s="26" t="s">
        <v>15</v>
      </c>
      <c r="C124" s="49"/>
      <c r="D124" s="49">
        <v>461</v>
      </c>
      <c r="E124" s="42">
        <f t="shared" si="45"/>
        <v>497.5</v>
      </c>
      <c r="F124" s="49"/>
      <c r="G124" s="49"/>
      <c r="H124" s="17">
        <v>497.5</v>
      </c>
      <c r="I124" s="17"/>
      <c r="J124" s="17">
        <v>256.8</v>
      </c>
      <c r="K124" s="19" t="e">
        <f>J124/#REF!*100</f>
        <v>#REF!</v>
      </c>
      <c r="L124" s="19">
        <f t="shared" si="44"/>
        <v>51.61809045226131</v>
      </c>
      <c r="M124" s="39"/>
      <c r="N124" s="39"/>
      <c r="O124" s="16" t="e">
        <f t="shared" si="32"/>
        <v>#DIV/0!</v>
      </c>
      <c r="P124" s="19">
        <f t="shared" si="30"/>
        <v>51.618090452261306</v>
      </c>
      <c r="Q124" s="17">
        <f t="shared" si="31"/>
        <v>55.70498915401301</v>
      </c>
      <c r="R124" s="17"/>
      <c r="S124" s="16">
        <v>497.5</v>
      </c>
      <c r="T124" s="16"/>
    </row>
    <row r="125" spans="1:20" ht="20.25" customHeight="1">
      <c r="A125" s="20" t="s">
        <v>12</v>
      </c>
      <c r="B125" s="26" t="s">
        <v>7</v>
      </c>
      <c r="C125" s="49"/>
      <c r="D125" s="49">
        <v>1.4</v>
      </c>
      <c r="E125" s="42">
        <f t="shared" si="45"/>
        <v>0</v>
      </c>
      <c r="F125" s="49"/>
      <c r="G125" s="49"/>
      <c r="H125" s="17"/>
      <c r="I125" s="17"/>
      <c r="J125" s="17">
        <v>1.4</v>
      </c>
      <c r="K125" s="19"/>
      <c r="L125" s="19"/>
      <c r="M125" s="39"/>
      <c r="N125" s="39"/>
      <c r="O125" s="16" t="e">
        <f t="shared" si="32"/>
        <v>#DIV/0!</v>
      </c>
      <c r="P125" s="25"/>
      <c r="Q125" s="22"/>
      <c r="R125" s="17"/>
      <c r="S125" s="16"/>
      <c r="T125" s="16"/>
    </row>
    <row r="126" spans="1:20" ht="11.25" customHeight="1">
      <c r="A126" s="27" t="s">
        <v>39</v>
      </c>
      <c r="B126" s="15" t="s">
        <v>40</v>
      </c>
      <c r="C126" s="49"/>
      <c r="D126" s="49">
        <f>F126+G126+H126+I126</f>
        <v>0</v>
      </c>
      <c r="E126" s="42">
        <f t="shared" si="45"/>
        <v>0</v>
      </c>
      <c r="F126" s="49"/>
      <c r="G126" s="49"/>
      <c r="H126" s="17"/>
      <c r="I126" s="17"/>
      <c r="J126" s="17">
        <v>26.2</v>
      </c>
      <c r="K126" s="19"/>
      <c r="L126" s="19"/>
      <c r="M126" s="39"/>
      <c r="N126" s="39"/>
      <c r="O126" s="16" t="e">
        <f t="shared" si="32"/>
        <v>#DIV/0!</v>
      </c>
      <c r="P126" s="25"/>
      <c r="Q126" s="22"/>
      <c r="R126" s="17"/>
      <c r="S126" s="16"/>
      <c r="T126" s="16"/>
    </row>
    <row r="127" spans="1:20" ht="12.75">
      <c r="A127" s="23" t="s">
        <v>1</v>
      </c>
      <c r="B127" s="30" t="s">
        <v>0</v>
      </c>
      <c r="C127" s="31">
        <f aca="true" t="shared" si="46" ref="C127:K127">C128</f>
        <v>26669.6</v>
      </c>
      <c r="D127" s="31">
        <f t="shared" si="46"/>
        <v>37298.6</v>
      </c>
      <c r="E127" s="53">
        <f t="shared" si="46"/>
        <v>30712.800000000003</v>
      </c>
      <c r="F127" s="53">
        <f t="shared" si="46"/>
        <v>5481.7</v>
      </c>
      <c r="G127" s="53">
        <f t="shared" si="46"/>
        <v>9315.3</v>
      </c>
      <c r="H127" s="53">
        <f t="shared" si="46"/>
        <v>15915.800000000001</v>
      </c>
      <c r="I127" s="31">
        <f t="shared" si="46"/>
        <v>6525.3</v>
      </c>
      <c r="J127" s="31">
        <f t="shared" si="46"/>
        <v>34385.4</v>
      </c>
      <c r="K127" s="31" t="e">
        <f t="shared" si="46"/>
        <v>#REF!</v>
      </c>
      <c r="L127" s="25">
        <f>J127/H127*100</f>
        <v>216.0456904459719</v>
      </c>
      <c r="M127" s="39"/>
      <c r="N127" s="39"/>
      <c r="O127" s="34">
        <f t="shared" si="32"/>
        <v>526.9550825249414</v>
      </c>
      <c r="P127" s="25">
        <f t="shared" si="30"/>
        <v>111.95788075330154</v>
      </c>
      <c r="Q127" s="22">
        <f t="shared" si="31"/>
        <v>92.18951917766351</v>
      </c>
      <c r="R127" s="22">
        <f t="shared" si="27"/>
        <v>128.93106758256593</v>
      </c>
      <c r="S127" s="31">
        <f>S128</f>
        <v>0</v>
      </c>
      <c r="T127" s="31">
        <f>T128</f>
        <v>0</v>
      </c>
    </row>
    <row r="128" spans="1:20" ht="22.5">
      <c r="A128" s="14" t="s">
        <v>54</v>
      </c>
      <c r="B128" s="32" t="s">
        <v>20</v>
      </c>
      <c r="C128" s="35">
        <v>26669.6</v>
      </c>
      <c r="D128" s="49">
        <v>37298.6</v>
      </c>
      <c r="E128" s="42">
        <f>F128+G128+H128</f>
        <v>30712.800000000003</v>
      </c>
      <c r="F128" s="49">
        <v>5481.7</v>
      </c>
      <c r="G128" s="49">
        <v>9315.3</v>
      </c>
      <c r="H128" s="17">
        <f>12161+92.1+2561.3+1101.4</f>
        <v>15915.800000000001</v>
      </c>
      <c r="I128" s="17">
        <f>6127.6+397.7</f>
        <v>6525.3</v>
      </c>
      <c r="J128" s="17">
        <v>34385.4</v>
      </c>
      <c r="K128" s="19" t="e">
        <f>J128/#REF!*100</f>
        <v>#REF!</v>
      </c>
      <c r="L128" s="19">
        <f>J128/H128*100</f>
        <v>216.0456904459719</v>
      </c>
      <c r="M128" s="39"/>
      <c r="N128" s="39"/>
      <c r="O128" s="16">
        <f t="shared" si="32"/>
        <v>526.9550825249414</v>
      </c>
      <c r="P128" s="19">
        <f t="shared" si="30"/>
        <v>111.95788075330154</v>
      </c>
      <c r="Q128" s="17">
        <f t="shared" si="31"/>
        <v>92.18951917766351</v>
      </c>
      <c r="R128" s="17">
        <f t="shared" si="27"/>
        <v>128.93106758256593</v>
      </c>
      <c r="S128" s="16"/>
      <c r="T128" s="16"/>
    </row>
    <row r="129" spans="1:20" ht="12.75">
      <c r="A129" s="20"/>
      <c r="B129" s="21" t="s">
        <v>4</v>
      </c>
      <c r="C129" s="22">
        <f aca="true" t="shared" si="47" ref="C129:J129">C127+C115</f>
        <v>30710.6</v>
      </c>
      <c r="D129" s="22">
        <f t="shared" si="47"/>
        <v>42202</v>
      </c>
      <c r="E129" s="22">
        <f t="shared" si="47"/>
        <v>34270.3</v>
      </c>
      <c r="F129" s="22">
        <f t="shared" si="47"/>
        <v>6434</v>
      </c>
      <c r="G129" s="22">
        <f t="shared" si="47"/>
        <v>10383.199999999999</v>
      </c>
      <c r="H129" s="22">
        <f t="shared" si="47"/>
        <v>17453.100000000002</v>
      </c>
      <c r="I129" s="22">
        <f t="shared" si="47"/>
        <v>7506.3</v>
      </c>
      <c r="J129" s="22">
        <f t="shared" si="47"/>
        <v>38993.5</v>
      </c>
      <c r="K129" s="25" t="e">
        <f>J129/#REF!*100</f>
        <v>#REF!</v>
      </c>
      <c r="L129" s="25">
        <f>J129/H129*100</f>
        <v>223.41876228291818</v>
      </c>
      <c r="M129" s="39"/>
      <c r="N129" s="40" t="e">
        <f>I129+#REF!+#REF!</f>
        <v>#REF!</v>
      </c>
      <c r="O129" s="34">
        <f t="shared" si="32"/>
        <v>519.4769726762852</v>
      </c>
      <c r="P129" s="25">
        <f t="shared" si="30"/>
        <v>113.7821962457288</v>
      </c>
      <c r="Q129" s="22">
        <f t="shared" si="31"/>
        <v>92.3972797497749</v>
      </c>
      <c r="R129" s="22">
        <f t="shared" si="27"/>
        <v>126.97081789349606</v>
      </c>
      <c r="S129" s="34">
        <f>S127+S115</f>
        <v>5257.1</v>
      </c>
      <c r="T129" s="34">
        <f>T127+T115</f>
        <v>5053.8</v>
      </c>
    </row>
    <row r="130" spans="1:20" ht="12.75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8"/>
      <c r="M130" s="39"/>
      <c r="N130" s="39"/>
      <c r="O130" s="38"/>
      <c r="P130" s="25"/>
      <c r="Q130" s="22"/>
      <c r="R130" s="17"/>
      <c r="S130" s="16"/>
      <c r="T130" s="16"/>
    </row>
    <row r="131" spans="1:20" ht="12.75">
      <c r="A131" s="69" t="s">
        <v>31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16"/>
      <c r="T131" s="16"/>
    </row>
    <row r="132" spans="1:20" ht="12.75">
      <c r="A132" s="23" t="s">
        <v>3</v>
      </c>
      <c r="B132" s="24" t="s">
        <v>55</v>
      </c>
      <c r="C132" s="25">
        <f aca="true" t="shared" si="48" ref="C132:I132">C133+C135+C136+C137+C139+C141+C138+C140+C134</f>
        <v>8150.6</v>
      </c>
      <c r="D132" s="25">
        <f t="shared" si="48"/>
        <v>10030.8</v>
      </c>
      <c r="E132" s="25">
        <f t="shared" si="48"/>
        <v>6802</v>
      </c>
      <c r="F132" s="25">
        <f t="shared" si="48"/>
        <v>1445.3</v>
      </c>
      <c r="G132" s="25">
        <f t="shared" si="48"/>
        <v>2674.7</v>
      </c>
      <c r="H132" s="25">
        <f t="shared" si="48"/>
        <v>2682</v>
      </c>
      <c r="I132" s="25">
        <f t="shared" si="48"/>
        <v>2199.8</v>
      </c>
      <c r="J132" s="25">
        <f>J133+J135+J136+J137+J139+J141+J138+J140+J134</f>
        <v>9991.399999999998</v>
      </c>
      <c r="K132" s="25" t="e">
        <f>J132/#REF!*100</f>
        <v>#REF!</v>
      </c>
      <c r="L132" s="25">
        <f aca="true" t="shared" si="49" ref="L132:L139">J132/H132*100</f>
        <v>372.53542132736754</v>
      </c>
      <c r="M132" s="39"/>
      <c r="N132" s="39"/>
      <c r="O132" s="25">
        <f t="shared" si="32"/>
        <v>454.1958359850894</v>
      </c>
      <c r="P132" s="25">
        <f t="shared" si="30"/>
        <v>146.88915024992644</v>
      </c>
      <c r="Q132" s="22">
        <f t="shared" si="31"/>
        <v>99.60720979383497</v>
      </c>
      <c r="R132" s="22">
        <f t="shared" si="27"/>
        <v>122.5848403798493</v>
      </c>
      <c r="S132" s="34">
        <f>S133+S135+S136+S137+S139+S141+S138+S140+S134</f>
        <v>9496.9</v>
      </c>
      <c r="T132" s="34">
        <f>T133+T135+T136+T137+T139+T141+T138+T140+T134</f>
        <v>10033.1</v>
      </c>
    </row>
    <row r="133" spans="1:20" ht="12.75">
      <c r="A133" s="20" t="s">
        <v>23</v>
      </c>
      <c r="B133" s="26" t="s">
        <v>22</v>
      </c>
      <c r="C133" s="49">
        <v>2250</v>
      </c>
      <c r="D133" s="49">
        <v>2900</v>
      </c>
      <c r="E133" s="42">
        <f>F133+G133+H133</f>
        <v>2060</v>
      </c>
      <c r="F133" s="35">
        <v>405</v>
      </c>
      <c r="G133" s="35">
        <v>697.5</v>
      </c>
      <c r="H133" s="16">
        <v>957.5</v>
      </c>
      <c r="I133" s="17">
        <v>540</v>
      </c>
      <c r="J133" s="17">
        <v>2885.1</v>
      </c>
      <c r="K133" s="19" t="e">
        <f>J133/#REF!*100</f>
        <v>#REF!</v>
      </c>
      <c r="L133" s="19">
        <f t="shared" si="49"/>
        <v>301.3159268929504</v>
      </c>
      <c r="M133" s="39"/>
      <c r="N133" s="39"/>
      <c r="O133" s="16">
        <f t="shared" si="32"/>
        <v>534.2777777777778</v>
      </c>
      <c r="P133" s="19">
        <f t="shared" si="30"/>
        <v>140.05339805825244</v>
      </c>
      <c r="Q133" s="17">
        <f t="shared" si="31"/>
        <v>99.48620689655172</v>
      </c>
      <c r="R133" s="17">
        <f t="shared" si="27"/>
        <v>128.22666666666666</v>
      </c>
      <c r="S133" s="16">
        <v>2900</v>
      </c>
      <c r="T133" s="16">
        <v>2950</v>
      </c>
    </row>
    <row r="134" spans="1:20" ht="12.75">
      <c r="A134" s="12" t="s">
        <v>57</v>
      </c>
      <c r="B134" s="26" t="s">
        <v>58</v>
      </c>
      <c r="C134" s="49">
        <v>5246.2</v>
      </c>
      <c r="D134" s="49">
        <v>5696.2</v>
      </c>
      <c r="E134" s="42">
        <f aca="true" t="shared" si="50" ref="E134:E141">F134+G134+H134</f>
        <v>3748.3999999999996</v>
      </c>
      <c r="F134" s="35">
        <v>944.3</v>
      </c>
      <c r="G134" s="35">
        <v>1387.6</v>
      </c>
      <c r="H134" s="16">
        <v>1416.5</v>
      </c>
      <c r="I134" s="17">
        <v>1497.8</v>
      </c>
      <c r="J134" s="17">
        <v>5594.7</v>
      </c>
      <c r="K134" s="19"/>
      <c r="L134" s="19"/>
      <c r="M134" s="39"/>
      <c r="N134" s="39"/>
      <c r="O134" s="16"/>
      <c r="P134" s="19">
        <f>J134*100/E134</f>
        <v>149.25568242450115</v>
      </c>
      <c r="Q134" s="17">
        <f>J134*100/D134</f>
        <v>98.21811031916015</v>
      </c>
      <c r="R134" s="17">
        <f t="shared" si="27"/>
        <v>106.64290343486715</v>
      </c>
      <c r="S134" s="16">
        <v>5690.9</v>
      </c>
      <c r="T134" s="16">
        <v>6359.1</v>
      </c>
    </row>
    <row r="135" spans="1:20" ht="12.75">
      <c r="A135" s="12" t="s">
        <v>9</v>
      </c>
      <c r="B135" s="26" t="s">
        <v>6</v>
      </c>
      <c r="C135" s="49">
        <v>298</v>
      </c>
      <c r="D135" s="49">
        <v>388</v>
      </c>
      <c r="E135" s="42">
        <f t="shared" si="50"/>
        <v>218.1</v>
      </c>
      <c r="F135" s="35">
        <v>53.6</v>
      </c>
      <c r="G135" s="35">
        <v>89.4</v>
      </c>
      <c r="H135" s="16">
        <v>75.1</v>
      </c>
      <c r="I135" s="17">
        <v>79.9</v>
      </c>
      <c r="J135" s="17">
        <v>502.3</v>
      </c>
      <c r="K135" s="19" t="e">
        <f>J135/#REF!*100</f>
        <v>#REF!</v>
      </c>
      <c r="L135" s="19">
        <f t="shared" si="49"/>
        <v>668.8415446071905</v>
      </c>
      <c r="M135" s="39"/>
      <c r="N135" s="39"/>
      <c r="O135" s="16">
        <f t="shared" si="32"/>
        <v>628.6608260325406</v>
      </c>
      <c r="P135" s="19">
        <f t="shared" si="30"/>
        <v>230.30719853278313</v>
      </c>
      <c r="Q135" s="17">
        <f t="shared" si="31"/>
        <v>129.45876288659792</v>
      </c>
      <c r="R135" s="17">
        <f t="shared" si="27"/>
        <v>168.55704697986576</v>
      </c>
      <c r="S135" s="16">
        <f>150+240</f>
        <v>390</v>
      </c>
      <c r="T135" s="16">
        <f>152+242</f>
        <v>394</v>
      </c>
    </row>
    <row r="136" spans="1:20" ht="12.75">
      <c r="A136" s="12" t="s">
        <v>10</v>
      </c>
      <c r="B136" s="26" t="s">
        <v>21</v>
      </c>
      <c r="C136" s="49">
        <v>56.4</v>
      </c>
      <c r="D136" s="49">
        <v>20</v>
      </c>
      <c r="E136" s="42">
        <f t="shared" si="50"/>
        <v>42.9</v>
      </c>
      <c r="F136" s="35">
        <v>10.2</v>
      </c>
      <c r="G136" s="35">
        <v>17.5</v>
      </c>
      <c r="H136" s="16">
        <v>15.2</v>
      </c>
      <c r="I136" s="17">
        <v>13.5</v>
      </c>
      <c r="J136" s="17">
        <v>19.7</v>
      </c>
      <c r="K136" s="19" t="e">
        <f>J136/#REF!*100</f>
        <v>#REF!</v>
      </c>
      <c r="L136" s="19">
        <f t="shared" si="49"/>
        <v>129.60526315789474</v>
      </c>
      <c r="M136" s="39"/>
      <c r="N136" s="39"/>
      <c r="O136" s="16">
        <f t="shared" si="32"/>
        <v>145.92592592592592</v>
      </c>
      <c r="P136" s="19">
        <f t="shared" si="30"/>
        <v>45.92074592074592</v>
      </c>
      <c r="Q136" s="17">
        <f t="shared" si="31"/>
        <v>98.5</v>
      </c>
      <c r="R136" s="17">
        <f t="shared" si="27"/>
        <v>34.9290780141844</v>
      </c>
      <c r="S136" s="16">
        <v>15</v>
      </c>
      <c r="T136" s="16">
        <v>10</v>
      </c>
    </row>
    <row r="137" spans="1:20" ht="22.5">
      <c r="A137" s="13" t="s">
        <v>11</v>
      </c>
      <c r="B137" s="26" t="s">
        <v>17</v>
      </c>
      <c r="C137" s="49">
        <v>220</v>
      </c>
      <c r="D137" s="49">
        <v>404.2</v>
      </c>
      <c r="E137" s="42">
        <f t="shared" si="50"/>
        <v>325.5</v>
      </c>
      <c r="F137" s="35">
        <v>12.6</v>
      </c>
      <c r="G137" s="35">
        <v>291</v>
      </c>
      <c r="H137" s="16">
        <v>21.9</v>
      </c>
      <c r="I137" s="17">
        <v>28.7</v>
      </c>
      <c r="J137" s="17">
        <v>387.7</v>
      </c>
      <c r="K137" s="19" t="e">
        <f>J137/#REF!*100</f>
        <v>#REF!</v>
      </c>
      <c r="L137" s="19">
        <f t="shared" si="49"/>
        <v>1770.3196347031962</v>
      </c>
      <c r="M137" s="39"/>
      <c r="N137" s="39"/>
      <c r="O137" s="16">
        <f t="shared" si="32"/>
        <v>1350.871080139373</v>
      </c>
      <c r="P137" s="19">
        <f t="shared" si="30"/>
        <v>119.10906298003073</v>
      </c>
      <c r="Q137" s="17">
        <f t="shared" si="31"/>
        <v>95.91786244433449</v>
      </c>
      <c r="R137" s="17">
        <f t="shared" si="27"/>
        <v>176.22727272727272</v>
      </c>
      <c r="S137" s="16">
        <v>230</v>
      </c>
      <c r="T137" s="16">
        <v>220</v>
      </c>
    </row>
    <row r="138" spans="1:20" ht="12.75">
      <c r="A138" s="28" t="s">
        <v>41</v>
      </c>
      <c r="B138" s="26" t="s">
        <v>42</v>
      </c>
      <c r="C138" s="49">
        <v>80</v>
      </c>
      <c r="D138" s="49">
        <v>275.4</v>
      </c>
      <c r="E138" s="42">
        <f t="shared" si="50"/>
        <v>60.099999999999994</v>
      </c>
      <c r="F138" s="35">
        <v>19.6</v>
      </c>
      <c r="G138" s="35">
        <v>20.7</v>
      </c>
      <c r="H138" s="16">
        <v>19.8</v>
      </c>
      <c r="I138" s="17">
        <v>39.9</v>
      </c>
      <c r="J138" s="17">
        <v>250.4</v>
      </c>
      <c r="K138" s="19" t="e">
        <f>J138/#REF!*100</f>
        <v>#REF!</v>
      </c>
      <c r="L138" s="19">
        <f t="shared" si="49"/>
        <v>1264.6464646464647</v>
      </c>
      <c r="M138" s="39"/>
      <c r="N138" s="39"/>
      <c r="O138" s="16">
        <f t="shared" si="32"/>
        <v>627.5689223057644</v>
      </c>
      <c r="P138" s="19">
        <f t="shared" si="30"/>
        <v>416.63893510815313</v>
      </c>
      <c r="Q138" s="17">
        <f t="shared" si="31"/>
        <v>90.92229484386348</v>
      </c>
      <c r="R138" s="17">
        <f aca="true" t="shared" si="51" ref="R138:R202">J138*100/C138</f>
        <v>313</v>
      </c>
      <c r="S138" s="16">
        <v>100</v>
      </c>
      <c r="T138" s="16">
        <v>100</v>
      </c>
    </row>
    <row r="139" spans="1:20" ht="18.75" customHeight="1">
      <c r="A139" s="28" t="s">
        <v>18</v>
      </c>
      <c r="B139" s="26" t="s">
        <v>15</v>
      </c>
      <c r="C139" s="49">
        <v>0</v>
      </c>
      <c r="D139" s="49">
        <f aca="true" t="shared" si="52" ref="D139:D144">F139+G139+H139+I139</f>
        <v>347</v>
      </c>
      <c r="E139" s="42">
        <f t="shared" si="50"/>
        <v>347</v>
      </c>
      <c r="F139" s="35"/>
      <c r="G139" s="35">
        <v>171</v>
      </c>
      <c r="H139" s="16">
        <v>176</v>
      </c>
      <c r="I139" s="17"/>
      <c r="J139" s="17">
        <v>347</v>
      </c>
      <c r="K139" s="19" t="e">
        <f>J139/#REF!*100</f>
        <v>#REF!</v>
      </c>
      <c r="L139" s="19">
        <f t="shared" si="49"/>
        <v>197.1590909090909</v>
      </c>
      <c r="M139" s="39"/>
      <c r="N139" s="39"/>
      <c r="O139" s="16" t="e">
        <f t="shared" si="32"/>
        <v>#DIV/0!</v>
      </c>
      <c r="P139" s="19">
        <f t="shared" si="30"/>
        <v>100</v>
      </c>
      <c r="Q139" s="17">
        <f t="shared" si="31"/>
        <v>100</v>
      </c>
      <c r="R139" s="17"/>
      <c r="S139" s="16">
        <v>171</v>
      </c>
      <c r="T139" s="16"/>
    </row>
    <row r="140" spans="1:20" ht="15" customHeight="1" hidden="1">
      <c r="A140" s="20" t="s">
        <v>12</v>
      </c>
      <c r="B140" s="26" t="s">
        <v>7</v>
      </c>
      <c r="C140" s="49"/>
      <c r="D140" s="49">
        <f t="shared" si="52"/>
        <v>0</v>
      </c>
      <c r="E140" s="42">
        <f t="shared" si="50"/>
        <v>0</v>
      </c>
      <c r="F140" s="35"/>
      <c r="G140" s="35"/>
      <c r="H140" s="16"/>
      <c r="I140" s="17"/>
      <c r="J140" s="17"/>
      <c r="K140" s="19"/>
      <c r="L140" s="19"/>
      <c r="M140" s="39"/>
      <c r="N140" s="39"/>
      <c r="O140" s="16"/>
      <c r="P140" s="19"/>
      <c r="Q140" s="17"/>
      <c r="R140" s="17"/>
      <c r="S140" s="16"/>
      <c r="T140" s="16"/>
    </row>
    <row r="141" spans="1:20" ht="12.75">
      <c r="A141" s="28" t="s">
        <v>39</v>
      </c>
      <c r="B141" s="15" t="s">
        <v>40</v>
      </c>
      <c r="C141" s="49"/>
      <c r="D141" s="49">
        <f t="shared" si="52"/>
        <v>0</v>
      </c>
      <c r="E141" s="42">
        <f t="shared" si="50"/>
        <v>0</v>
      </c>
      <c r="F141" s="35"/>
      <c r="G141" s="35"/>
      <c r="H141" s="16"/>
      <c r="I141" s="17"/>
      <c r="J141" s="16">
        <v>4.5</v>
      </c>
      <c r="K141" s="19"/>
      <c r="L141" s="19"/>
      <c r="M141" s="39"/>
      <c r="N141" s="39"/>
      <c r="O141" s="16"/>
      <c r="P141" s="19"/>
      <c r="Q141" s="17"/>
      <c r="R141" s="17"/>
      <c r="S141" s="16"/>
      <c r="T141" s="16"/>
    </row>
    <row r="142" spans="1:20" ht="12.75">
      <c r="A142" s="48" t="s">
        <v>1</v>
      </c>
      <c r="B142" s="30" t="s">
        <v>0</v>
      </c>
      <c r="C142" s="31">
        <f aca="true" t="shared" si="53" ref="C142:J142">C143+C144+C145</f>
        <v>42714</v>
      </c>
      <c r="D142" s="31">
        <f t="shared" si="53"/>
        <v>52082</v>
      </c>
      <c r="E142" s="31">
        <f t="shared" si="53"/>
        <v>41068.5</v>
      </c>
      <c r="F142" s="31">
        <f t="shared" si="53"/>
        <v>13333.9</v>
      </c>
      <c r="G142" s="31">
        <f t="shared" si="53"/>
        <v>13032.3</v>
      </c>
      <c r="H142" s="31">
        <f t="shared" si="53"/>
        <v>15536.3</v>
      </c>
      <c r="I142" s="31">
        <f t="shared" si="53"/>
        <v>10321.8</v>
      </c>
      <c r="J142" s="31">
        <f t="shared" si="53"/>
        <v>45813.299999999996</v>
      </c>
      <c r="K142" s="25" t="e">
        <f>J142/#REF!*100</f>
        <v>#REF!</v>
      </c>
      <c r="L142" s="25">
        <f>J142/H142*100</f>
        <v>294.8790896159317</v>
      </c>
      <c r="M142" s="39"/>
      <c r="N142" s="39"/>
      <c r="O142" s="34">
        <f t="shared" si="32"/>
        <v>443.84990989943617</v>
      </c>
      <c r="P142" s="25">
        <f t="shared" si="30"/>
        <v>111.5533803279886</v>
      </c>
      <c r="Q142" s="22">
        <f t="shared" si="31"/>
        <v>87.96378787296955</v>
      </c>
      <c r="R142" s="22">
        <f t="shared" si="51"/>
        <v>107.2559348223065</v>
      </c>
      <c r="S142" s="31">
        <f>S143+S144+S145</f>
        <v>0</v>
      </c>
      <c r="T142" s="31">
        <f>T143+T144+T145</f>
        <v>0</v>
      </c>
    </row>
    <row r="143" spans="1:20" ht="22.5">
      <c r="A143" s="14" t="s">
        <v>54</v>
      </c>
      <c r="B143" s="32" t="s">
        <v>20</v>
      </c>
      <c r="C143" s="35">
        <v>42714</v>
      </c>
      <c r="D143" s="49">
        <v>51423.4</v>
      </c>
      <c r="E143" s="42">
        <f>F143+G143+H143</f>
        <v>41068.5</v>
      </c>
      <c r="F143" s="35">
        <v>13333.9</v>
      </c>
      <c r="G143" s="35">
        <v>13032.3</v>
      </c>
      <c r="H143" s="16">
        <v>14702.3</v>
      </c>
      <c r="I143" s="17">
        <f>11871.5-1549.7</f>
        <v>10321.8</v>
      </c>
      <c r="J143" s="17">
        <v>45154.7</v>
      </c>
      <c r="K143" s="19" t="e">
        <f>J143/#REF!*100</f>
        <v>#REF!</v>
      </c>
      <c r="L143" s="19">
        <f>J143/H143*100</f>
        <v>307.12677608265375</v>
      </c>
      <c r="M143" s="39"/>
      <c r="N143" s="39"/>
      <c r="O143" s="16">
        <f t="shared" si="32"/>
        <v>437.46923986126455</v>
      </c>
      <c r="P143" s="19">
        <f t="shared" si="30"/>
        <v>109.94971815381618</v>
      </c>
      <c r="Q143" s="17">
        <f t="shared" si="31"/>
        <v>87.80963530221649</v>
      </c>
      <c r="R143" s="17">
        <f t="shared" si="51"/>
        <v>105.71405159900735</v>
      </c>
      <c r="S143" s="16"/>
      <c r="T143" s="16"/>
    </row>
    <row r="144" spans="1:20" ht="12.75" customHeight="1">
      <c r="A144" s="14" t="s">
        <v>2</v>
      </c>
      <c r="B144" s="33" t="s">
        <v>19</v>
      </c>
      <c r="C144" s="33"/>
      <c r="D144" s="49">
        <f t="shared" si="52"/>
        <v>834</v>
      </c>
      <c r="E144" s="49">
        <f>F144</f>
        <v>0</v>
      </c>
      <c r="F144" s="51"/>
      <c r="G144" s="51"/>
      <c r="H144" s="16">
        <v>834</v>
      </c>
      <c r="I144" s="17"/>
      <c r="J144" s="17">
        <v>834</v>
      </c>
      <c r="K144" s="19"/>
      <c r="L144" s="19"/>
      <c r="M144" s="39"/>
      <c r="N144" s="39"/>
      <c r="O144" s="16" t="e">
        <f t="shared" si="32"/>
        <v>#DIV/0!</v>
      </c>
      <c r="P144" s="19"/>
      <c r="Q144" s="17"/>
      <c r="R144" s="17"/>
      <c r="S144" s="16"/>
      <c r="T144" s="16"/>
    </row>
    <row r="145" spans="1:20" ht="27" customHeight="1">
      <c r="A145" s="14" t="s">
        <v>53</v>
      </c>
      <c r="B145" s="18" t="s">
        <v>50</v>
      </c>
      <c r="C145" s="33"/>
      <c r="D145" s="49">
        <v>-175.4</v>
      </c>
      <c r="E145" s="49"/>
      <c r="F145" s="51"/>
      <c r="G145" s="51"/>
      <c r="H145" s="16"/>
      <c r="I145" s="17"/>
      <c r="J145" s="17">
        <v>-175.4</v>
      </c>
      <c r="K145" s="19"/>
      <c r="L145" s="19"/>
      <c r="M145" s="39"/>
      <c r="N145" s="39"/>
      <c r="O145" s="16"/>
      <c r="P145" s="19"/>
      <c r="Q145" s="17"/>
      <c r="R145" s="17"/>
      <c r="S145" s="16"/>
      <c r="T145" s="16"/>
    </row>
    <row r="146" spans="1:20" ht="12.75">
      <c r="A146" s="20"/>
      <c r="B146" s="21" t="s">
        <v>4</v>
      </c>
      <c r="C146" s="22">
        <f aca="true" t="shared" si="54" ref="C146:J146">C142+C132</f>
        <v>50864.6</v>
      </c>
      <c r="D146" s="22">
        <f t="shared" si="54"/>
        <v>62112.8</v>
      </c>
      <c r="E146" s="22">
        <f t="shared" si="54"/>
        <v>47870.5</v>
      </c>
      <c r="F146" s="34">
        <f t="shared" si="54"/>
        <v>14779.199999999999</v>
      </c>
      <c r="G146" s="34">
        <f t="shared" si="54"/>
        <v>15707</v>
      </c>
      <c r="H146" s="34">
        <f t="shared" si="54"/>
        <v>18218.3</v>
      </c>
      <c r="I146" s="22">
        <f t="shared" si="54"/>
        <v>12521.599999999999</v>
      </c>
      <c r="J146" s="22">
        <f t="shared" si="54"/>
        <v>55804.7</v>
      </c>
      <c r="K146" s="25" t="e">
        <f>J146/#REF!*100</f>
        <v>#REF!</v>
      </c>
      <c r="L146" s="25">
        <f>J146/H146*100</f>
        <v>306.31123650395483</v>
      </c>
      <c r="M146" s="39"/>
      <c r="N146" s="40" t="e">
        <f>I146+#REF!+#REF!</f>
        <v>#REF!</v>
      </c>
      <c r="O146" s="34">
        <f t="shared" si="32"/>
        <v>445.6674865831843</v>
      </c>
      <c r="P146" s="25">
        <f t="shared" si="30"/>
        <v>116.57429941195517</v>
      </c>
      <c r="Q146" s="22">
        <f t="shared" si="31"/>
        <v>89.84412230651331</v>
      </c>
      <c r="R146" s="22">
        <f t="shared" si="51"/>
        <v>109.71225567487015</v>
      </c>
      <c r="S146" s="34">
        <f>S142+S132</f>
        <v>9496.9</v>
      </c>
      <c r="T146" s="34">
        <f>T142+T132</f>
        <v>10033.1</v>
      </c>
    </row>
    <row r="147" spans="1:20" ht="12.75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1"/>
      <c r="M147" s="39"/>
      <c r="N147" s="39"/>
      <c r="O147" s="38"/>
      <c r="P147" s="25"/>
      <c r="Q147" s="22"/>
      <c r="R147" s="17"/>
      <c r="S147" s="16"/>
      <c r="T147" s="16"/>
    </row>
    <row r="148" spans="1:20" ht="12.75">
      <c r="A148" s="69" t="s">
        <v>32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16"/>
      <c r="T148" s="16"/>
    </row>
    <row r="149" spans="1:20" ht="12.75">
      <c r="A149" s="23" t="s">
        <v>3</v>
      </c>
      <c r="B149" s="24" t="s">
        <v>55</v>
      </c>
      <c r="C149" s="25">
        <f aca="true" t="shared" si="55" ref="C149:J149">C150+C153+C155+C157+C154+C158+C156+C159+C152+C151</f>
        <v>18388.7</v>
      </c>
      <c r="D149" s="25">
        <f t="shared" si="55"/>
        <v>18921.1</v>
      </c>
      <c r="E149" s="25">
        <f t="shared" si="55"/>
        <v>13906.400000000001</v>
      </c>
      <c r="F149" s="25">
        <f t="shared" si="55"/>
        <v>4398.4</v>
      </c>
      <c r="G149" s="25">
        <f t="shared" si="55"/>
        <v>5217.5</v>
      </c>
      <c r="H149" s="25">
        <f t="shared" si="55"/>
        <v>4290.5</v>
      </c>
      <c r="I149" s="25">
        <f t="shared" si="55"/>
        <v>4521.7</v>
      </c>
      <c r="J149" s="25">
        <f t="shared" si="55"/>
        <v>18622.800000000003</v>
      </c>
      <c r="K149" s="25" t="e">
        <f>J149/#REF!*100</f>
        <v>#REF!</v>
      </c>
      <c r="L149" s="25">
        <f>J149/H149*100</f>
        <v>434.0473138328867</v>
      </c>
      <c r="M149" s="39"/>
      <c r="N149" s="39"/>
      <c r="O149" s="25">
        <f t="shared" si="32"/>
        <v>411.8539487360949</v>
      </c>
      <c r="P149" s="25">
        <f t="shared" si="30"/>
        <v>133.91531956509235</v>
      </c>
      <c r="Q149" s="22">
        <f t="shared" si="31"/>
        <v>98.42345318189747</v>
      </c>
      <c r="R149" s="22">
        <f t="shared" si="51"/>
        <v>101.27306443631144</v>
      </c>
      <c r="S149" s="34">
        <f>S150+S153+S155+S157+S154+S158+S156+S159+S152+S151</f>
        <v>19488.699999999997</v>
      </c>
      <c r="T149" s="34">
        <f>T150+T153+T155+T157+T154+T158+T156+T159+T152+T151</f>
        <v>20058.2</v>
      </c>
    </row>
    <row r="150" spans="1:20" ht="12.75">
      <c r="A150" s="20" t="s">
        <v>23</v>
      </c>
      <c r="B150" s="26" t="s">
        <v>22</v>
      </c>
      <c r="C150" s="49">
        <v>13000</v>
      </c>
      <c r="D150" s="35">
        <f>F150+G150+H150+I150</f>
        <v>13000</v>
      </c>
      <c r="E150" s="42">
        <f>F150+G150+H150</f>
        <v>10200</v>
      </c>
      <c r="F150" s="35">
        <v>3030</v>
      </c>
      <c r="G150" s="35">
        <v>4080</v>
      </c>
      <c r="H150" s="16">
        <v>3090</v>
      </c>
      <c r="I150" s="17">
        <v>2800</v>
      </c>
      <c r="J150" s="17">
        <v>12428.2</v>
      </c>
      <c r="K150" s="19" t="e">
        <f>J150/#REF!*100</f>
        <v>#REF!</v>
      </c>
      <c r="L150" s="19">
        <f>J150/H150*100</f>
        <v>402.20711974110037</v>
      </c>
      <c r="M150" s="39"/>
      <c r="N150" s="39"/>
      <c r="O150" s="16">
        <f t="shared" si="32"/>
        <v>443.8642857142857</v>
      </c>
      <c r="P150" s="19">
        <f t="shared" si="30"/>
        <v>121.84509803921569</v>
      </c>
      <c r="Q150" s="17">
        <f t="shared" si="31"/>
        <v>95.60153846153847</v>
      </c>
      <c r="R150" s="17">
        <f t="shared" si="51"/>
        <v>95.60153846153847</v>
      </c>
      <c r="S150" s="16">
        <v>13400</v>
      </c>
      <c r="T150" s="16">
        <v>13450</v>
      </c>
    </row>
    <row r="151" spans="1:20" ht="12.75">
      <c r="A151" s="12" t="s">
        <v>57</v>
      </c>
      <c r="B151" s="26" t="s">
        <v>58</v>
      </c>
      <c r="C151" s="49">
        <v>3943.7</v>
      </c>
      <c r="D151" s="35">
        <f>F151+G151+H151+I151</f>
        <v>3943.7</v>
      </c>
      <c r="E151" s="42">
        <f aca="true" t="shared" si="56" ref="E151:E159">F151+G151+H151</f>
        <v>3063.7</v>
      </c>
      <c r="F151" s="35">
        <v>1110.9</v>
      </c>
      <c r="G151" s="35">
        <v>933.8</v>
      </c>
      <c r="H151" s="16">
        <v>1019</v>
      </c>
      <c r="I151" s="17">
        <v>880</v>
      </c>
      <c r="J151" s="17">
        <v>4205.8</v>
      </c>
      <c r="K151" s="19"/>
      <c r="L151" s="19"/>
      <c r="M151" s="39"/>
      <c r="N151" s="39"/>
      <c r="O151" s="16"/>
      <c r="P151" s="19">
        <f>J151*100/E151</f>
        <v>137.2784541567386</v>
      </c>
      <c r="Q151" s="17">
        <f>J151*100/D151</f>
        <v>106.6460430560134</v>
      </c>
      <c r="R151" s="17">
        <f t="shared" si="51"/>
        <v>106.6460430560134</v>
      </c>
      <c r="S151" s="16">
        <v>4278</v>
      </c>
      <c r="T151" s="16">
        <v>4776.3</v>
      </c>
    </row>
    <row r="152" spans="1:20" ht="12.75" customHeight="1">
      <c r="A152" s="12" t="s">
        <v>8</v>
      </c>
      <c r="B152" s="26" t="s">
        <v>5</v>
      </c>
      <c r="C152" s="49">
        <v>16</v>
      </c>
      <c r="D152" s="35">
        <f>F152+G152+H152+I152</f>
        <v>27.8</v>
      </c>
      <c r="E152" s="42">
        <f t="shared" si="56"/>
        <v>11.2</v>
      </c>
      <c r="F152" s="35">
        <v>5</v>
      </c>
      <c r="G152" s="35">
        <v>3.2</v>
      </c>
      <c r="H152" s="16">
        <v>3</v>
      </c>
      <c r="I152" s="17">
        <f>4.8+11.8</f>
        <v>16.6</v>
      </c>
      <c r="J152" s="17">
        <v>27.9</v>
      </c>
      <c r="K152" s="19"/>
      <c r="L152" s="19"/>
      <c r="M152" s="39"/>
      <c r="N152" s="39"/>
      <c r="O152" s="16">
        <f t="shared" si="32"/>
        <v>168.07228915662648</v>
      </c>
      <c r="P152" s="19">
        <f>J152*100/E152</f>
        <v>249.10714285714286</v>
      </c>
      <c r="Q152" s="17">
        <f>J152*100/D152</f>
        <v>100.35971223021582</v>
      </c>
      <c r="R152" s="17">
        <f t="shared" si="51"/>
        <v>174.375</v>
      </c>
      <c r="S152" s="16">
        <v>9.4</v>
      </c>
      <c r="T152" s="16">
        <v>10</v>
      </c>
    </row>
    <row r="153" spans="1:20" ht="12.75">
      <c r="A153" s="12" t="s">
        <v>9</v>
      </c>
      <c r="B153" s="26" t="s">
        <v>6</v>
      </c>
      <c r="C153" s="49">
        <v>1137</v>
      </c>
      <c r="D153" s="35">
        <v>1614</v>
      </c>
      <c r="E153" s="42">
        <f t="shared" si="56"/>
        <v>420</v>
      </c>
      <c r="F153" s="35">
        <v>170</v>
      </c>
      <c r="G153" s="35">
        <v>129</v>
      </c>
      <c r="H153" s="16">
        <v>121</v>
      </c>
      <c r="I153" s="17">
        <v>717</v>
      </c>
      <c r="J153" s="17">
        <v>1649.2</v>
      </c>
      <c r="K153" s="19" t="e">
        <f>J153/#REF!*100</f>
        <v>#REF!</v>
      </c>
      <c r="L153" s="19">
        <f>J153/H153*100</f>
        <v>1362.9752066115702</v>
      </c>
      <c r="M153" s="39"/>
      <c r="N153" s="39"/>
      <c r="O153" s="16">
        <f t="shared" si="32"/>
        <v>230.0139470013947</v>
      </c>
      <c r="P153" s="19">
        <f aca="true" t="shared" si="57" ref="P153:P219">J153*100/E153</f>
        <v>392.6666666666667</v>
      </c>
      <c r="Q153" s="17">
        <f aca="true" t="shared" si="58" ref="Q153:Q219">J153*100/D153</f>
        <v>102.180916976456</v>
      </c>
      <c r="R153" s="17">
        <f t="shared" si="51"/>
        <v>145.04837291116974</v>
      </c>
      <c r="S153" s="16">
        <f>450+1000</f>
        <v>1450</v>
      </c>
      <c r="T153" s="16">
        <f>460+1050</f>
        <v>1510</v>
      </c>
    </row>
    <row r="154" spans="1:20" ht="12.75">
      <c r="A154" s="12" t="s">
        <v>10</v>
      </c>
      <c r="B154" s="26" t="s">
        <v>21</v>
      </c>
      <c r="C154" s="49">
        <v>132</v>
      </c>
      <c r="D154" s="35">
        <f aca="true" t="shared" si="59" ref="D154:D159">F154+G154+H154+I154</f>
        <v>132</v>
      </c>
      <c r="E154" s="42">
        <f t="shared" si="56"/>
        <v>94</v>
      </c>
      <c r="F154" s="35">
        <v>43</v>
      </c>
      <c r="G154" s="35">
        <v>34</v>
      </c>
      <c r="H154" s="16">
        <v>17</v>
      </c>
      <c r="I154" s="17">
        <v>38</v>
      </c>
      <c r="J154" s="17">
        <v>129</v>
      </c>
      <c r="K154" s="19" t="e">
        <f>J154/#REF!*100</f>
        <v>#REF!</v>
      </c>
      <c r="L154" s="19">
        <f>J154/H154*100</f>
        <v>758.8235294117646</v>
      </c>
      <c r="M154" s="39"/>
      <c r="N154" s="39"/>
      <c r="O154" s="16">
        <f t="shared" si="32"/>
        <v>339.4736842105263</v>
      </c>
      <c r="P154" s="19">
        <f t="shared" si="57"/>
        <v>137.2340425531915</v>
      </c>
      <c r="Q154" s="17">
        <f t="shared" si="58"/>
        <v>97.72727272727273</v>
      </c>
      <c r="R154" s="17">
        <f t="shared" si="51"/>
        <v>97.72727272727273</v>
      </c>
      <c r="S154" s="16">
        <v>132</v>
      </c>
      <c r="T154" s="16">
        <v>145.1</v>
      </c>
    </row>
    <row r="155" spans="1:20" ht="22.5">
      <c r="A155" s="13" t="s">
        <v>11</v>
      </c>
      <c r="B155" s="26" t="s">
        <v>17</v>
      </c>
      <c r="C155" s="49">
        <v>160</v>
      </c>
      <c r="D155" s="35">
        <v>170</v>
      </c>
      <c r="E155" s="42">
        <f t="shared" si="56"/>
        <v>117.5</v>
      </c>
      <c r="F155" s="35">
        <v>39.5</v>
      </c>
      <c r="G155" s="35">
        <v>37.5</v>
      </c>
      <c r="H155" s="16">
        <v>40.5</v>
      </c>
      <c r="I155" s="17">
        <v>42.5</v>
      </c>
      <c r="J155" s="17">
        <v>148.2</v>
      </c>
      <c r="K155" s="19" t="e">
        <f>J155/#REF!*100</f>
        <v>#REF!</v>
      </c>
      <c r="L155" s="19">
        <f>J155/H155*100</f>
        <v>365.9259259259259</v>
      </c>
      <c r="M155" s="39"/>
      <c r="N155" s="39"/>
      <c r="O155" s="16">
        <f t="shared" si="32"/>
        <v>348.70588235294116</v>
      </c>
      <c r="P155" s="19">
        <f t="shared" si="57"/>
        <v>126.12765957446807</v>
      </c>
      <c r="Q155" s="17">
        <f t="shared" si="58"/>
        <v>87.17647058823529</v>
      </c>
      <c r="R155" s="17">
        <f t="shared" si="51"/>
        <v>92.62499999999999</v>
      </c>
      <c r="S155" s="16">
        <v>212</v>
      </c>
      <c r="T155" s="16">
        <v>166.8</v>
      </c>
    </row>
    <row r="156" spans="1:20" ht="24.75" customHeight="1">
      <c r="A156" s="28" t="s">
        <v>41</v>
      </c>
      <c r="B156" s="26" t="s">
        <v>42</v>
      </c>
      <c r="C156" s="49"/>
      <c r="D156" s="35">
        <f t="shared" si="59"/>
        <v>17.5</v>
      </c>
      <c r="E156" s="42">
        <f t="shared" si="56"/>
        <v>0</v>
      </c>
      <c r="F156" s="35"/>
      <c r="G156" s="35"/>
      <c r="H156" s="16"/>
      <c r="I156" s="17">
        <v>17.5</v>
      </c>
      <c r="J156" s="17">
        <v>17.6</v>
      </c>
      <c r="K156" s="19"/>
      <c r="L156" s="19"/>
      <c r="M156" s="39"/>
      <c r="N156" s="39"/>
      <c r="O156" s="16">
        <f aca="true" t="shared" si="60" ref="O156:O222">J156*100/I156</f>
        <v>100.57142857142858</v>
      </c>
      <c r="P156" s="19"/>
      <c r="Q156" s="17"/>
      <c r="R156" s="17"/>
      <c r="S156" s="16">
        <v>7.3</v>
      </c>
      <c r="T156" s="16"/>
    </row>
    <row r="157" spans="1:20" ht="19.5" customHeight="1" hidden="1">
      <c r="A157" s="27" t="s">
        <v>18</v>
      </c>
      <c r="B157" s="26" t="s">
        <v>15</v>
      </c>
      <c r="C157" s="49"/>
      <c r="D157" s="35">
        <f t="shared" si="59"/>
        <v>0</v>
      </c>
      <c r="E157" s="42">
        <f t="shared" si="56"/>
        <v>0</v>
      </c>
      <c r="F157" s="35"/>
      <c r="G157" s="35"/>
      <c r="H157" s="16"/>
      <c r="I157" s="17"/>
      <c r="J157" s="17"/>
      <c r="K157" s="19" t="e">
        <f>J157/#REF!*100</f>
        <v>#REF!</v>
      </c>
      <c r="L157" s="19" t="e">
        <f>J157/H157*100</f>
        <v>#DIV/0!</v>
      </c>
      <c r="M157" s="39"/>
      <c r="N157" s="39"/>
      <c r="O157" s="16" t="e">
        <f t="shared" si="60"/>
        <v>#DIV/0!</v>
      </c>
      <c r="P157" s="19"/>
      <c r="Q157" s="17"/>
      <c r="R157" s="17"/>
      <c r="S157" s="16"/>
      <c r="T157" s="16"/>
    </row>
    <row r="158" spans="1:20" ht="17.25" customHeight="1">
      <c r="A158" s="20" t="s">
        <v>12</v>
      </c>
      <c r="B158" s="26" t="s">
        <v>7</v>
      </c>
      <c r="C158" s="49"/>
      <c r="D158" s="35">
        <v>16.1</v>
      </c>
      <c r="E158" s="42">
        <f t="shared" si="56"/>
        <v>0</v>
      </c>
      <c r="F158" s="35"/>
      <c r="G158" s="35"/>
      <c r="H158" s="16"/>
      <c r="I158" s="17">
        <v>10.1</v>
      </c>
      <c r="J158" s="17">
        <v>16.8</v>
      </c>
      <c r="K158" s="19" t="e">
        <f>J158/#REF!*100</f>
        <v>#REF!</v>
      </c>
      <c r="L158" s="19"/>
      <c r="M158" s="39"/>
      <c r="N158" s="39"/>
      <c r="O158" s="16">
        <f t="shared" si="60"/>
        <v>166.33663366336634</v>
      </c>
      <c r="P158" s="19"/>
      <c r="Q158" s="17"/>
      <c r="R158" s="17"/>
      <c r="S158" s="16"/>
      <c r="T158" s="16"/>
    </row>
    <row r="159" spans="1:20" ht="16.5" customHeight="1">
      <c r="A159" s="27" t="s">
        <v>39</v>
      </c>
      <c r="B159" s="15" t="s">
        <v>40</v>
      </c>
      <c r="C159" s="49"/>
      <c r="D159" s="35">
        <f t="shared" si="59"/>
        <v>0</v>
      </c>
      <c r="E159" s="42">
        <f t="shared" si="56"/>
        <v>0</v>
      </c>
      <c r="F159" s="35"/>
      <c r="G159" s="35"/>
      <c r="H159" s="16"/>
      <c r="I159" s="17"/>
      <c r="J159" s="17">
        <v>0.1</v>
      </c>
      <c r="K159" s="19"/>
      <c r="L159" s="19"/>
      <c r="M159" s="39"/>
      <c r="N159" s="39"/>
      <c r="O159" s="16" t="e">
        <f t="shared" si="60"/>
        <v>#DIV/0!</v>
      </c>
      <c r="P159" s="25"/>
      <c r="Q159" s="22"/>
      <c r="R159" s="17"/>
      <c r="S159" s="16"/>
      <c r="T159" s="16"/>
    </row>
    <row r="160" spans="1:20" ht="12.75">
      <c r="A160" s="23" t="s">
        <v>1</v>
      </c>
      <c r="B160" s="30" t="s">
        <v>0</v>
      </c>
      <c r="C160" s="31">
        <f>C161+C162</f>
        <v>28989</v>
      </c>
      <c r="D160" s="31">
        <f>D161+D162</f>
        <v>43133.9</v>
      </c>
      <c r="E160" s="31">
        <f aca="true" t="shared" si="61" ref="E160:J160">E161+E162</f>
        <v>34911.6</v>
      </c>
      <c r="F160" s="31">
        <f t="shared" si="61"/>
        <v>13980.5</v>
      </c>
      <c r="G160" s="31">
        <f t="shared" si="61"/>
        <v>11257</v>
      </c>
      <c r="H160" s="31">
        <f t="shared" si="61"/>
        <v>9674.1</v>
      </c>
      <c r="I160" s="31">
        <f t="shared" si="61"/>
        <v>8170</v>
      </c>
      <c r="J160" s="31">
        <f t="shared" si="61"/>
        <v>33951.2</v>
      </c>
      <c r="K160" s="25" t="e">
        <f>J160/#REF!*100</f>
        <v>#REF!</v>
      </c>
      <c r="L160" s="25">
        <f>J160/H160*100</f>
        <v>350.9494423253842</v>
      </c>
      <c r="M160" s="39"/>
      <c r="N160" s="39"/>
      <c r="O160" s="34">
        <f t="shared" si="60"/>
        <v>415.5593635250917</v>
      </c>
      <c r="P160" s="25">
        <f t="shared" si="57"/>
        <v>97.24905189106198</v>
      </c>
      <c r="Q160" s="22">
        <f t="shared" si="58"/>
        <v>78.71117612828887</v>
      </c>
      <c r="R160" s="22">
        <f t="shared" si="51"/>
        <v>117.11752733795576</v>
      </c>
      <c r="S160" s="31">
        <f>S161+S162</f>
        <v>0</v>
      </c>
      <c r="T160" s="31">
        <f>T161+T162</f>
        <v>0</v>
      </c>
    </row>
    <row r="161" spans="1:20" ht="22.5">
      <c r="A161" s="14" t="s">
        <v>54</v>
      </c>
      <c r="B161" s="32" t="s">
        <v>20</v>
      </c>
      <c r="C161" s="35">
        <v>28989</v>
      </c>
      <c r="D161" s="35">
        <v>43133.9</v>
      </c>
      <c r="E161" s="42">
        <f>F161+G161+H161</f>
        <v>34911.6</v>
      </c>
      <c r="F161" s="35">
        <f>13980.5</f>
        <v>13980.5</v>
      </c>
      <c r="G161" s="35">
        <v>11257</v>
      </c>
      <c r="H161" s="16">
        <f>8123.2+110.7+826.2+614</f>
        <v>9674.1</v>
      </c>
      <c r="I161" s="17">
        <f>6920.5+1249.5</f>
        <v>8170</v>
      </c>
      <c r="J161" s="17">
        <v>33951.2</v>
      </c>
      <c r="K161" s="19" t="e">
        <f>J161/#REF!*100</f>
        <v>#REF!</v>
      </c>
      <c r="L161" s="19">
        <f>J161/H161*100</f>
        <v>350.9494423253842</v>
      </c>
      <c r="M161" s="39"/>
      <c r="N161" s="39"/>
      <c r="O161" s="16">
        <f t="shared" si="60"/>
        <v>415.5593635250917</v>
      </c>
      <c r="P161" s="19">
        <f t="shared" si="57"/>
        <v>97.24905189106198</v>
      </c>
      <c r="Q161" s="17">
        <f t="shared" si="58"/>
        <v>78.71117612828887</v>
      </c>
      <c r="R161" s="17">
        <f t="shared" si="51"/>
        <v>117.11752733795576</v>
      </c>
      <c r="S161" s="16"/>
      <c r="T161" s="16"/>
    </row>
    <row r="162" spans="1:20" ht="12.75" hidden="1">
      <c r="A162" s="14" t="s">
        <v>2</v>
      </c>
      <c r="B162" s="33" t="s">
        <v>19</v>
      </c>
      <c r="C162" s="33"/>
      <c r="D162" s="35">
        <f>F162+G162+H162+I162</f>
        <v>0</v>
      </c>
      <c r="E162" s="49">
        <f>F162</f>
        <v>0</v>
      </c>
      <c r="F162" s="35"/>
      <c r="G162" s="35"/>
      <c r="H162" s="16"/>
      <c r="I162" s="17"/>
      <c r="J162" s="17"/>
      <c r="K162" s="19"/>
      <c r="L162" s="19"/>
      <c r="M162" s="39"/>
      <c r="N162" s="39"/>
      <c r="O162" s="16"/>
      <c r="P162" s="19"/>
      <c r="Q162" s="17"/>
      <c r="R162" s="17" t="e">
        <f t="shared" si="51"/>
        <v>#DIV/0!</v>
      </c>
      <c r="S162" s="16"/>
      <c r="T162" s="16"/>
    </row>
    <row r="163" spans="1:20" ht="12.75">
      <c r="A163" s="20"/>
      <c r="B163" s="21" t="s">
        <v>4</v>
      </c>
      <c r="C163" s="22">
        <f aca="true" t="shared" si="62" ref="C163:J163">C160+C149</f>
        <v>47377.7</v>
      </c>
      <c r="D163" s="22">
        <f t="shared" si="62"/>
        <v>62055</v>
      </c>
      <c r="E163" s="22">
        <f t="shared" si="62"/>
        <v>48818</v>
      </c>
      <c r="F163" s="22">
        <f t="shared" si="62"/>
        <v>18378.9</v>
      </c>
      <c r="G163" s="22">
        <f t="shared" si="62"/>
        <v>16474.5</v>
      </c>
      <c r="H163" s="22">
        <f t="shared" si="62"/>
        <v>13964.6</v>
      </c>
      <c r="I163" s="22">
        <f t="shared" si="62"/>
        <v>12691.7</v>
      </c>
      <c r="J163" s="22">
        <f t="shared" si="62"/>
        <v>52574</v>
      </c>
      <c r="K163" s="25" t="e">
        <f>J163/#REF!*100</f>
        <v>#REF!</v>
      </c>
      <c r="L163" s="25">
        <f>J163/H163*100</f>
        <v>376.48052933847015</v>
      </c>
      <c r="M163" s="39"/>
      <c r="N163" s="40" t="e">
        <f>I163+#REF!+#REF!</f>
        <v>#REF!</v>
      </c>
      <c r="O163" s="34">
        <f t="shared" si="60"/>
        <v>414.23922721148466</v>
      </c>
      <c r="P163" s="25">
        <f t="shared" si="57"/>
        <v>107.69388340366258</v>
      </c>
      <c r="Q163" s="22">
        <f t="shared" si="58"/>
        <v>84.72161791958746</v>
      </c>
      <c r="R163" s="22">
        <f t="shared" si="51"/>
        <v>110.96781819294732</v>
      </c>
      <c r="S163" s="34">
        <f>S160+S149</f>
        <v>19488.699999999997</v>
      </c>
      <c r="T163" s="34">
        <f>T160+T149</f>
        <v>20058.2</v>
      </c>
    </row>
    <row r="164" spans="1:20" ht="12.75">
      <c r="A164" s="7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8"/>
      <c r="M164" s="39"/>
      <c r="N164" s="39"/>
      <c r="O164" s="38"/>
      <c r="P164" s="25"/>
      <c r="Q164" s="22"/>
      <c r="R164" s="17"/>
      <c r="S164" s="16"/>
      <c r="T164" s="16"/>
    </row>
    <row r="165" spans="1:20" ht="12.75">
      <c r="A165" s="69" t="s">
        <v>33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1"/>
      <c r="S165" s="16"/>
      <c r="T165" s="16"/>
    </row>
    <row r="166" spans="1:20" ht="12.75">
      <c r="A166" s="23" t="s">
        <v>3</v>
      </c>
      <c r="B166" s="24" t="s">
        <v>55</v>
      </c>
      <c r="C166" s="25">
        <f>C167+C170+C171+C172+C174+C175+C176+C173+C168+C169</f>
        <v>6153.8</v>
      </c>
      <c r="D166" s="25">
        <f>D167+D170+D171+D172+D174+D175+D176+D173+D168+D169</f>
        <v>6726.900000000001</v>
      </c>
      <c r="E166" s="25">
        <f aca="true" t="shared" si="63" ref="E166:O166">E167+E170+E171+E172+E174+E175+E176+E173+E168+E169</f>
        <v>4587.1</v>
      </c>
      <c r="F166" s="25">
        <f t="shared" si="63"/>
        <v>1325.8999999999999</v>
      </c>
      <c r="G166" s="25">
        <f t="shared" si="63"/>
        <v>1768.2</v>
      </c>
      <c r="H166" s="25">
        <f t="shared" si="63"/>
        <v>1493</v>
      </c>
      <c r="I166" s="25">
        <f t="shared" si="63"/>
        <v>1835.8</v>
      </c>
      <c r="J166" s="25">
        <f>J167+J170+J171+J172+J174+J175+J176+J173+J168+J169+0.1</f>
        <v>6555.300000000001</v>
      </c>
      <c r="K166" s="25" t="e">
        <f t="shared" si="63"/>
        <v>#REF!</v>
      </c>
      <c r="L166" s="25" t="e">
        <f t="shared" si="63"/>
        <v>#DIV/0!</v>
      </c>
      <c r="M166" s="25">
        <f t="shared" si="63"/>
        <v>0</v>
      </c>
      <c r="N166" s="25">
        <f t="shared" si="63"/>
        <v>0</v>
      </c>
      <c r="O166" s="25" t="e">
        <f t="shared" si="63"/>
        <v>#DIV/0!</v>
      </c>
      <c r="P166" s="25">
        <f t="shared" si="57"/>
        <v>142.90728346885834</v>
      </c>
      <c r="Q166" s="22">
        <f t="shared" si="58"/>
        <v>97.4490478526513</v>
      </c>
      <c r="R166" s="22">
        <f t="shared" si="51"/>
        <v>106.52442393317952</v>
      </c>
      <c r="S166" s="34">
        <f>S167+S170+S171+S172+S174+S175+S176+S173+S168+S169</f>
        <v>6499.2</v>
      </c>
      <c r="T166" s="34">
        <f>T167+T170+T171+T172+T174+T175+T176+T173+T168+T169</f>
        <v>6717.4</v>
      </c>
    </row>
    <row r="167" spans="1:20" ht="12.75">
      <c r="A167" s="20" t="s">
        <v>23</v>
      </c>
      <c r="B167" s="26" t="s">
        <v>22</v>
      </c>
      <c r="C167" s="49">
        <v>3305</v>
      </c>
      <c r="D167" s="35">
        <f>F167+G167+H167+I167</f>
        <v>3305</v>
      </c>
      <c r="E167" s="42">
        <f>F167+G167+H167</f>
        <v>2420</v>
      </c>
      <c r="F167" s="49">
        <v>690</v>
      </c>
      <c r="G167" s="49">
        <v>990</v>
      </c>
      <c r="H167" s="16">
        <v>740</v>
      </c>
      <c r="I167" s="17">
        <v>885</v>
      </c>
      <c r="J167" s="17">
        <v>2770.3</v>
      </c>
      <c r="K167" s="19" t="e">
        <f>J167/#REF!*100</f>
        <v>#REF!</v>
      </c>
      <c r="L167" s="19">
        <f aca="true" t="shared" si="64" ref="L167:L175">J167/H167*100</f>
        <v>374.3648648648649</v>
      </c>
      <c r="M167" s="39"/>
      <c r="N167" s="39"/>
      <c r="O167" s="16">
        <f t="shared" si="60"/>
        <v>313.0282485875706</v>
      </c>
      <c r="P167" s="19">
        <f>J167*100/E167</f>
        <v>114.47520661157024</v>
      </c>
      <c r="Q167" s="17">
        <f>J167*100/D167</f>
        <v>83.821482602118</v>
      </c>
      <c r="R167" s="17">
        <f t="shared" si="51"/>
        <v>83.821482602118</v>
      </c>
      <c r="S167" s="16">
        <v>3150</v>
      </c>
      <c r="T167" s="16">
        <v>2900</v>
      </c>
    </row>
    <row r="168" spans="1:20" ht="12.75">
      <c r="A168" s="12" t="s">
        <v>57</v>
      </c>
      <c r="B168" s="26" t="s">
        <v>58</v>
      </c>
      <c r="C168" s="49">
        <v>2147.8</v>
      </c>
      <c r="D168" s="35">
        <f>F168+G168+H168+I168</f>
        <v>2147.8</v>
      </c>
      <c r="E168" s="42">
        <f aca="true" t="shared" si="65" ref="E168:E176">F168+G168+H168</f>
        <v>1508</v>
      </c>
      <c r="F168" s="49">
        <v>482</v>
      </c>
      <c r="G168" s="49">
        <v>483</v>
      </c>
      <c r="H168" s="16">
        <v>543</v>
      </c>
      <c r="I168" s="17">
        <v>639.8</v>
      </c>
      <c r="J168" s="17">
        <v>2290.5</v>
      </c>
      <c r="K168" s="19"/>
      <c r="L168" s="19"/>
      <c r="M168" s="39"/>
      <c r="N168" s="39"/>
      <c r="O168" s="16"/>
      <c r="P168" s="19">
        <f>J168*100/E168</f>
        <v>151.8899204244032</v>
      </c>
      <c r="Q168" s="17">
        <f>J168*100/D168</f>
        <v>106.64400782195735</v>
      </c>
      <c r="R168" s="17">
        <f t="shared" si="51"/>
        <v>106.64400782195735</v>
      </c>
      <c r="S168" s="16">
        <v>2329.9</v>
      </c>
      <c r="T168" s="16">
        <v>2746.1</v>
      </c>
    </row>
    <row r="169" spans="1:20" ht="15" customHeight="1">
      <c r="A169" s="12" t="s">
        <v>8</v>
      </c>
      <c r="B169" s="26" t="s">
        <v>5</v>
      </c>
      <c r="C169" s="49"/>
      <c r="D169" s="35">
        <f>F169+G169+H169+I169</f>
        <v>10.8</v>
      </c>
      <c r="E169" s="42">
        <f t="shared" si="65"/>
        <v>10.8</v>
      </c>
      <c r="F169" s="49">
        <v>10.8</v>
      </c>
      <c r="G169" s="49"/>
      <c r="H169" s="16"/>
      <c r="I169" s="17"/>
      <c r="J169" s="17">
        <v>10.8</v>
      </c>
      <c r="K169" s="19"/>
      <c r="L169" s="19"/>
      <c r="M169" s="39"/>
      <c r="N169" s="39"/>
      <c r="O169" s="16"/>
      <c r="P169" s="19">
        <f>J169*100/E169</f>
        <v>100</v>
      </c>
      <c r="Q169" s="17">
        <f>J169*100/D169</f>
        <v>100</v>
      </c>
      <c r="R169" s="17"/>
      <c r="S169" s="16">
        <v>10.8</v>
      </c>
      <c r="T169" s="16">
        <v>2</v>
      </c>
    </row>
    <row r="170" spans="1:20" ht="12.75">
      <c r="A170" s="12" t="s">
        <v>9</v>
      </c>
      <c r="B170" s="26" t="s">
        <v>6</v>
      </c>
      <c r="C170" s="49">
        <v>502</v>
      </c>
      <c r="D170" s="35">
        <v>552</v>
      </c>
      <c r="E170" s="42">
        <f t="shared" si="65"/>
        <v>270</v>
      </c>
      <c r="F170" s="49">
        <v>90</v>
      </c>
      <c r="G170" s="49">
        <v>90</v>
      </c>
      <c r="H170" s="16">
        <v>90</v>
      </c>
      <c r="I170" s="17">
        <v>232</v>
      </c>
      <c r="J170" s="17">
        <v>711.4</v>
      </c>
      <c r="K170" s="19" t="e">
        <f>J170/#REF!*100</f>
        <v>#REF!</v>
      </c>
      <c r="L170" s="19">
        <f t="shared" si="64"/>
        <v>790.4444444444445</v>
      </c>
      <c r="M170" s="39"/>
      <c r="N170" s="39"/>
      <c r="O170" s="16">
        <f t="shared" si="60"/>
        <v>306.63793103448273</v>
      </c>
      <c r="P170" s="19">
        <f t="shared" si="57"/>
        <v>263.48148148148147</v>
      </c>
      <c r="Q170" s="17">
        <f t="shared" si="58"/>
        <v>128.8768115942029</v>
      </c>
      <c r="R170" s="17">
        <f t="shared" si="51"/>
        <v>141.71314741035857</v>
      </c>
      <c r="S170" s="16">
        <f>180+420</f>
        <v>600</v>
      </c>
      <c r="T170" s="16">
        <f>182+504</f>
        <v>686</v>
      </c>
    </row>
    <row r="171" spans="1:20" ht="12.75">
      <c r="A171" s="12" t="s">
        <v>10</v>
      </c>
      <c r="B171" s="26" t="s">
        <v>21</v>
      </c>
      <c r="C171" s="49">
        <v>35</v>
      </c>
      <c r="D171" s="35">
        <f aca="true" t="shared" si="66" ref="D171:D176">F171+G171+H171+I171</f>
        <v>35</v>
      </c>
      <c r="E171" s="42">
        <f t="shared" si="65"/>
        <v>19</v>
      </c>
      <c r="F171" s="49">
        <v>3</v>
      </c>
      <c r="G171" s="49">
        <v>8</v>
      </c>
      <c r="H171" s="16">
        <v>8</v>
      </c>
      <c r="I171" s="17">
        <v>16</v>
      </c>
      <c r="J171" s="17">
        <v>24</v>
      </c>
      <c r="K171" s="19" t="e">
        <f>J171/#REF!*100</f>
        <v>#REF!</v>
      </c>
      <c r="L171" s="19">
        <f t="shared" si="64"/>
        <v>300</v>
      </c>
      <c r="M171" s="39"/>
      <c r="N171" s="39"/>
      <c r="O171" s="16">
        <f t="shared" si="60"/>
        <v>150</v>
      </c>
      <c r="P171" s="19">
        <f t="shared" si="57"/>
        <v>126.3157894736842</v>
      </c>
      <c r="Q171" s="17">
        <f t="shared" si="58"/>
        <v>68.57142857142857</v>
      </c>
      <c r="R171" s="17">
        <f t="shared" si="51"/>
        <v>68.57142857142857</v>
      </c>
      <c r="S171" s="16">
        <v>35</v>
      </c>
      <c r="T171" s="16">
        <v>35</v>
      </c>
    </row>
    <row r="172" spans="1:20" ht="22.5">
      <c r="A172" s="13" t="s">
        <v>11</v>
      </c>
      <c r="B172" s="26" t="s">
        <v>17</v>
      </c>
      <c r="C172" s="49">
        <v>69</v>
      </c>
      <c r="D172" s="35">
        <v>548</v>
      </c>
      <c r="E172" s="42">
        <f t="shared" si="65"/>
        <v>275</v>
      </c>
      <c r="F172" s="49">
        <f>12+10</f>
        <v>22</v>
      </c>
      <c r="G172" s="49">
        <v>161</v>
      </c>
      <c r="H172" s="16">
        <v>92</v>
      </c>
      <c r="I172" s="17">
        <v>28</v>
      </c>
      <c r="J172" s="17">
        <v>614</v>
      </c>
      <c r="K172" s="19" t="e">
        <f>J172/#REF!*100</f>
        <v>#REF!</v>
      </c>
      <c r="L172" s="19">
        <f t="shared" si="64"/>
        <v>667.3913043478261</v>
      </c>
      <c r="M172" s="39"/>
      <c r="N172" s="39"/>
      <c r="O172" s="16">
        <f t="shared" si="60"/>
        <v>2192.8571428571427</v>
      </c>
      <c r="P172" s="19">
        <f t="shared" si="57"/>
        <v>223.27272727272728</v>
      </c>
      <c r="Q172" s="17">
        <f t="shared" si="58"/>
        <v>112.04379562043796</v>
      </c>
      <c r="R172" s="17">
        <f t="shared" si="51"/>
        <v>889.8550724637681</v>
      </c>
      <c r="S172" s="16">
        <v>253.2</v>
      </c>
      <c r="T172" s="16">
        <v>246.3</v>
      </c>
    </row>
    <row r="173" spans="1:20" ht="12.75">
      <c r="A173" s="28" t="s">
        <v>41</v>
      </c>
      <c r="B173" s="26" t="s">
        <v>42</v>
      </c>
      <c r="C173" s="49">
        <v>95</v>
      </c>
      <c r="D173" s="35">
        <f t="shared" si="66"/>
        <v>95</v>
      </c>
      <c r="E173" s="42">
        <f t="shared" si="65"/>
        <v>60</v>
      </c>
      <c r="F173" s="49">
        <v>20</v>
      </c>
      <c r="G173" s="49">
        <v>20</v>
      </c>
      <c r="H173" s="16">
        <v>20</v>
      </c>
      <c r="I173" s="17">
        <v>35</v>
      </c>
      <c r="J173" s="17">
        <v>100.9</v>
      </c>
      <c r="K173" s="19" t="e">
        <f>J173/#REF!*100</f>
        <v>#REF!</v>
      </c>
      <c r="L173" s="19">
        <f t="shared" si="64"/>
        <v>504.5</v>
      </c>
      <c r="M173" s="39"/>
      <c r="N173" s="39"/>
      <c r="O173" s="16">
        <f t="shared" si="60"/>
        <v>288.2857142857143</v>
      </c>
      <c r="P173" s="19">
        <f t="shared" si="57"/>
        <v>168.16666666666666</v>
      </c>
      <c r="Q173" s="17">
        <f t="shared" si="58"/>
        <v>106.21052631578948</v>
      </c>
      <c r="R173" s="17">
        <f t="shared" si="51"/>
        <v>106.21052631578948</v>
      </c>
      <c r="S173" s="16">
        <v>96</v>
      </c>
      <c r="T173" s="16">
        <v>102</v>
      </c>
    </row>
    <row r="174" spans="1:20" ht="19.5" customHeight="1" hidden="1">
      <c r="A174" s="27" t="s">
        <v>18</v>
      </c>
      <c r="B174" s="26" t="s">
        <v>15</v>
      </c>
      <c r="C174" s="49"/>
      <c r="D174" s="35">
        <f t="shared" si="66"/>
        <v>0</v>
      </c>
      <c r="E174" s="42">
        <f t="shared" si="65"/>
        <v>0</v>
      </c>
      <c r="F174" s="49"/>
      <c r="G174" s="49"/>
      <c r="H174" s="16"/>
      <c r="I174" s="17"/>
      <c r="J174" s="17"/>
      <c r="K174" s="19" t="e">
        <f>J174/#REF!*100</f>
        <v>#REF!</v>
      </c>
      <c r="L174" s="19" t="e">
        <f t="shared" si="64"/>
        <v>#DIV/0!</v>
      </c>
      <c r="M174" s="39"/>
      <c r="N174" s="39"/>
      <c r="O174" s="16" t="e">
        <f t="shared" si="60"/>
        <v>#DIV/0!</v>
      </c>
      <c r="P174" s="19"/>
      <c r="Q174" s="17"/>
      <c r="R174" s="17" t="e">
        <f t="shared" si="51"/>
        <v>#DIV/0!</v>
      </c>
      <c r="S174" s="16"/>
      <c r="T174" s="16"/>
    </row>
    <row r="175" spans="1:20" ht="17.25" customHeight="1">
      <c r="A175" s="20" t="s">
        <v>12</v>
      </c>
      <c r="B175" s="26" t="s">
        <v>7</v>
      </c>
      <c r="C175" s="49"/>
      <c r="D175" s="35">
        <v>33.3</v>
      </c>
      <c r="E175" s="42">
        <f t="shared" si="65"/>
        <v>24.299999999999997</v>
      </c>
      <c r="F175" s="49">
        <v>8.1</v>
      </c>
      <c r="G175" s="49">
        <v>16.2</v>
      </c>
      <c r="H175" s="16"/>
      <c r="I175" s="17"/>
      <c r="J175" s="17">
        <v>33.3</v>
      </c>
      <c r="K175" s="19"/>
      <c r="L175" s="19" t="e">
        <f t="shared" si="64"/>
        <v>#DIV/0!</v>
      </c>
      <c r="M175" s="39"/>
      <c r="N175" s="39"/>
      <c r="O175" s="16" t="e">
        <f t="shared" si="60"/>
        <v>#DIV/0!</v>
      </c>
      <c r="P175" s="25"/>
      <c r="Q175" s="22"/>
      <c r="R175" s="17"/>
      <c r="S175" s="16">
        <v>24.3</v>
      </c>
      <c r="T175" s="16"/>
    </row>
    <row r="176" spans="1:20" ht="14.25" customHeight="1">
      <c r="A176" s="43" t="s">
        <v>39</v>
      </c>
      <c r="B176" s="15" t="s">
        <v>40</v>
      </c>
      <c r="C176" s="49"/>
      <c r="D176" s="35">
        <f t="shared" si="66"/>
        <v>0</v>
      </c>
      <c r="E176" s="42">
        <f t="shared" si="65"/>
        <v>0</v>
      </c>
      <c r="F176" s="49"/>
      <c r="G176" s="49"/>
      <c r="H176" s="16"/>
      <c r="I176" s="17"/>
      <c r="J176" s="17"/>
      <c r="K176" s="19"/>
      <c r="L176" s="19"/>
      <c r="M176" s="39"/>
      <c r="N176" s="39"/>
      <c r="O176" s="16" t="e">
        <f t="shared" si="60"/>
        <v>#DIV/0!</v>
      </c>
      <c r="P176" s="25"/>
      <c r="Q176" s="22"/>
      <c r="R176" s="17"/>
      <c r="S176" s="16"/>
      <c r="T176" s="16"/>
    </row>
    <row r="177" spans="1:20" ht="12.75">
      <c r="A177" s="23" t="s">
        <v>1</v>
      </c>
      <c r="B177" s="30" t="s">
        <v>0</v>
      </c>
      <c r="C177" s="31">
        <f aca="true" t="shared" si="67" ref="C177:J177">C178+C179</f>
        <v>23711.2</v>
      </c>
      <c r="D177" s="31">
        <f t="shared" si="67"/>
        <v>50438.6</v>
      </c>
      <c r="E177" s="53">
        <f t="shared" si="67"/>
        <v>49746.8</v>
      </c>
      <c r="F177" s="53">
        <f t="shared" si="67"/>
        <v>11444.900000000001</v>
      </c>
      <c r="G177" s="53">
        <f t="shared" si="67"/>
        <v>27653.1</v>
      </c>
      <c r="H177" s="31">
        <f t="shared" si="67"/>
        <v>10648.8</v>
      </c>
      <c r="I177" s="31">
        <f t="shared" si="67"/>
        <v>632.2</v>
      </c>
      <c r="J177" s="31">
        <f t="shared" si="67"/>
        <v>47358.6</v>
      </c>
      <c r="K177" s="25" t="e">
        <f>J177/#REF!*100</f>
        <v>#REF!</v>
      </c>
      <c r="L177" s="25">
        <f>J177/H177*100</f>
        <v>444.7318007662836</v>
      </c>
      <c r="M177" s="39"/>
      <c r="N177" s="39"/>
      <c r="O177" s="34">
        <f t="shared" si="60"/>
        <v>7491.078772540335</v>
      </c>
      <c r="P177" s="25">
        <f t="shared" si="57"/>
        <v>95.19928920051139</v>
      </c>
      <c r="Q177" s="22">
        <f t="shared" si="58"/>
        <v>93.89356564218674</v>
      </c>
      <c r="R177" s="22">
        <f t="shared" si="51"/>
        <v>199.73092884375316</v>
      </c>
      <c r="S177" s="31">
        <f>S178+S179</f>
        <v>0</v>
      </c>
      <c r="T177" s="31">
        <f>T178+T179</f>
        <v>0</v>
      </c>
    </row>
    <row r="178" spans="1:20" ht="23.25" customHeight="1">
      <c r="A178" s="14" t="s">
        <v>54</v>
      </c>
      <c r="B178" s="32" t="s">
        <v>20</v>
      </c>
      <c r="C178" s="35">
        <v>23711.2</v>
      </c>
      <c r="D178" s="35">
        <v>50438.6</v>
      </c>
      <c r="E178" s="42">
        <f>F178+G178+H178</f>
        <v>49746.8</v>
      </c>
      <c r="F178" s="49">
        <f>11398.7+46.2</f>
        <v>11444.900000000001</v>
      </c>
      <c r="G178" s="49">
        <v>27653.1</v>
      </c>
      <c r="H178" s="16">
        <f>7555.4+78.6+1463.4+1551.4</f>
        <v>10648.8</v>
      </c>
      <c r="I178" s="17">
        <f>2612.5-1980.3</f>
        <v>632.2</v>
      </c>
      <c r="J178" s="17">
        <v>47358.6</v>
      </c>
      <c r="K178" s="19" t="e">
        <f>J178/#REF!*100</f>
        <v>#REF!</v>
      </c>
      <c r="L178" s="19">
        <f>J178/H178*100</f>
        <v>444.7318007662836</v>
      </c>
      <c r="M178" s="39"/>
      <c r="N178" s="39"/>
      <c r="O178" s="16">
        <f t="shared" si="60"/>
        <v>7491.078772540335</v>
      </c>
      <c r="P178" s="19">
        <f t="shared" si="57"/>
        <v>95.19928920051139</v>
      </c>
      <c r="Q178" s="17">
        <f t="shared" si="58"/>
        <v>93.89356564218674</v>
      </c>
      <c r="R178" s="17">
        <f t="shared" si="51"/>
        <v>199.73092884375316</v>
      </c>
      <c r="S178" s="16"/>
      <c r="T178" s="16"/>
    </row>
    <row r="179" spans="1:20" ht="15.75" customHeight="1" hidden="1">
      <c r="A179" s="14" t="s">
        <v>2</v>
      </c>
      <c r="B179" s="33" t="s">
        <v>19</v>
      </c>
      <c r="C179" s="50"/>
      <c r="D179" s="35">
        <f>F179+G179+H179+I179</f>
        <v>0</v>
      </c>
      <c r="E179" s="42">
        <f>F179+G179</f>
        <v>0</v>
      </c>
      <c r="F179" s="50"/>
      <c r="G179" s="50"/>
      <c r="H179" s="16"/>
      <c r="I179" s="17"/>
      <c r="J179" s="17"/>
      <c r="K179" s="19" t="e">
        <f>J179/#REF!*100</f>
        <v>#REF!</v>
      </c>
      <c r="L179" s="19"/>
      <c r="M179" s="39"/>
      <c r="N179" s="39"/>
      <c r="O179" s="16" t="e">
        <f t="shared" si="60"/>
        <v>#DIV/0!</v>
      </c>
      <c r="P179" s="19"/>
      <c r="Q179" s="17"/>
      <c r="R179" s="17"/>
      <c r="S179" s="16"/>
      <c r="T179" s="16"/>
    </row>
    <row r="180" spans="1:20" ht="12.75">
      <c r="A180" s="20"/>
      <c r="B180" s="21" t="s">
        <v>4</v>
      </c>
      <c r="C180" s="22">
        <f aca="true" t="shared" si="68" ref="C180:J180">C177+C166</f>
        <v>29865</v>
      </c>
      <c r="D180" s="22">
        <f t="shared" si="68"/>
        <v>57165.5</v>
      </c>
      <c r="E180" s="22">
        <f t="shared" si="68"/>
        <v>54333.9</v>
      </c>
      <c r="F180" s="22">
        <f t="shared" si="68"/>
        <v>12770.800000000001</v>
      </c>
      <c r="G180" s="22">
        <f t="shared" si="68"/>
        <v>29421.3</v>
      </c>
      <c r="H180" s="22">
        <f t="shared" si="68"/>
        <v>12141.8</v>
      </c>
      <c r="I180" s="22">
        <f t="shared" si="68"/>
        <v>2468</v>
      </c>
      <c r="J180" s="22">
        <f t="shared" si="68"/>
        <v>53913.9</v>
      </c>
      <c r="K180" s="25" t="e">
        <f>J180/#REF!*100</f>
        <v>#REF!</v>
      </c>
      <c r="L180" s="25">
        <f>J180/H180*100</f>
        <v>444.03548073597</v>
      </c>
      <c r="M180" s="39"/>
      <c r="N180" s="40" t="e">
        <f>I180+#REF!+#REF!</f>
        <v>#REF!</v>
      </c>
      <c r="O180" s="34">
        <f t="shared" si="60"/>
        <v>2184.5178282009724</v>
      </c>
      <c r="P180" s="25">
        <f t="shared" si="57"/>
        <v>99.22700192697377</v>
      </c>
      <c r="Q180" s="22">
        <f t="shared" si="58"/>
        <v>94.31195388827177</v>
      </c>
      <c r="R180" s="22">
        <f t="shared" si="51"/>
        <v>180.52536413862381</v>
      </c>
      <c r="S180" s="34">
        <f>S177+S166</f>
        <v>6499.2</v>
      </c>
      <c r="T180" s="34">
        <f>T177+T166</f>
        <v>6717.4</v>
      </c>
    </row>
    <row r="181" spans="1:20" ht="12.75">
      <c r="A181" s="76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8"/>
      <c r="M181" s="39"/>
      <c r="N181" s="39"/>
      <c r="O181" s="38"/>
      <c r="P181" s="25"/>
      <c r="Q181" s="22"/>
      <c r="R181" s="17"/>
      <c r="S181" s="16"/>
      <c r="T181" s="16"/>
    </row>
    <row r="182" spans="1:20" ht="12.75">
      <c r="A182" s="69" t="s">
        <v>34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1"/>
      <c r="S182" s="16"/>
      <c r="T182" s="16"/>
    </row>
    <row r="183" spans="1:20" ht="12.75">
      <c r="A183" s="23" t="s">
        <v>3</v>
      </c>
      <c r="B183" s="24" t="s">
        <v>55</v>
      </c>
      <c r="C183" s="25">
        <f aca="true" t="shared" si="69" ref="C183:I183">C184+C186+C187+C188+C189+C191+C193+C192+C190+C185</f>
        <v>22444.4</v>
      </c>
      <c r="D183" s="25">
        <f t="shared" si="69"/>
        <v>28012.3</v>
      </c>
      <c r="E183" s="25">
        <f t="shared" si="69"/>
        <v>16714</v>
      </c>
      <c r="F183" s="25">
        <f t="shared" si="69"/>
        <v>5242.8</v>
      </c>
      <c r="G183" s="25">
        <f t="shared" si="69"/>
        <v>5458</v>
      </c>
      <c r="H183" s="25">
        <f t="shared" si="69"/>
        <v>6013.2</v>
      </c>
      <c r="I183" s="25">
        <f t="shared" si="69"/>
        <v>11298.3</v>
      </c>
      <c r="J183" s="25">
        <f>J184+J186+J187+J188+J189+J191+J193+J192+J190+J185</f>
        <v>26344.999999999996</v>
      </c>
      <c r="K183" s="25" t="e">
        <f>J183/#REF!*100</f>
        <v>#REF!</v>
      </c>
      <c r="L183" s="25">
        <f>J183/H183*100</f>
        <v>438.1194704982372</v>
      </c>
      <c r="M183" s="39"/>
      <c r="N183" s="39"/>
      <c r="O183" s="25">
        <f t="shared" si="60"/>
        <v>233.17667259676233</v>
      </c>
      <c r="P183" s="25">
        <f t="shared" si="57"/>
        <v>157.62235251884644</v>
      </c>
      <c r="Q183" s="22">
        <f t="shared" si="58"/>
        <v>94.04797178382353</v>
      </c>
      <c r="R183" s="22">
        <f t="shared" si="51"/>
        <v>117.37894530484216</v>
      </c>
      <c r="S183" s="34">
        <f>S184+S186+S187+S188+S189+S191+S193+S192+S190+S185</f>
        <v>24085.8</v>
      </c>
      <c r="T183" s="34">
        <f>T184+T186+T187+T188+T189+T191+T193+T192+T190+T185</f>
        <v>24972.1</v>
      </c>
    </row>
    <row r="184" spans="1:20" ht="12.75">
      <c r="A184" s="20" t="s">
        <v>23</v>
      </c>
      <c r="B184" s="26" t="s">
        <v>22</v>
      </c>
      <c r="C184" s="49">
        <v>16400</v>
      </c>
      <c r="D184" s="35">
        <f>F184+G184+H184+I184</f>
        <v>17340</v>
      </c>
      <c r="E184" s="42">
        <f>F184+G184+H184</f>
        <v>12700</v>
      </c>
      <c r="F184" s="35">
        <v>3760</v>
      </c>
      <c r="G184" s="35">
        <v>4165</v>
      </c>
      <c r="H184" s="16">
        <v>4775</v>
      </c>
      <c r="I184" s="17">
        <v>4640</v>
      </c>
      <c r="J184" s="17">
        <v>15868.4</v>
      </c>
      <c r="K184" s="19" t="e">
        <f>J184/#REF!*100</f>
        <v>#REF!</v>
      </c>
      <c r="L184" s="19">
        <f>J184/H184*100</f>
        <v>332.32251308900527</v>
      </c>
      <c r="M184" s="39"/>
      <c r="N184" s="39"/>
      <c r="O184" s="16">
        <f t="shared" si="60"/>
        <v>341.9913793103448</v>
      </c>
      <c r="P184" s="19">
        <f t="shared" si="57"/>
        <v>124.948031496063</v>
      </c>
      <c r="Q184" s="17">
        <f t="shared" si="58"/>
        <v>91.51326412918108</v>
      </c>
      <c r="R184" s="17">
        <f t="shared" si="51"/>
        <v>96.75853658536586</v>
      </c>
      <c r="S184" s="16">
        <v>17300</v>
      </c>
      <c r="T184" s="16">
        <v>16900</v>
      </c>
    </row>
    <row r="185" spans="1:20" ht="12.75">
      <c r="A185" s="12" t="s">
        <v>57</v>
      </c>
      <c r="B185" s="26" t="s">
        <v>58</v>
      </c>
      <c r="C185" s="49">
        <v>2714.4</v>
      </c>
      <c r="D185" s="35">
        <f>F185+G185+H185+I185</f>
        <v>3053.3</v>
      </c>
      <c r="E185" s="42">
        <f aca="true" t="shared" si="70" ref="E185:E193">F185+G185+H185</f>
        <v>2023</v>
      </c>
      <c r="F185" s="35">
        <v>673</v>
      </c>
      <c r="G185" s="35">
        <v>675</v>
      </c>
      <c r="H185" s="16">
        <v>675</v>
      </c>
      <c r="I185" s="17">
        <f>691.4+338.9</f>
        <v>1030.3</v>
      </c>
      <c r="J185" s="17">
        <v>2894.8</v>
      </c>
      <c r="K185" s="19"/>
      <c r="L185" s="19"/>
      <c r="M185" s="39"/>
      <c r="N185" s="39"/>
      <c r="O185" s="16"/>
      <c r="P185" s="19">
        <f>J185*100/E185</f>
        <v>143.09441423628274</v>
      </c>
      <c r="Q185" s="17">
        <f>J185*100/D185</f>
        <v>94.80889529361674</v>
      </c>
      <c r="R185" s="17">
        <f t="shared" si="51"/>
        <v>106.64603595638079</v>
      </c>
      <c r="S185" s="16">
        <v>2944.5</v>
      </c>
      <c r="T185" s="16">
        <v>4105.1</v>
      </c>
    </row>
    <row r="186" spans="1:20" ht="13.5" customHeight="1" hidden="1">
      <c r="A186" s="12" t="s">
        <v>8</v>
      </c>
      <c r="B186" s="26" t="s">
        <v>5</v>
      </c>
      <c r="C186" s="49"/>
      <c r="D186" s="35">
        <f aca="true" t="shared" si="71" ref="D186:D193">F186+G186+H186+I186</f>
        <v>0</v>
      </c>
      <c r="E186" s="42">
        <f t="shared" si="70"/>
        <v>0</v>
      </c>
      <c r="F186" s="35"/>
      <c r="G186" s="35"/>
      <c r="H186" s="16"/>
      <c r="I186" s="17"/>
      <c r="J186" s="17"/>
      <c r="K186" s="19"/>
      <c r="L186" s="19"/>
      <c r="M186" s="39"/>
      <c r="N186" s="39"/>
      <c r="O186" s="16" t="e">
        <f t="shared" si="60"/>
        <v>#DIV/0!</v>
      </c>
      <c r="P186" s="19" t="e">
        <f>J186*100/E186</f>
        <v>#DIV/0!</v>
      </c>
      <c r="Q186" s="17" t="e">
        <f>J186*100/D186</f>
        <v>#DIV/0!</v>
      </c>
      <c r="R186" s="17" t="e">
        <f t="shared" si="51"/>
        <v>#DIV/0!</v>
      </c>
      <c r="S186" s="16"/>
      <c r="T186" s="16"/>
    </row>
    <row r="187" spans="1:20" ht="12.75">
      <c r="A187" s="12" t="s">
        <v>9</v>
      </c>
      <c r="B187" s="26" t="s">
        <v>6</v>
      </c>
      <c r="C187" s="49">
        <v>2320</v>
      </c>
      <c r="D187" s="35">
        <f t="shared" si="71"/>
        <v>2320</v>
      </c>
      <c r="E187" s="42">
        <f t="shared" si="70"/>
        <v>1062</v>
      </c>
      <c r="F187" s="35">
        <v>532</v>
      </c>
      <c r="G187" s="35">
        <v>265</v>
      </c>
      <c r="H187" s="16">
        <v>265</v>
      </c>
      <c r="I187" s="17">
        <v>1258</v>
      </c>
      <c r="J187" s="17">
        <v>2425.7</v>
      </c>
      <c r="K187" s="19" t="e">
        <f>J187/#REF!*100</f>
        <v>#REF!</v>
      </c>
      <c r="L187" s="19">
        <f>J187/H187*100</f>
        <v>915.3584905660377</v>
      </c>
      <c r="M187" s="39"/>
      <c r="N187" s="39"/>
      <c r="O187" s="16">
        <f t="shared" si="60"/>
        <v>192.82193958664544</v>
      </c>
      <c r="P187" s="19">
        <f t="shared" si="57"/>
        <v>228.4086629001883</v>
      </c>
      <c r="Q187" s="17">
        <f t="shared" si="58"/>
        <v>104.5560344827586</v>
      </c>
      <c r="R187" s="17">
        <f t="shared" si="51"/>
        <v>104.5560344827586</v>
      </c>
      <c r="S187" s="16">
        <f>800+2000</f>
        <v>2800</v>
      </c>
      <c r="T187" s="16">
        <f>810+2050</f>
        <v>2860</v>
      </c>
    </row>
    <row r="188" spans="1:20" ht="12.75">
      <c r="A188" s="12" t="s">
        <v>10</v>
      </c>
      <c r="B188" s="26" t="s">
        <v>21</v>
      </c>
      <c r="C188" s="49">
        <v>156</v>
      </c>
      <c r="D188" s="35">
        <f t="shared" si="71"/>
        <v>201.6</v>
      </c>
      <c r="E188" s="42">
        <f t="shared" si="70"/>
        <v>132</v>
      </c>
      <c r="F188" s="35">
        <v>42</v>
      </c>
      <c r="G188" s="35">
        <v>62</v>
      </c>
      <c r="H188" s="16">
        <v>28</v>
      </c>
      <c r="I188" s="17">
        <f>44+25.6</f>
        <v>69.6</v>
      </c>
      <c r="J188" s="17">
        <v>232.5</v>
      </c>
      <c r="K188" s="19" t="e">
        <f>J188/#REF!*100</f>
        <v>#REF!</v>
      </c>
      <c r="L188" s="19">
        <f>J188/H188*100</f>
        <v>830.3571428571429</v>
      </c>
      <c r="M188" s="39"/>
      <c r="N188" s="39"/>
      <c r="O188" s="16">
        <f t="shared" si="60"/>
        <v>334.05172413793105</v>
      </c>
      <c r="P188" s="19">
        <f t="shared" si="57"/>
        <v>176.13636363636363</v>
      </c>
      <c r="Q188" s="17">
        <f t="shared" si="58"/>
        <v>115.32738095238095</v>
      </c>
      <c r="R188" s="17">
        <f t="shared" si="51"/>
        <v>149.03846153846155</v>
      </c>
      <c r="S188" s="16">
        <v>186</v>
      </c>
      <c r="T188" s="16">
        <v>182</v>
      </c>
    </row>
    <row r="189" spans="1:20" ht="22.5">
      <c r="A189" s="13" t="s">
        <v>11</v>
      </c>
      <c r="B189" s="26" t="s">
        <v>17</v>
      </c>
      <c r="C189" s="49">
        <v>694</v>
      </c>
      <c r="D189" s="35">
        <f t="shared" si="71"/>
        <v>879.2</v>
      </c>
      <c r="E189" s="42">
        <f t="shared" si="70"/>
        <v>624.2</v>
      </c>
      <c r="F189" s="35">
        <v>169</v>
      </c>
      <c r="G189" s="35">
        <v>255</v>
      </c>
      <c r="H189" s="16">
        <v>200.2</v>
      </c>
      <c r="I189" s="17">
        <f>65+190</f>
        <v>255</v>
      </c>
      <c r="J189" s="17">
        <v>764.1</v>
      </c>
      <c r="K189" s="19" t="e">
        <f>J189/#REF!*100</f>
        <v>#REF!</v>
      </c>
      <c r="L189" s="19">
        <f>J189/H189*100</f>
        <v>381.6683316683317</v>
      </c>
      <c r="M189" s="39"/>
      <c r="N189" s="39"/>
      <c r="O189" s="16">
        <f t="shared" si="60"/>
        <v>299.6470588235294</v>
      </c>
      <c r="P189" s="19">
        <f t="shared" si="57"/>
        <v>122.4126882409484</v>
      </c>
      <c r="Q189" s="17">
        <f t="shared" si="58"/>
        <v>86.90855323020928</v>
      </c>
      <c r="R189" s="17">
        <f t="shared" si="51"/>
        <v>110.10086455331412</v>
      </c>
      <c r="S189" s="16">
        <v>693.2</v>
      </c>
      <c r="T189" s="16">
        <v>760</v>
      </c>
    </row>
    <row r="190" spans="1:20" ht="27" customHeight="1">
      <c r="A190" s="27" t="s">
        <v>41</v>
      </c>
      <c r="B190" s="26" t="s">
        <v>42</v>
      </c>
      <c r="C190" s="49">
        <v>160</v>
      </c>
      <c r="D190" s="35">
        <f t="shared" si="71"/>
        <v>190.8</v>
      </c>
      <c r="E190" s="42">
        <f t="shared" si="70"/>
        <v>138.8</v>
      </c>
      <c r="F190" s="35">
        <f>36+30.8</f>
        <v>66.8</v>
      </c>
      <c r="G190" s="35">
        <v>36</v>
      </c>
      <c r="H190" s="16">
        <v>36</v>
      </c>
      <c r="I190" s="17">
        <v>52</v>
      </c>
      <c r="J190" s="17">
        <v>132.8</v>
      </c>
      <c r="K190" s="19" t="e">
        <f>J190/#REF!*100</f>
        <v>#REF!</v>
      </c>
      <c r="L190" s="19">
        <f>J190/H190*100</f>
        <v>368.8888888888889</v>
      </c>
      <c r="M190" s="39"/>
      <c r="N190" s="39"/>
      <c r="O190" s="16">
        <f t="shared" si="60"/>
        <v>255.38461538461542</v>
      </c>
      <c r="P190" s="19">
        <f t="shared" si="57"/>
        <v>95.67723342939482</v>
      </c>
      <c r="Q190" s="17">
        <f t="shared" si="58"/>
        <v>69.60167714884696</v>
      </c>
      <c r="R190" s="17">
        <f t="shared" si="51"/>
        <v>83.00000000000001</v>
      </c>
      <c r="S190" s="16">
        <v>160</v>
      </c>
      <c r="T190" s="16">
        <v>165</v>
      </c>
    </row>
    <row r="191" spans="1:20" ht="16.5" customHeight="1">
      <c r="A191" s="27" t="s">
        <v>18</v>
      </c>
      <c r="B191" s="26" t="s">
        <v>15</v>
      </c>
      <c r="C191" s="49"/>
      <c r="D191" s="35">
        <f t="shared" si="71"/>
        <v>3974.7</v>
      </c>
      <c r="E191" s="42">
        <f t="shared" si="70"/>
        <v>0</v>
      </c>
      <c r="F191" s="35"/>
      <c r="G191" s="35"/>
      <c r="H191" s="16"/>
      <c r="I191" s="17">
        <v>3974.7</v>
      </c>
      <c r="J191" s="17">
        <v>3974</v>
      </c>
      <c r="K191" s="19" t="e">
        <f>J191/#REF!*100</f>
        <v>#REF!</v>
      </c>
      <c r="L191" s="19" t="e">
        <f>J191/H191*100</f>
        <v>#DIV/0!</v>
      </c>
      <c r="M191" s="39"/>
      <c r="N191" s="39"/>
      <c r="O191" s="16">
        <f t="shared" si="60"/>
        <v>99.98238860794525</v>
      </c>
      <c r="P191" s="19" t="e">
        <f t="shared" si="57"/>
        <v>#DIV/0!</v>
      </c>
      <c r="Q191" s="17"/>
      <c r="R191" s="17"/>
      <c r="S191" s="16"/>
      <c r="T191" s="16"/>
    </row>
    <row r="192" spans="1:20" ht="15.75" customHeight="1">
      <c r="A192" s="20" t="s">
        <v>12</v>
      </c>
      <c r="B192" s="26" t="s">
        <v>7</v>
      </c>
      <c r="C192" s="49"/>
      <c r="D192" s="35">
        <f t="shared" si="71"/>
        <v>52.7</v>
      </c>
      <c r="E192" s="42">
        <f t="shared" si="70"/>
        <v>34</v>
      </c>
      <c r="F192" s="35"/>
      <c r="G192" s="35"/>
      <c r="H192" s="16">
        <v>34</v>
      </c>
      <c r="I192" s="17">
        <v>18.7</v>
      </c>
      <c r="J192" s="17">
        <v>52.7</v>
      </c>
      <c r="K192" s="19" t="e">
        <f>J192/#REF!*100</f>
        <v>#REF!</v>
      </c>
      <c r="L192" s="19"/>
      <c r="M192" s="39"/>
      <c r="N192" s="39"/>
      <c r="O192" s="16">
        <f t="shared" si="60"/>
        <v>281.8181818181818</v>
      </c>
      <c r="P192" s="19"/>
      <c r="Q192" s="17"/>
      <c r="R192" s="17"/>
      <c r="S192" s="16">
        <v>2.1</v>
      </c>
      <c r="T192" s="16"/>
    </row>
    <row r="193" spans="1:20" ht="15" customHeight="1">
      <c r="A193" s="43" t="s">
        <v>39</v>
      </c>
      <c r="B193" s="15" t="s">
        <v>40</v>
      </c>
      <c r="C193" s="49"/>
      <c r="D193" s="35">
        <f t="shared" si="71"/>
        <v>0</v>
      </c>
      <c r="E193" s="42">
        <f t="shared" si="70"/>
        <v>0</v>
      </c>
      <c r="F193" s="54"/>
      <c r="G193" s="54"/>
      <c r="H193" s="16"/>
      <c r="I193" s="17"/>
      <c r="J193" s="17"/>
      <c r="K193" s="19" t="e">
        <f>J193/#REF!*100</f>
        <v>#REF!</v>
      </c>
      <c r="L193" s="19"/>
      <c r="M193" s="39"/>
      <c r="N193" s="39"/>
      <c r="O193" s="16" t="e">
        <f t="shared" si="60"/>
        <v>#DIV/0!</v>
      </c>
      <c r="P193" s="25"/>
      <c r="Q193" s="22"/>
      <c r="R193" s="17"/>
      <c r="S193" s="16"/>
      <c r="T193" s="16"/>
    </row>
    <row r="194" spans="1:20" ht="12.75">
      <c r="A194" s="48" t="s">
        <v>1</v>
      </c>
      <c r="B194" s="30" t="s">
        <v>0</v>
      </c>
      <c r="C194" s="34">
        <f aca="true" t="shared" si="72" ref="C194:J194">C195</f>
        <v>28036.5</v>
      </c>
      <c r="D194" s="34">
        <f t="shared" si="72"/>
        <v>53381.6</v>
      </c>
      <c r="E194" s="34">
        <f t="shared" si="72"/>
        <v>46194.899999999994</v>
      </c>
      <c r="F194" s="34">
        <f t="shared" si="72"/>
        <v>16568.3</v>
      </c>
      <c r="G194" s="34">
        <f t="shared" si="72"/>
        <v>10730.9</v>
      </c>
      <c r="H194" s="34">
        <f t="shared" si="72"/>
        <v>18895.7</v>
      </c>
      <c r="I194" s="34">
        <f t="shared" si="72"/>
        <v>7143.3</v>
      </c>
      <c r="J194" s="34">
        <f t="shared" si="72"/>
        <v>35787.4</v>
      </c>
      <c r="K194" s="25" t="e">
        <f>J194/#REF!*100</f>
        <v>#REF!</v>
      </c>
      <c r="L194" s="25">
        <f>J194/H194*100</f>
        <v>189.39441248538026</v>
      </c>
      <c r="M194" s="39"/>
      <c r="N194" s="39"/>
      <c r="O194" s="34">
        <f t="shared" si="60"/>
        <v>500.9925384626153</v>
      </c>
      <c r="P194" s="25">
        <f t="shared" si="57"/>
        <v>77.47045669543608</v>
      </c>
      <c r="Q194" s="22">
        <f t="shared" si="58"/>
        <v>67.0407031636369</v>
      </c>
      <c r="R194" s="22">
        <f t="shared" si="51"/>
        <v>127.64574750771315</v>
      </c>
      <c r="S194" s="34">
        <f>S195</f>
        <v>0</v>
      </c>
      <c r="T194" s="34">
        <f>T195</f>
        <v>0</v>
      </c>
    </row>
    <row r="195" spans="1:20" ht="22.5">
      <c r="A195" s="55" t="s">
        <v>54</v>
      </c>
      <c r="B195" s="32" t="s">
        <v>20</v>
      </c>
      <c r="C195" s="35">
        <v>28036.5</v>
      </c>
      <c r="D195" s="35">
        <v>53381.6</v>
      </c>
      <c r="E195" s="42">
        <f>F195+G195+H195</f>
        <v>46194.899999999994</v>
      </c>
      <c r="F195" s="35">
        <f>16161.6+406.7</f>
        <v>16568.3</v>
      </c>
      <c r="G195" s="35">
        <v>10730.9</v>
      </c>
      <c r="H195" s="16">
        <f>17395.7+1500</f>
        <v>18895.7</v>
      </c>
      <c r="I195" s="17">
        <f>6698+445.3</f>
        <v>7143.3</v>
      </c>
      <c r="J195" s="17">
        <v>35787.4</v>
      </c>
      <c r="K195" s="19" t="e">
        <f>J195/#REF!*100</f>
        <v>#REF!</v>
      </c>
      <c r="L195" s="19">
        <f>J195/H195*100</f>
        <v>189.39441248538026</v>
      </c>
      <c r="M195" s="39"/>
      <c r="N195" s="39"/>
      <c r="O195" s="16">
        <f t="shared" si="60"/>
        <v>500.9925384626153</v>
      </c>
      <c r="P195" s="19">
        <f t="shared" si="57"/>
        <v>77.47045669543608</v>
      </c>
      <c r="Q195" s="17">
        <f t="shared" si="58"/>
        <v>67.0407031636369</v>
      </c>
      <c r="R195" s="17">
        <f t="shared" si="51"/>
        <v>127.64574750771315</v>
      </c>
      <c r="S195" s="16"/>
      <c r="T195" s="16"/>
    </row>
    <row r="196" spans="1:20" ht="12.75">
      <c r="A196" s="20"/>
      <c r="B196" s="21" t="s">
        <v>4</v>
      </c>
      <c r="C196" s="22">
        <f aca="true" t="shared" si="73" ref="C196:J196">C194+C183</f>
        <v>50480.9</v>
      </c>
      <c r="D196" s="22">
        <f t="shared" si="73"/>
        <v>81393.9</v>
      </c>
      <c r="E196" s="22">
        <f t="shared" si="73"/>
        <v>62908.899999999994</v>
      </c>
      <c r="F196" s="22">
        <f t="shared" si="73"/>
        <v>21811.1</v>
      </c>
      <c r="G196" s="22">
        <f t="shared" si="73"/>
        <v>16188.9</v>
      </c>
      <c r="H196" s="22">
        <f t="shared" si="73"/>
        <v>24908.9</v>
      </c>
      <c r="I196" s="22">
        <f t="shared" si="73"/>
        <v>18441.6</v>
      </c>
      <c r="J196" s="22">
        <f t="shared" si="73"/>
        <v>62132.399999999994</v>
      </c>
      <c r="K196" s="25" t="e">
        <f>J196/#REF!*100</f>
        <v>#REF!</v>
      </c>
      <c r="L196" s="25">
        <f>J196/H196*100</f>
        <v>249.438554091108</v>
      </c>
      <c r="M196" s="39"/>
      <c r="N196" s="40" t="e">
        <f>I196+#REF!+#REF!</f>
        <v>#REF!</v>
      </c>
      <c r="O196" s="34">
        <f t="shared" si="60"/>
        <v>336.9143675169183</v>
      </c>
      <c r="P196" s="25">
        <f t="shared" si="57"/>
        <v>98.76567544496883</v>
      </c>
      <c r="Q196" s="22">
        <f t="shared" si="58"/>
        <v>76.33545019958497</v>
      </c>
      <c r="R196" s="22">
        <f t="shared" si="51"/>
        <v>123.08100687586789</v>
      </c>
      <c r="S196" s="34">
        <f>S194+S183</f>
        <v>24085.8</v>
      </c>
      <c r="T196" s="34">
        <f>T194+T183</f>
        <v>24972.1</v>
      </c>
    </row>
    <row r="197" spans="1:20" ht="12.75">
      <c r="A197" s="7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8"/>
      <c r="M197" s="39"/>
      <c r="N197" s="39"/>
      <c r="O197" s="38"/>
      <c r="P197" s="25"/>
      <c r="Q197" s="22"/>
      <c r="R197" s="17"/>
      <c r="S197" s="16"/>
      <c r="T197" s="16"/>
    </row>
    <row r="198" spans="1:20" ht="12.75">
      <c r="A198" s="69" t="s">
        <v>35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1"/>
      <c r="S198" s="16"/>
      <c r="T198" s="16"/>
    </row>
    <row r="199" spans="1:20" ht="12.75">
      <c r="A199" s="23" t="s">
        <v>3</v>
      </c>
      <c r="B199" s="24" t="s">
        <v>55</v>
      </c>
      <c r="C199" s="25">
        <f>C200+C203+C205+C206+C204+C207+C208+C202+C201</f>
        <v>4141.5</v>
      </c>
      <c r="D199" s="25">
        <f>D200+D203+D205+D206+D204+D207+D208+D202+D201</f>
        <v>4241.8</v>
      </c>
      <c r="E199" s="25">
        <f>E200+E203+E205+E206+E204+E207+E208+E202+E201</f>
        <v>3210.2999999999997</v>
      </c>
      <c r="F199" s="25">
        <f aca="true" t="shared" si="74" ref="F199:O199">F200+F203+F205+F206+F204+F207+F208+F202+F201</f>
        <v>855.2</v>
      </c>
      <c r="G199" s="25">
        <f t="shared" si="74"/>
        <v>1182.7</v>
      </c>
      <c r="H199" s="25">
        <f t="shared" si="74"/>
        <v>1172.4</v>
      </c>
      <c r="I199" s="25">
        <f t="shared" si="74"/>
        <v>1031.5</v>
      </c>
      <c r="J199" s="25">
        <f t="shared" si="74"/>
        <v>4545.700000000001</v>
      </c>
      <c r="K199" s="25" t="e">
        <f t="shared" si="74"/>
        <v>#REF!</v>
      </c>
      <c r="L199" s="25" t="e">
        <f t="shared" si="74"/>
        <v>#DIV/0!</v>
      </c>
      <c r="M199" s="25">
        <f t="shared" si="74"/>
        <v>0</v>
      </c>
      <c r="N199" s="25">
        <f t="shared" si="74"/>
        <v>0</v>
      </c>
      <c r="O199" s="25" t="e">
        <f t="shared" si="74"/>
        <v>#DIV/0!</v>
      </c>
      <c r="P199" s="25">
        <f t="shared" si="57"/>
        <v>141.59735850232067</v>
      </c>
      <c r="Q199" s="22">
        <f t="shared" si="58"/>
        <v>107.16441133481071</v>
      </c>
      <c r="R199" s="22">
        <f t="shared" si="51"/>
        <v>109.75974888325487</v>
      </c>
      <c r="S199" s="34">
        <f>S200+S203+S205+S206+S204+S207+S208+S202+S201</f>
        <v>4685.8</v>
      </c>
      <c r="T199" s="34">
        <f>T200+T203+T205+T206+T204+T207+T208+T202+T201</f>
        <v>5052.299999999999</v>
      </c>
    </row>
    <row r="200" spans="1:20" ht="12.75">
      <c r="A200" s="20" t="s">
        <v>23</v>
      </c>
      <c r="B200" s="26" t="s">
        <v>22</v>
      </c>
      <c r="C200" s="49">
        <v>1055</v>
      </c>
      <c r="D200" s="35">
        <f>F200+G200+H200+I200</f>
        <v>1058.9</v>
      </c>
      <c r="E200" s="42">
        <f>F200+G200+H200</f>
        <v>770.9</v>
      </c>
      <c r="F200" s="35">
        <v>172</v>
      </c>
      <c r="G200" s="35">
        <v>348.9</v>
      </c>
      <c r="H200" s="16">
        <v>250</v>
      </c>
      <c r="I200" s="16">
        <v>288</v>
      </c>
      <c r="J200" s="17">
        <v>1101.9</v>
      </c>
      <c r="K200" s="19" t="e">
        <f>J200/#REF!*100</f>
        <v>#REF!</v>
      </c>
      <c r="L200" s="19">
        <f aca="true" t="shared" si="75" ref="L200:L207">J200/H200*100</f>
        <v>440.76000000000005</v>
      </c>
      <c r="M200" s="39"/>
      <c r="N200" s="39"/>
      <c r="O200" s="16">
        <f t="shared" si="60"/>
        <v>382.60416666666674</v>
      </c>
      <c r="P200" s="19">
        <f t="shared" si="57"/>
        <v>142.93682708522508</v>
      </c>
      <c r="Q200" s="17">
        <f t="shared" si="58"/>
        <v>104.0608178298234</v>
      </c>
      <c r="R200" s="17">
        <f t="shared" si="51"/>
        <v>104.44549763033177</v>
      </c>
      <c r="S200" s="16">
        <v>1220</v>
      </c>
      <c r="T200" s="16">
        <v>1250</v>
      </c>
    </row>
    <row r="201" spans="1:20" ht="12.75">
      <c r="A201" s="12" t="s">
        <v>57</v>
      </c>
      <c r="B201" s="26" t="s">
        <v>58</v>
      </c>
      <c r="C201" s="49">
        <v>2819.5</v>
      </c>
      <c r="D201" s="35">
        <f>F201+G201+H201+I201</f>
        <v>2819.5</v>
      </c>
      <c r="E201" s="42">
        <f aca="true" t="shared" si="76" ref="E201:E208">F201+G201+H201</f>
        <v>2160</v>
      </c>
      <c r="F201" s="35">
        <v>632.2</v>
      </c>
      <c r="G201" s="35">
        <v>678.4</v>
      </c>
      <c r="H201" s="16">
        <v>849.4</v>
      </c>
      <c r="I201" s="16">
        <v>659.5</v>
      </c>
      <c r="J201" s="17">
        <v>3006.9</v>
      </c>
      <c r="K201" s="19"/>
      <c r="L201" s="19"/>
      <c r="M201" s="39"/>
      <c r="N201" s="39"/>
      <c r="O201" s="16"/>
      <c r="P201" s="19">
        <f>J201*100/E201</f>
        <v>139.20833333333334</v>
      </c>
      <c r="Q201" s="17">
        <f>J201*100/D201</f>
        <v>106.64656854052137</v>
      </c>
      <c r="R201" s="17">
        <f t="shared" si="51"/>
        <v>106.64656854052137</v>
      </c>
      <c r="S201" s="16">
        <v>3058.5</v>
      </c>
      <c r="T201" s="16">
        <v>3417.2</v>
      </c>
    </row>
    <row r="202" spans="1:20" ht="12.75">
      <c r="A202" s="12" t="s">
        <v>8</v>
      </c>
      <c r="B202" s="26" t="s">
        <v>5</v>
      </c>
      <c r="C202" s="49">
        <v>7</v>
      </c>
      <c r="D202" s="35">
        <f aca="true" t="shared" si="77" ref="D202:D208">F202+G202+H202+I202</f>
        <v>24.1</v>
      </c>
      <c r="E202" s="42">
        <f t="shared" si="76"/>
        <v>24.1</v>
      </c>
      <c r="F202" s="35"/>
      <c r="G202" s="35">
        <v>24.1</v>
      </c>
      <c r="H202" s="16"/>
      <c r="I202" s="16"/>
      <c r="J202" s="17">
        <v>25.6</v>
      </c>
      <c r="K202" s="19" t="e">
        <f>J202/#REF!*100</f>
        <v>#REF!</v>
      </c>
      <c r="L202" s="19"/>
      <c r="M202" s="39"/>
      <c r="N202" s="39"/>
      <c r="O202" s="16" t="e">
        <f t="shared" si="60"/>
        <v>#DIV/0!</v>
      </c>
      <c r="P202" s="19"/>
      <c r="Q202" s="17">
        <f t="shared" si="58"/>
        <v>106.22406639004149</v>
      </c>
      <c r="R202" s="17">
        <f t="shared" si="51"/>
        <v>365.7142857142857</v>
      </c>
      <c r="S202" s="16">
        <v>24.1</v>
      </c>
      <c r="T202" s="16">
        <v>7</v>
      </c>
    </row>
    <row r="203" spans="1:20" ht="12.75">
      <c r="A203" s="12" t="s">
        <v>9</v>
      </c>
      <c r="B203" s="26" t="s">
        <v>6</v>
      </c>
      <c r="C203" s="49">
        <v>178</v>
      </c>
      <c r="D203" s="35">
        <f t="shared" si="77"/>
        <v>178</v>
      </c>
      <c r="E203" s="42">
        <f t="shared" si="76"/>
        <v>115</v>
      </c>
      <c r="F203" s="35">
        <v>31</v>
      </c>
      <c r="G203" s="35">
        <v>31</v>
      </c>
      <c r="H203" s="16">
        <v>53</v>
      </c>
      <c r="I203" s="16">
        <v>63</v>
      </c>
      <c r="J203" s="17">
        <v>201.7</v>
      </c>
      <c r="K203" s="19" t="e">
        <f>J203/#REF!*100</f>
        <v>#REF!</v>
      </c>
      <c r="L203" s="19">
        <f t="shared" si="75"/>
        <v>380.566037735849</v>
      </c>
      <c r="M203" s="39"/>
      <c r="N203" s="39"/>
      <c r="O203" s="16">
        <f t="shared" si="60"/>
        <v>320.1587301587302</v>
      </c>
      <c r="P203" s="19">
        <f t="shared" si="57"/>
        <v>175.3913043478261</v>
      </c>
      <c r="Q203" s="17">
        <f t="shared" si="58"/>
        <v>113.31460674157303</v>
      </c>
      <c r="R203" s="17">
        <f aca="true" t="shared" si="78" ref="R203:R232">J203*100/C203</f>
        <v>113.31460674157303</v>
      </c>
      <c r="S203" s="16">
        <f>52+170</f>
        <v>222</v>
      </c>
      <c r="T203" s="16">
        <f>53+172</f>
        <v>225</v>
      </c>
    </row>
    <row r="204" spans="1:20" ht="12.75">
      <c r="A204" s="12" t="s">
        <v>10</v>
      </c>
      <c r="B204" s="26" t="s">
        <v>21</v>
      </c>
      <c r="C204" s="49">
        <v>17</v>
      </c>
      <c r="D204" s="35">
        <f t="shared" si="77"/>
        <v>17</v>
      </c>
      <c r="E204" s="42">
        <f t="shared" si="76"/>
        <v>13</v>
      </c>
      <c r="F204" s="35">
        <v>4</v>
      </c>
      <c r="G204" s="35">
        <v>5</v>
      </c>
      <c r="H204" s="16">
        <v>4</v>
      </c>
      <c r="I204" s="16">
        <v>4</v>
      </c>
      <c r="J204" s="17">
        <v>15.5</v>
      </c>
      <c r="K204" s="19" t="e">
        <f>J204/#REF!*100</f>
        <v>#REF!</v>
      </c>
      <c r="L204" s="19">
        <f t="shared" si="75"/>
        <v>387.5</v>
      </c>
      <c r="M204" s="39"/>
      <c r="N204" s="39"/>
      <c r="O204" s="16">
        <f t="shared" si="60"/>
        <v>387.5</v>
      </c>
      <c r="P204" s="19">
        <f t="shared" si="57"/>
        <v>119.23076923076923</v>
      </c>
      <c r="Q204" s="17">
        <f t="shared" si="58"/>
        <v>91.17647058823529</v>
      </c>
      <c r="R204" s="17">
        <f t="shared" si="78"/>
        <v>91.17647058823529</v>
      </c>
      <c r="S204" s="16">
        <v>17</v>
      </c>
      <c r="T204" s="16">
        <v>18</v>
      </c>
    </row>
    <row r="205" spans="1:20" ht="22.5">
      <c r="A205" s="13" t="s">
        <v>11</v>
      </c>
      <c r="B205" s="26" t="s">
        <v>17</v>
      </c>
      <c r="C205" s="49">
        <v>65</v>
      </c>
      <c r="D205" s="35">
        <f t="shared" si="77"/>
        <v>144.3</v>
      </c>
      <c r="E205" s="42">
        <f t="shared" si="76"/>
        <v>127.3</v>
      </c>
      <c r="F205" s="35">
        <v>16</v>
      </c>
      <c r="G205" s="35">
        <v>95.3</v>
      </c>
      <c r="H205" s="16">
        <v>16</v>
      </c>
      <c r="I205" s="16">
        <v>17</v>
      </c>
      <c r="J205" s="17">
        <v>132.9</v>
      </c>
      <c r="K205" s="19" t="e">
        <f>J205/#REF!*100</f>
        <v>#REF!</v>
      </c>
      <c r="L205" s="19">
        <f t="shared" si="75"/>
        <v>830.625</v>
      </c>
      <c r="M205" s="39"/>
      <c r="N205" s="39"/>
      <c r="O205" s="16">
        <f t="shared" si="60"/>
        <v>781.7647058823529</v>
      </c>
      <c r="P205" s="19">
        <f t="shared" si="57"/>
        <v>104.39905734485468</v>
      </c>
      <c r="Q205" s="17">
        <f t="shared" si="58"/>
        <v>92.0997920997921</v>
      </c>
      <c r="R205" s="17">
        <f t="shared" si="78"/>
        <v>204.46153846153845</v>
      </c>
      <c r="S205" s="16">
        <v>144.2</v>
      </c>
      <c r="T205" s="16">
        <v>135.1</v>
      </c>
    </row>
    <row r="206" spans="1:20" ht="15.75" customHeight="1">
      <c r="A206" s="27" t="s">
        <v>41</v>
      </c>
      <c r="B206" s="26" t="s">
        <v>42</v>
      </c>
      <c r="C206" s="49"/>
      <c r="D206" s="35">
        <f t="shared" si="77"/>
        <v>0</v>
      </c>
      <c r="E206" s="42">
        <f t="shared" si="76"/>
        <v>0</v>
      </c>
      <c r="F206" s="35"/>
      <c r="G206" s="35"/>
      <c r="H206" s="16"/>
      <c r="I206" s="16"/>
      <c r="J206" s="17">
        <v>12.6</v>
      </c>
      <c r="K206" s="19" t="e">
        <f>J206/#REF!*100</f>
        <v>#REF!</v>
      </c>
      <c r="L206" s="19" t="e">
        <f t="shared" si="75"/>
        <v>#DIV/0!</v>
      </c>
      <c r="M206" s="39"/>
      <c r="N206" s="39"/>
      <c r="O206" s="16" t="e">
        <f t="shared" si="60"/>
        <v>#DIV/0!</v>
      </c>
      <c r="P206" s="19" t="e">
        <f t="shared" si="57"/>
        <v>#DIV/0!</v>
      </c>
      <c r="Q206" s="17"/>
      <c r="R206" s="17"/>
      <c r="S206" s="16"/>
      <c r="T206" s="16"/>
    </row>
    <row r="207" spans="1:20" ht="12.75" customHeight="1">
      <c r="A207" s="27" t="s">
        <v>12</v>
      </c>
      <c r="B207" s="26" t="s">
        <v>7</v>
      </c>
      <c r="C207" s="49"/>
      <c r="D207" s="35">
        <f t="shared" si="77"/>
        <v>0</v>
      </c>
      <c r="E207" s="42">
        <f t="shared" si="76"/>
        <v>0</v>
      </c>
      <c r="F207" s="35"/>
      <c r="G207" s="35"/>
      <c r="H207" s="16"/>
      <c r="I207" s="16"/>
      <c r="J207" s="17">
        <v>18.9</v>
      </c>
      <c r="K207" s="19" t="e">
        <f>J207/#REF!*100</f>
        <v>#REF!</v>
      </c>
      <c r="L207" s="19" t="e">
        <f t="shared" si="75"/>
        <v>#DIV/0!</v>
      </c>
      <c r="M207" s="39"/>
      <c r="N207" s="39"/>
      <c r="O207" s="16" t="e">
        <f t="shared" si="60"/>
        <v>#DIV/0!</v>
      </c>
      <c r="P207" s="19" t="e">
        <f t="shared" si="57"/>
        <v>#DIV/0!</v>
      </c>
      <c r="Q207" s="17"/>
      <c r="R207" s="17"/>
      <c r="S207" s="16"/>
      <c r="T207" s="16"/>
    </row>
    <row r="208" spans="1:20" ht="13.5" customHeight="1">
      <c r="A208" s="43" t="s">
        <v>39</v>
      </c>
      <c r="B208" s="15" t="s">
        <v>40</v>
      </c>
      <c r="C208" s="49"/>
      <c r="D208" s="35">
        <f t="shared" si="77"/>
        <v>0</v>
      </c>
      <c r="E208" s="42">
        <f t="shared" si="76"/>
        <v>0</v>
      </c>
      <c r="F208" s="35"/>
      <c r="G208" s="35"/>
      <c r="H208" s="16"/>
      <c r="I208" s="16"/>
      <c r="J208" s="17">
        <v>29.7</v>
      </c>
      <c r="K208" s="19" t="e">
        <f>J208/#REF!*100</f>
        <v>#REF!</v>
      </c>
      <c r="L208" s="19"/>
      <c r="M208" s="39"/>
      <c r="N208" s="39"/>
      <c r="O208" s="16"/>
      <c r="P208" s="19"/>
      <c r="Q208" s="17"/>
      <c r="R208" s="17"/>
      <c r="S208" s="16"/>
      <c r="T208" s="16"/>
    </row>
    <row r="209" spans="1:20" ht="12.75">
      <c r="A209" s="23" t="s">
        <v>1</v>
      </c>
      <c r="B209" s="30" t="s">
        <v>0</v>
      </c>
      <c r="C209" s="31">
        <f aca="true" t="shared" si="79" ref="C209:J209">C210</f>
        <v>21907.3</v>
      </c>
      <c r="D209" s="31">
        <f t="shared" si="79"/>
        <v>26096.9</v>
      </c>
      <c r="E209" s="31">
        <f t="shared" si="79"/>
        <v>22299.5</v>
      </c>
      <c r="F209" s="31">
        <f t="shared" si="79"/>
        <v>6687.4</v>
      </c>
      <c r="G209" s="31">
        <f t="shared" si="79"/>
        <v>7296.3</v>
      </c>
      <c r="H209" s="31">
        <f t="shared" si="79"/>
        <v>8315.8</v>
      </c>
      <c r="I209" s="31">
        <f t="shared" si="79"/>
        <v>3746.1</v>
      </c>
      <c r="J209" s="31">
        <f t="shared" si="79"/>
        <v>25065</v>
      </c>
      <c r="K209" s="25" t="e">
        <f>J209/#REF!*100</f>
        <v>#REF!</v>
      </c>
      <c r="L209" s="25">
        <f>J209/H209*100</f>
        <v>301.4141754250944</v>
      </c>
      <c r="M209" s="39"/>
      <c r="N209" s="39"/>
      <c r="O209" s="34">
        <f t="shared" si="60"/>
        <v>669.0958596940818</v>
      </c>
      <c r="P209" s="25">
        <f t="shared" si="57"/>
        <v>112.40162335478374</v>
      </c>
      <c r="Q209" s="22">
        <f t="shared" si="58"/>
        <v>96.045890508068</v>
      </c>
      <c r="R209" s="22">
        <f t="shared" si="78"/>
        <v>114.41391682224646</v>
      </c>
      <c r="S209" s="31">
        <f>S210</f>
        <v>0</v>
      </c>
      <c r="T209" s="31">
        <f>T210</f>
        <v>0</v>
      </c>
    </row>
    <row r="210" spans="1:20" ht="22.5">
      <c r="A210" s="14" t="s">
        <v>54</v>
      </c>
      <c r="B210" s="32" t="s">
        <v>20</v>
      </c>
      <c r="C210" s="35">
        <v>21907.3</v>
      </c>
      <c r="D210" s="35">
        <v>26096.9</v>
      </c>
      <c r="E210" s="42">
        <f>F210+G210+H210</f>
        <v>22299.5</v>
      </c>
      <c r="F210" s="35">
        <f>6570+117.4</f>
        <v>6687.4</v>
      </c>
      <c r="G210" s="35">
        <v>7296.3</v>
      </c>
      <c r="H210" s="16">
        <v>8315.8</v>
      </c>
      <c r="I210" s="16">
        <f>5256.7-1510.6</f>
        <v>3746.1</v>
      </c>
      <c r="J210" s="17">
        <v>25065</v>
      </c>
      <c r="K210" s="19" t="e">
        <f>J210/#REF!*100</f>
        <v>#REF!</v>
      </c>
      <c r="L210" s="19">
        <f>J210/H210*100</f>
        <v>301.4141754250944</v>
      </c>
      <c r="M210" s="39"/>
      <c r="N210" s="39"/>
      <c r="O210" s="16">
        <f t="shared" si="60"/>
        <v>669.0958596940818</v>
      </c>
      <c r="P210" s="19">
        <f t="shared" si="57"/>
        <v>112.40162335478374</v>
      </c>
      <c r="Q210" s="17">
        <f t="shared" si="58"/>
        <v>96.045890508068</v>
      </c>
      <c r="R210" s="17">
        <f t="shared" si="78"/>
        <v>114.41391682224646</v>
      </c>
      <c r="S210" s="16"/>
      <c r="T210" s="16"/>
    </row>
    <row r="211" spans="1:20" ht="12.75">
      <c r="A211" s="20"/>
      <c r="B211" s="21" t="s">
        <v>4</v>
      </c>
      <c r="C211" s="22">
        <f aca="true" t="shared" si="80" ref="C211:J211">C209+C199</f>
        <v>26048.8</v>
      </c>
      <c r="D211" s="22">
        <f t="shared" si="80"/>
        <v>30338.7</v>
      </c>
      <c r="E211" s="22">
        <f t="shared" si="80"/>
        <v>25509.8</v>
      </c>
      <c r="F211" s="34">
        <f t="shared" si="80"/>
        <v>7542.599999999999</v>
      </c>
      <c r="G211" s="34">
        <f t="shared" si="80"/>
        <v>8479</v>
      </c>
      <c r="H211" s="34">
        <f t="shared" si="80"/>
        <v>9488.199999999999</v>
      </c>
      <c r="I211" s="34">
        <f t="shared" si="80"/>
        <v>4777.6</v>
      </c>
      <c r="J211" s="22">
        <f t="shared" si="80"/>
        <v>29610.7</v>
      </c>
      <c r="K211" s="25" t="e">
        <f>J211/#REF!*100</f>
        <v>#REF!</v>
      </c>
      <c r="L211" s="25">
        <f>J211/H211*100</f>
        <v>312.0792141818259</v>
      </c>
      <c r="M211" s="39"/>
      <c r="N211" s="40" t="e">
        <f>I211+#REF!+#REF!</f>
        <v>#REF!</v>
      </c>
      <c r="O211" s="34">
        <f t="shared" si="60"/>
        <v>619.7818988613529</v>
      </c>
      <c r="P211" s="25">
        <f t="shared" si="57"/>
        <v>116.07578264039702</v>
      </c>
      <c r="Q211" s="22">
        <f t="shared" si="58"/>
        <v>97.60042454027364</v>
      </c>
      <c r="R211" s="22">
        <f t="shared" si="78"/>
        <v>113.6739504314978</v>
      </c>
      <c r="S211" s="34">
        <f>S209+S199</f>
        <v>4685.8</v>
      </c>
      <c r="T211" s="34">
        <f>T209+T199</f>
        <v>5052.299999999999</v>
      </c>
    </row>
    <row r="212" spans="1:20" ht="12.75">
      <c r="A212" s="76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8"/>
      <c r="M212" s="39"/>
      <c r="N212" s="39"/>
      <c r="O212" s="38"/>
      <c r="P212" s="25"/>
      <c r="Q212" s="22"/>
      <c r="R212" s="17"/>
      <c r="S212" s="16"/>
      <c r="T212" s="16"/>
    </row>
    <row r="213" spans="1:20" ht="12.75">
      <c r="A213" s="69" t="s">
        <v>36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1"/>
      <c r="S213" s="16"/>
      <c r="T213" s="16"/>
    </row>
    <row r="214" spans="1:20" ht="12.75">
      <c r="A214" s="23" t="s">
        <v>3</v>
      </c>
      <c r="B214" s="24" t="s">
        <v>55</v>
      </c>
      <c r="C214" s="25">
        <f aca="true" t="shared" si="81" ref="C214:J214">C215+C217+C218+C219+C221+C222+C224+C226+C223+C220+C227+C225+C216</f>
        <v>939794.6</v>
      </c>
      <c r="D214" s="25">
        <f t="shared" si="81"/>
        <v>1139853.7</v>
      </c>
      <c r="E214" s="25">
        <f t="shared" si="81"/>
        <v>787785.3999999999</v>
      </c>
      <c r="F214" s="25">
        <f t="shared" si="81"/>
        <v>260663.9</v>
      </c>
      <c r="G214" s="25">
        <f t="shared" si="81"/>
        <v>279485.60000000003</v>
      </c>
      <c r="H214" s="25">
        <f t="shared" si="81"/>
        <v>247635.90000000005</v>
      </c>
      <c r="I214" s="25">
        <f t="shared" si="81"/>
        <v>348847.39999999997</v>
      </c>
      <c r="J214" s="25">
        <f t="shared" si="81"/>
        <v>1096748.7</v>
      </c>
      <c r="K214" s="25" t="e">
        <f>J214/#REF!*100</f>
        <v>#REF!</v>
      </c>
      <c r="L214" s="25">
        <f aca="true" t="shared" si="82" ref="L214:L225">J214/H214*100</f>
        <v>442.88760232260336</v>
      </c>
      <c r="M214" s="39"/>
      <c r="N214" s="39"/>
      <c r="O214" s="25">
        <f t="shared" si="60"/>
        <v>314.39210955850615</v>
      </c>
      <c r="P214" s="25">
        <f t="shared" si="57"/>
        <v>139.21922137678612</v>
      </c>
      <c r="Q214" s="22">
        <f t="shared" si="58"/>
        <v>96.21837434049651</v>
      </c>
      <c r="R214" s="22">
        <f t="shared" si="78"/>
        <v>116.70089400386</v>
      </c>
      <c r="S214" s="34">
        <f>S215+S217+S218+S219+S221+S222+S224+S226+S223+S220+S227+S225+S216</f>
        <v>1021367.5000000001</v>
      </c>
      <c r="T214" s="34">
        <f>T215+T217+T218+T219+T221+T222+T224+T226+T223+T220+T227+T225+T216</f>
        <v>913518</v>
      </c>
    </row>
    <row r="215" spans="1:20" ht="12.75">
      <c r="A215" s="20" t="s">
        <v>23</v>
      </c>
      <c r="B215" s="26" t="s">
        <v>22</v>
      </c>
      <c r="C215" s="17">
        <f>C9+C31+C47+C65+C82+C100+C116+C133+C150+C167+C184+C200</f>
        <v>685973.2</v>
      </c>
      <c r="D215" s="17">
        <f>D9+D31+D47+D65+D82+D100+D116+D133+D150+D167+D184+D200</f>
        <v>727515.3</v>
      </c>
      <c r="E215" s="42">
        <f>F215+G215+H215</f>
        <v>532304.9</v>
      </c>
      <c r="F215" s="17">
        <f>F9+F31+F47+F65+F82+F100+F116+F133+F150+F167+F184+F200</f>
        <v>179439.1</v>
      </c>
      <c r="G215" s="17">
        <f>G9+G31+G47+G65+G82+G100+G116+G133+G150+G167+G184+G200</f>
        <v>192892.90000000002</v>
      </c>
      <c r="H215" s="17">
        <f>H9+H31+H47+H65+H82+H100+H116+H133+H150+H167+H184+H200</f>
        <v>159972.90000000002</v>
      </c>
      <c r="I215" s="17">
        <f>I9+I31+I47+I65+I82+I100+I116+I133+I150+I167+I184+I200</f>
        <v>194391.40000000002</v>
      </c>
      <c r="J215" s="17">
        <f>J9+J31+J47+J65+J82+J100+J116+J133+J150+J167+J184+J200+0.1</f>
        <v>686649.3</v>
      </c>
      <c r="K215" s="19" t="e">
        <f>J215/#REF!*100</f>
        <v>#REF!</v>
      </c>
      <c r="L215" s="19">
        <f t="shared" si="82"/>
        <v>429.2285130794028</v>
      </c>
      <c r="M215" s="39"/>
      <c r="N215" s="39"/>
      <c r="O215" s="16">
        <f t="shared" si="60"/>
        <v>353.230286936562</v>
      </c>
      <c r="P215" s="19">
        <f t="shared" si="57"/>
        <v>128.99548736072126</v>
      </c>
      <c r="Q215" s="17">
        <f t="shared" si="58"/>
        <v>94.38279854732951</v>
      </c>
      <c r="R215" s="17">
        <f t="shared" si="78"/>
        <v>100.09856070178836</v>
      </c>
      <c r="S215" s="16">
        <f>S9+S31+S47+S65+S82+S100+S116+S133+S150+S167+S184+S200</f>
        <v>710620</v>
      </c>
      <c r="T215" s="16">
        <f>T9+T31+T47+T65+T82+T100+T116+T133+T150+T167+T184+T200</f>
        <v>644523.4</v>
      </c>
    </row>
    <row r="216" spans="1:20" ht="12.75">
      <c r="A216" s="12" t="s">
        <v>57</v>
      </c>
      <c r="B216" s="26" t="s">
        <v>58</v>
      </c>
      <c r="C216" s="17">
        <f>C10+C32+C48+C66+C83+C101+C118+C134+C151+C168+C185+C201</f>
        <v>38564.40000000001</v>
      </c>
      <c r="D216" s="17">
        <f>D10+D32+D48+D66+D83+D101+D118+D134+D151+D168+D185+D201</f>
        <v>39878.90000000001</v>
      </c>
      <c r="E216" s="42">
        <f aca="true" t="shared" si="83" ref="E216:E227">F216+G216+H216</f>
        <v>29209.6</v>
      </c>
      <c r="F216" s="17">
        <f>F10+F32+F48+F66+F83+F101+F118+F134+F151+F168+F185+F201</f>
        <v>9353.2</v>
      </c>
      <c r="G216" s="17">
        <f>G10+G32+G48+G66+G83+G101+G118+G134+G151+G168+G185+G201</f>
        <v>9550.699999999999</v>
      </c>
      <c r="H216" s="17">
        <f>H10+H32+H48+H66+H83+H101+H118+H134+H151+H168+H185+H201</f>
        <v>10305.699999999999</v>
      </c>
      <c r="I216" s="17">
        <f>I10+I32+I48+I66+I83+I101+I118+I134+I151+I168+I185+I201</f>
        <v>10019.3</v>
      </c>
      <c r="J216" s="17">
        <f>J10+J32+J48+J66+J83+J101+J118+J134+J151+J168+J185+J201+0.2</f>
        <v>41127.100000000006</v>
      </c>
      <c r="K216" s="17">
        <f>K10</f>
        <v>0</v>
      </c>
      <c r="L216" s="17">
        <f>L10</f>
        <v>0</v>
      </c>
      <c r="M216" s="17">
        <f>M10</f>
        <v>0</v>
      </c>
      <c r="N216" s="17">
        <f>N10</f>
        <v>0</v>
      </c>
      <c r="O216" s="17">
        <f>O10</f>
        <v>0</v>
      </c>
      <c r="P216" s="19">
        <f t="shared" si="57"/>
        <v>140.7999424846626</v>
      </c>
      <c r="Q216" s="17">
        <f t="shared" si="58"/>
        <v>103.12997600234709</v>
      </c>
      <c r="R216" s="17">
        <f t="shared" si="78"/>
        <v>106.64524794888548</v>
      </c>
      <c r="S216" s="16">
        <f>S10+S32+S48+S66+S83+S101+S118+S134+S151+S168+S185+S201</f>
        <v>41833.5</v>
      </c>
      <c r="T216" s="16">
        <f>T10+T32+T48+T66+T83+T101+T118+T134+T151+T168+T185+T201</f>
        <v>46940.7</v>
      </c>
    </row>
    <row r="217" spans="1:20" ht="12.75">
      <c r="A217" s="12" t="s">
        <v>8</v>
      </c>
      <c r="B217" s="26" t="s">
        <v>5</v>
      </c>
      <c r="C217" s="17">
        <f>C11+C49+C67+C202+C152+C117+C186+C84+C102+C169+C119</f>
        <v>38556</v>
      </c>
      <c r="D217" s="17">
        <f>D11+D49+D67+D202+D152+D117+D186+D84+D102+D169+D119</f>
        <v>55349.30000000001</v>
      </c>
      <c r="E217" s="42">
        <f t="shared" si="83"/>
        <v>42911.3</v>
      </c>
      <c r="F217" s="17">
        <f>F11+F49+F67+F202+F152+F117+F186+F84+F102+F169</f>
        <v>12503.6</v>
      </c>
      <c r="G217" s="17">
        <f>G11+G49+G67+G202+G152+G117+G186+G84+G102+G169</f>
        <v>22968.8</v>
      </c>
      <c r="H217" s="17">
        <f>H11+H49+H67+H202+H152+H117+H186+H84+H102+H169</f>
        <v>7438.9</v>
      </c>
      <c r="I217" s="17">
        <f>I11+I49+I67+I202+I152+I117+I186+I84+I102+I169</f>
        <v>12424</v>
      </c>
      <c r="J217" s="17">
        <f>J11+J49+J67+J202+J152+J117+J186+J84+J102+J169+J119-0.1</f>
        <v>55483.40000000001</v>
      </c>
      <c r="K217" s="19" t="e">
        <f>J217/#REF!*100</f>
        <v>#REF!</v>
      </c>
      <c r="L217" s="19">
        <f t="shared" si="82"/>
        <v>745.8548979015716</v>
      </c>
      <c r="M217" s="39"/>
      <c r="N217" s="39"/>
      <c r="O217" s="16">
        <f t="shared" si="60"/>
        <v>446.58242112041216</v>
      </c>
      <c r="P217" s="19">
        <f t="shared" si="57"/>
        <v>129.29787724911623</v>
      </c>
      <c r="Q217" s="17">
        <f t="shared" si="58"/>
        <v>100.24227948682278</v>
      </c>
      <c r="R217" s="17">
        <f t="shared" si="78"/>
        <v>143.90341321713873</v>
      </c>
      <c r="S217" s="16">
        <f>S11+S49+S67+S202+S152+S117+S186+S84+S102+S169+S119</f>
        <v>50327</v>
      </c>
      <c r="T217" s="16">
        <f>T11+T49+T67+T202+T152+T117+T186+T84+T102+T169+T119</f>
        <v>42460</v>
      </c>
    </row>
    <row r="218" spans="1:20" ht="12.75">
      <c r="A218" s="12" t="s">
        <v>9</v>
      </c>
      <c r="B218" s="26" t="s">
        <v>6</v>
      </c>
      <c r="C218" s="17">
        <f>C12+C33+C50+C68+C85+C103+C120+C135+C153+C170+C187+C203</f>
        <v>20925.8</v>
      </c>
      <c r="D218" s="17">
        <f>D12+D33+D50+D68+D85+D103+D120+D135+D153+D170+D187+D203</f>
        <v>20221.8</v>
      </c>
      <c r="E218" s="42">
        <f t="shared" si="83"/>
        <v>10069</v>
      </c>
      <c r="F218" s="17">
        <f>F12+F33+F50+F68+F85+F103+F120+F135+F153+F170+F187+F203</f>
        <v>2531.8999999999996</v>
      </c>
      <c r="G218" s="17">
        <f>G12+G33+G50+G68+G85+G103+G120+G135+G153+G170+G187+G203</f>
        <v>3258.4</v>
      </c>
      <c r="H218" s="17">
        <f>H12+H33+H50+H68+H85+H103+H120+H135+H153+H170+H187+H203</f>
        <v>4278.7</v>
      </c>
      <c r="I218" s="17">
        <f>I12+I33+I50+I68+I85+I103+I120+I135+I153+I170+I187+I203</f>
        <v>9479.8</v>
      </c>
      <c r="J218" s="17">
        <f>J12+J33+J50+J68+J85+J103+J120+J135+J153+J170+J187+J203+0.3</f>
        <v>20037.6</v>
      </c>
      <c r="K218" s="19" t="e">
        <f>J218/#REF!*100</f>
        <v>#REF!</v>
      </c>
      <c r="L218" s="19">
        <f t="shared" si="82"/>
        <v>468.3104681328441</v>
      </c>
      <c r="M218" s="39"/>
      <c r="N218" s="39"/>
      <c r="O218" s="16">
        <f t="shared" si="60"/>
        <v>211.37154792295195</v>
      </c>
      <c r="P218" s="19">
        <f t="shared" si="57"/>
        <v>199.00288012712284</v>
      </c>
      <c r="Q218" s="17">
        <f t="shared" si="58"/>
        <v>99.0891018603685</v>
      </c>
      <c r="R218" s="17">
        <f t="shared" si="78"/>
        <v>95.75547888252778</v>
      </c>
      <c r="S218" s="16">
        <f>S12+S33+S50+S68+S85+S103+S120+S135+S153+S170+S187+S203</f>
        <v>19826.6</v>
      </c>
      <c r="T218" s="16">
        <f>T12+T33+T50+T68+T85+T103+T120+T135+T153+T170+T187+T203</f>
        <v>21175</v>
      </c>
    </row>
    <row r="219" spans="1:20" ht="12.75">
      <c r="A219" s="12" t="s">
        <v>10</v>
      </c>
      <c r="B219" s="26" t="s">
        <v>21</v>
      </c>
      <c r="C219" s="17">
        <f>C13+C34+C51+C69+C86+C104+C121+C136+C154+C171+C188+C204</f>
        <v>4252.4</v>
      </c>
      <c r="D219" s="17">
        <f>D13+D34+D51+D69+D86+D104+D121+D136+D154+D171+D188+D204</f>
        <v>3573.4</v>
      </c>
      <c r="E219" s="42">
        <f t="shared" si="83"/>
        <v>2887.6000000000004</v>
      </c>
      <c r="F219" s="17">
        <f>F13+F34+F69+F86+F104+F121+F136+F154+F171+F188+F204</f>
        <v>981.5</v>
      </c>
      <c r="G219" s="17">
        <f>G13+G34+G69+G86+G104+G121+G136+G154+G171+G188+G204</f>
        <v>986.3000000000001</v>
      </c>
      <c r="H219" s="17">
        <f>H13+H34+H69+H86+H104+H121+H136+H154+H171+H188+H204</f>
        <v>919.8000000000001</v>
      </c>
      <c r="I219" s="17">
        <f>I13+I34+I69+I86+I104+I121+I136+I154+I171+I188+I204</f>
        <v>727.2</v>
      </c>
      <c r="J219" s="17">
        <f>J13+J34+J51+J69+J86+J104+J121+J136+J154+J171+J188+J204-0.1</f>
        <v>3498.6000000000004</v>
      </c>
      <c r="K219" s="19" t="e">
        <f>J219/#REF!*100</f>
        <v>#REF!</v>
      </c>
      <c r="L219" s="19">
        <f t="shared" si="82"/>
        <v>380.36529680365294</v>
      </c>
      <c r="M219" s="39"/>
      <c r="N219" s="39"/>
      <c r="O219" s="16">
        <f t="shared" si="60"/>
        <v>481.10561056105615</v>
      </c>
      <c r="P219" s="19">
        <f t="shared" si="57"/>
        <v>121.15944036570163</v>
      </c>
      <c r="Q219" s="17">
        <f t="shared" si="58"/>
        <v>97.90675547098003</v>
      </c>
      <c r="R219" s="17">
        <f t="shared" si="78"/>
        <v>82.27353964819868</v>
      </c>
      <c r="S219" s="16">
        <f>S13+S34+S51+S69+S86+S104+S121+S136+S154+S171+S188+S204</f>
        <v>3473.9</v>
      </c>
      <c r="T219" s="16">
        <f>T13+T34+T51+T69+T86+T104+T121+T136+T154+T171+T188+T204</f>
        <v>3579.3999999999996</v>
      </c>
    </row>
    <row r="220" spans="1:20" ht="22.5" hidden="1">
      <c r="A220" s="12" t="s">
        <v>37</v>
      </c>
      <c r="B220" s="26" t="s">
        <v>38</v>
      </c>
      <c r="C220" s="36">
        <f>C14</f>
        <v>0</v>
      </c>
      <c r="D220" s="36">
        <f>D14</f>
        <v>0</v>
      </c>
      <c r="E220" s="42">
        <f t="shared" si="83"/>
        <v>0</v>
      </c>
      <c r="F220" s="36">
        <f>F14</f>
        <v>0</v>
      </c>
      <c r="G220" s="36">
        <f>G14</f>
        <v>0</v>
      </c>
      <c r="H220" s="36">
        <f>H14</f>
        <v>0</v>
      </c>
      <c r="I220" s="36">
        <f>I14</f>
        <v>0</v>
      </c>
      <c r="J220" s="36">
        <f>J14</f>
        <v>0</v>
      </c>
      <c r="K220" s="19" t="e">
        <f>J220/#REF!*100</f>
        <v>#REF!</v>
      </c>
      <c r="L220" s="19"/>
      <c r="M220" s="39"/>
      <c r="N220" s="39"/>
      <c r="O220" s="16" t="e">
        <f t="shared" si="60"/>
        <v>#DIV/0!</v>
      </c>
      <c r="P220" s="19"/>
      <c r="Q220" s="17"/>
      <c r="R220" s="17" t="e">
        <f t="shared" si="78"/>
        <v>#DIV/0!</v>
      </c>
      <c r="S220" s="16">
        <f>S14</f>
        <v>0</v>
      </c>
      <c r="T220" s="16">
        <f>T14</f>
        <v>0</v>
      </c>
    </row>
    <row r="221" spans="1:20" ht="22.5">
      <c r="A221" s="13" t="s">
        <v>11</v>
      </c>
      <c r="B221" s="26" t="s">
        <v>17</v>
      </c>
      <c r="C221" s="17">
        <f>C15+C35+C52+C70+C87+C105+C122+C137+C155+C172+C189+C205</f>
        <v>112300.7</v>
      </c>
      <c r="D221" s="17">
        <f>D15+D35+D52+D70+D87+D105+D122+D137+D155+D172+D189+D205</f>
        <v>135538.6</v>
      </c>
      <c r="E221" s="42">
        <f t="shared" si="83"/>
        <v>97240.2</v>
      </c>
      <c r="F221" s="17">
        <f>F15+F35+F52+F70+F87+F105+F122+F137+F155+F172+F189+F205</f>
        <v>31363.3</v>
      </c>
      <c r="G221" s="17">
        <f>G15+G35+G52+G70+G87+G105+G122+G137+G155+G172+G189+G205</f>
        <v>32163.8</v>
      </c>
      <c r="H221" s="17">
        <f>H15+H35+H52+H70+H87+H105+H122+H137+H155+H172+H189+H205</f>
        <v>33713.1</v>
      </c>
      <c r="I221" s="17">
        <f>I15+I35+I52+I70+I87+I105+I122+I137+I155+I172+I189+I205</f>
        <v>37347.4</v>
      </c>
      <c r="J221" s="17">
        <f>J15+J35+J52+J70+J87+J105+J122+J137+J155+J172+J189+J205+0.1</f>
        <v>139269.10000000003</v>
      </c>
      <c r="K221" s="19" t="e">
        <f>J221/#REF!*100</f>
        <v>#REF!</v>
      </c>
      <c r="L221" s="19">
        <f t="shared" si="82"/>
        <v>413.1008421058877</v>
      </c>
      <c r="M221" s="39"/>
      <c r="N221" s="39"/>
      <c r="O221" s="16">
        <f t="shared" si="60"/>
        <v>372.90172809887713</v>
      </c>
      <c r="P221" s="19">
        <f aca="true" t="shared" si="84" ref="P221:P232">J221*100/E221</f>
        <v>143.22173339832707</v>
      </c>
      <c r="Q221" s="17">
        <f aca="true" t="shared" si="85" ref="Q221:Q232">J221*100/D221</f>
        <v>102.75235246638229</v>
      </c>
      <c r="R221" s="17">
        <f t="shared" si="78"/>
        <v>124.01445405059812</v>
      </c>
      <c r="S221" s="16">
        <f>S15+S35+S52+S70+S87+S105+S122+S137+S155+S172+S189+S205</f>
        <v>117163.4</v>
      </c>
      <c r="T221" s="16">
        <f>T15+T35+T52+T70+T87+T105+T122+T137+T155+T172+T189+T205</f>
        <v>116943</v>
      </c>
    </row>
    <row r="222" spans="1:20" ht="18.75" customHeight="1">
      <c r="A222" s="27" t="s">
        <v>14</v>
      </c>
      <c r="B222" s="26" t="s">
        <v>13</v>
      </c>
      <c r="C222" s="17">
        <f>C16</f>
        <v>5108.6</v>
      </c>
      <c r="D222" s="17">
        <f>D16</f>
        <v>10980</v>
      </c>
      <c r="E222" s="42">
        <f t="shared" si="83"/>
        <v>8506.2</v>
      </c>
      <c r="F222" s="17">
        <f>F16</f>
        <v>3563.9</v>
      </c>
      <c r="G222" s="17">
        <f>G16</f>
        <v>2637.2</v>
      </c>
      <c r="H222" s="17">
        <f>H16</f>
        <v>2305.1</v>
      </c>
      <c r="I222" s="17">
        <f>I16</f>
        <v>2473.8</v>
      </c>
      <c r="J222" s="17">
        <f>J16</f>
        <v>11138.8</v>
      </c>
      <c r="K222" s="19" t="e">
        <f>J222/#REF!*100</f>
        <v>#REF!</v>
      </c>
      <c r="L222" s="19">
        <f t="shared" si="82"/>
        <v>483.22415513426745</v>
      </c>
      <c r="M222" s="39"/>
      <c r="N222" s="39"/>
      <c r="O222" s="16">
        <f t="shared" si="60"/>
        <v>450.2708383862883</v>
      </c>
      <c r="P222" s="19">
        <f t="shared" si="84"/>
        <v>130.94919000258633</v>
      </c>
      <c r="Q222" s="17">
        <f t="shared" si="85"/>
        <v>101.44626593806922</v>
      </c>
      <c r="R222" s="17">
        <f t="shared" si="78"/>
        <v>218.0401675605841</v>
      </c>
      <c r="S222" s="16">
        <f>S16</f>
        <v>8700.4</v>
      </c>
      <c r="T222" s="16">
        <f>T16</f>
        <v>4251.8</v>
      </c>
    </row>
    <row r="223" spans="1:20" ht="12.75">
      <c r="A223" s="28" t="s">
        <v>41</v>
      </c>
      <c r="B223" s="26" t="s">
        <v>42</v>
      </c>
      <c r="C223" s="37">
        <f>C17+C88+C53+C106+C138+C156+C173+C190+C123+C71+C36</f>
        <v>15702.1</v>
      </c>
      <c r="D223" s="37">
        <f>D17+D88+D53+D106+D138+D156+D173+D190+D123+D71+D36+D206</f>
        <v>22237.7</v>
      </c>
      <c r="E223" s="42">
        <f t="shared" si="83"/>
        <v>17306</v>
      </c>
      <c r="F223" s="37">
        <f aca="true" t="shared" si="86" ref="F223:O223">F17+F88+F53+F106+F138+F156+F173+F190+F123+F71+F36</f>
        <v>4013.4</v>
      </c>
      <c r="G223" s="37">
        <f t="shared" si="86"/>
        <v>6521.4</v>
      </c>
      <c r="H223" s="37">
        <f t="shared" si="86"/>
        <v>6771.2</v>
      </c>
      <c r="I223" s="37">
        <f t="shared" si="86"/>
        <v>4756.299999999999</v>
      </c>
      <c r="J223" s="37">
        <f>J17+J88+J53+J106+J138+J156+J173+J190+J123+J71+J36+J206+0.1</f>
        <v>20872.199999999997</v>
      </c>
      <c r="K223" s="37" t="e">
        <f t="shared" si="86"/>
        <v>#REF!</v>
      </c>
      <c r="L223" s="37">
        <f t="shared" si="86"/>
        <v>5498.861756995488</v>
      </c>
      <c r="M223" s="37">
        <f t="shared" si="86"/>
        <v>0</v>
      </c>
      <c r="N223" s="37">
        <f t="shared" si="86"/>
        <v>0</v>
      </c>
      <c r="O223" s="37" t="e">
        <f t="shared" si="86"/>
        <v>#DIV/0!</v>
      </c>
      <c r="P223" s="19">
        <f t="shared" si="84"/>
        <v>120.60672599098577</v>
      </c>
      <c r="Q223" s="17">
        <f t="shared" si="85"/>
        <v>93.85952683955624</v>
      </c>
      <c r="R223" s="17">
        <f t="shared" si="78"/>
        <v>132.926169111138</v>
      </c>
      <c r="S223" s="37">
        <f>S17+S88+S53+S106+S138+S156+S173+S190+S123+S71+S36</f>
        <v>18744.4</v>
      </c>
      <c r="T223" s="37">
        <f>T17+T88+T53+T106+T138+T156+T173+T190+T123+T71+T36</f>
        <v>15872.999999999998</v>
      </c>
    </row>
    <row r="224" spans="1:20" ht="12.75">
      <c r="A224" s="28" t="s">
        <v>18</v>
      </c>
      <c r="B224" s="26" t="s">
        <v>15</v>
      </c>
      <c r="C224" s="17">
        <f>C18+C37+C54+C72+C89+C124+C157+C174+C191+C206+C139</f>
        <v>13944</v>
      </c>
      <c r="D224" s="17">
        <f>D18+D37+D54+D72+D89+D124+D139+D191</f>
        <v>105119.09999999999</v>
      </c>
      <c r="E224" s="42">
        <f t="shared" si="83"/>
        <v>31251.1</v>
      </c>
      <c r="F224" s="17">
        <f>F18+F37+F54+F72+F89+F107+F124+F157+F174+F191+F206+F139</f>
        <v>5278.099999999999</v>
      </c>
      <c r="G224" s="17">
        <f>G18+G37+G54+G72+G89+G107+G124+G157+G174+G191+G206+G139</f>
        <v>5638.099999999999</v>
      </c>
      <c r="H224" s="17">
        <f>H18+H37+H54+H72+H89+H107+H124+H157+H174+H191+H206+H139</f>
        <v>20334.9</v>
      </c>
      <c r="I224" s="17">
        <f>I18+I37+I54+I72+I89+I107+I124+I157+I174+I191+I206+I139</f>
        <v>73904.5</v>
      </c>
      <c r="J224" s="17">
        <f>J18+J37+J54+J72+J89+J124+J139+J191</f>
        <v>90395</v>
      </c>
      <c r="K224" s="19" t="e">
        <f>J224/#REF!*100</f>
        <v>#REF!</v>
      </c>
      <c r="L224" s="19">
        <f t="shared" si="82"/>
        <v>444.5313229964248</v>
      </c>
      <c r="M224" s="39"/>
      <c r="N224" s="39"/>
      <c r="O224" s="16">
        <f aca="true" t="shared" si="87" ref="O224:O232">J224*100/I224</f>
        <v>122.31325562042906</v>
      </c>
      <c r="P224" s="19">
        <f t="shared" si="84"/>
        <v>289.2538182655971</v>
      </c>
      <c r="Q224" s="17">
        <f t="shared" si="85"/>
        <v>85.99293563205926</v>
      </c>
      <c r="R224" s="17">
        <f t="shared" si="78"/>
        <v>648.2716580608147</v>
      </c>
      <c r="S224" s="16">
        <f>S18+S37+S54+S72+S89+S124+S157+S174+S191+S206+S139</f>
        <v>34058.5</v>
      </c>
      <c r="T224" s="16">
        <f>T18+T37+T54+T72+T89+T124+T157+T174+T191+T206+T139</f>
        <v>17538</v>
      </c>
    </row>
    <row r="225" spans="1:20" ht="12.75">
      <c r="A225" s="28" t="s">
        <v>47</v>
      </c>
      <c r="B225" s="26" t="s">
        <v>48</v>
      </c>
      <c r="C225" s="17">
        <f>C19</f>
        <v>6</v>
      </c>
      <c r="D225" s="17">
        <f>D19</f>
        <v>11.2</v>
      </c>
      <c r="E225" s="42">
        <f t="shared" si="83"/>
        <v>9</v>
      </c>
      <c r="F225" s="17">
        <f>F19</f>
        <v>6</v>
      </c>
      <c r="G225" s="17">
        <f>G19</f>
        <v>3</v>
      </c>
      <c r="H225" s="17">
        <f>H19</f>
        <v>0</v>
      </c>
      <c r="I225" s="17">
        <f>I19</f>
        <v>2.2</v>
      </c>
      <c r="J225" s="17">
        <f>J19</f>
        <v>11.2</v>
      </c>
      <c r="K225" s="19" t="e">
        <f>J225/#REF!*100</f>
        <v>#REF!</v>
      </c>
      <c r="L225" s="19" t="e">
        <f t="shared" si="82"/>
        <v>#DIV/0!</v>
      </c>
      <c r="M225" s="39"/>
      <c r="N225" s="39"/>
      <c r="O225" s="16">
        <f t="shared" si="87"/>
        <v>509.09090909090907</v>
      </c>
      <c r="P225" s="19">
        <f t="shared" si="84"/>
        <v>124.44444444444444</v>
      </c>
      <c r="Q225" s="17">
        <f t="shared" si="85"/>
        <v>100</v>
      </c>
      <c r="R225" s="17">
        <f t="shared" si="78"/>
        <v>186.66666666666666</v>
      </c>
      <c r="S225" s="16">
        <f>S19</f>
        <v>9</v>
      </c>
      <c r="T225" s="16">
        <f>T19</f>
        <v>6</v>
      </c>
    </row>
    <row r="226" spans="1:20" ht="12.75">
      <c r="A226" s="20" t="s">
        <v>12</v>
      </c>
      <c r="B226" s="26" t="s">
        <v>7</v>
      </c>
      <c r="C226" s="17">
        <f>C20+C192+C207+C73+C140+C55+C158+C90+C175+C107</f>
        <v>4461.4</v>
      </c>
      <c r="D226" s="17">
        <f>D20+D192+D207+D73+D140+D55+D158+D90+D175+D107+D38+D125</f>
        <v>19358.899999999998</v>
      </c>
      <c r="E226" s="17">
        <f aca="true" t="shared" si="88" ref="E226:J226">E20+E192+E207+E73+E140+E55+E158+E90+E175+E107+E38+E125</f>
        <v>16020.999999999998</v>
      </c>
      <c r="F226" s="17">
        <f t="shared" si="88"/>
        <v>11629.9</v>
      </c>
      <c r="G226" s="17">
        <f t="shared" si="88"/>
        <v>2795.5</v>
      </c>
      <c r="H226" s="17">
        <f t="shared" si="88"/>
        <v>1595.6</v>
      </c>
      <c r="I226" s="17">
        <f t="shared" si="88"/>
        <v>3321.4999999999995</v>
      </c>
      <c r="J226" s="17">
        <f t="shared" si="88"/>
        <v>28281.000000000004</v>
      </c>
      <c r="K226" s="17" t="e">
        <f>K20+K192+K207+K73+K140+K55+K158+K90</f>
        <v>#REF!</v>
      </c>
      <c r="L226" s="17" t="e">
        <f>L20+L192+L207+L73+L140+L55+L158+L90</f>
        <v>#DIV/0!</v>
      </c>
      <c r="M226" s="17">
        <f>M20+M192+M207+M73+M140+M55+M158+M90</f>
        <v>0</v>
      </c>
      <c r="N226" s="17">
        <f>N20+N192+N207+N73+N140+N55+N158+N90</f>
        <v>0</v>
      </c>
      <c r="O226" s="17" t="e">
        <f>O20+O192+O207+O73+O140+O55+O158+O90</f>
        <v>#DIV/0!</v>
      </c>
      <c r="P226" s="19">
        <f t="shared" si="84"/>
        <v>176.52456151301422</v>
      </c>
      <c r="Q226" s="17">
        <f t="shared" si="85"/>
        <v>146.08784590033528</v>
      </c>
      <c r="R226" s="17">
        <f t="shared" si="78"/>
        <v>633.9041556462099</v>
      </c>
      <c r="S226" s="16">
        <f>S20+S192+S207+S73+S140+S55+S158+S90+S175+S107+S38</f>
        <v>16541.3</v>
      </c>
      <c r="T226" s="16">
        <f>T20+T192+T207+T73+T140+T55+T158+T90+T175+T107+T38</f>
        <v>227.7</v>
      </c>
    </row>
    <row r="227" spans="1:20" ht="12.75">
      <c r="A227" s="29" t="s">
        <v>39</v>
      </c>
      <c r="B227" s="15" t="s">
        <v>40</v>
      </c>
      <c r="C227" s="17">
        <f>C21+C39+C56+C74+C91+C108+C126+C141+C159+C176+C193+C208</f>
        <v>0</v>
      </c>
      <c r="D227" s="17">
        <f>D21+D39+D56+D74+D91+D108+D126+D141+D159+D176+D193+D208</f>
        <v>69.5</v>
      </c>
      <c r="E227" s="42">
        <f t="shared" si="83"/>
        <v>69.5</v>
      </c>
      <c r="F227" s="17">
        <v>0</v>
      </c>
      <c r="G227" s="17">
        <f>G21+G39+G56+G74+G91+G108+G126+G141+G159+G176+G193+G208</f>
        <v>69.5</v>
      </c>
      <c r="H227" s="17">
        <f>H21+H39+H56+H74+H91+H108+H126+H141+H159+H176+H193+H208</f>
        <v>0</v>
      </c>
      <c r="I227" s="17">
        <f>I21+I39+I56+I74+I91+I108+I126+I141+I159+I176+I193+I208</f>
        <v>0</v>
      </c>
      <c r="J227" s="17">
        <f>J21+J39+J56+J74+J91+J108+J126+J141+J159+J176+J193+J208</f>
        <v>-14.60000000000002</v>
      </c>
      <c r="K227" s="19"/>
      <c r="L227" s="19"/>
      <c r="M227" s="39"/>
      <c r="N227" s="39"/>
      <c r="O227" s="16" t="e">
        <f t="shared" si="87"/>
        <v>#DIV/0!</v>
      </c>
      <c r="P227" s="19"/>
      <c r="Q227" s="17"/>
      <c r="R227" s="17"/>
      <c r="S227" s="16">
        <f>S21+S39+S56+S74+S91+S108+S126+S141+S159+S176+S193+S208</f>
        <v>69.5</v>
      </c>
      <c r="T227" s="16">
        <f>T21+T39+T56+T74+T91+T108+T126+T141+T159+T176+T193+T208</f>
        <v>0</v>
      </c>
    </row>
    <row r="228" spans="1:20" ht="12.75">
      <c r="A228" s="23" t="s">
        <v>1</v>
      </c>
      <c r="B228" s="30" t="s">
        <v>0</v>
      </c>
      <c r="C228" s="31">
        <f aca="true" t="shared" si="89" ref="C228:I228">C229+C230+C231</f>
        <v>2394102</v>
      </c>
      <c r="D228" s="31">
        <f t="shared" si="89"/>
        <v>3087984.0999999996</v>
      </c>
      <c r="E228" s="31">
        <f t="shared" si="89"/>
        <v>2076926.5000000005</v>
      </c>
      <c r="F228" s="31">
        <f t="shared" si="89"/>
        <v>597274.3</v>
      </c>
      <c r="G228" s="31">
        <f t="shared" si="89"/>
        <v>709372.1000000001</v>
      </c>
      <c r="H228" s="31">
        <f t="shared" si="89"/>
        <v>770280.1</v>
      </c>
      <c r="I228" s="31">
        <f t="shared" si="89"/>
        <v>1016387.2999999999</v>
      </c>
      <c r="J228" s="31">
        <f>J229+J230+J231+0.1</f>
        <v>2589200.9</v>
      </c>
      <c r="K228" s="25" t="e">
        <f>J228/#REF!*100</f>
        <v>#REF!</v>
      </c>
      <c r="L228" s="25">
        <f>J228/H228*100</f>
        <v>336.1375816407564</v>
      </c>
      <c r="M228" s="39"/>
      <c r="N228" s="39"/>
      <c r="O228" s="34">
        <f t="shared" si="87"/>
        <v>254.74549908287915</v>
      </c>
      <c r="P228" s="25">
        <f t="shared" si="84"/>
        <v>124.66502305209161</v>
      </c>
      <c r="Q228" s="22">
        <f>J228*100/D228</f>
        <v>83.84761113245371</v>
      </c>
      <c r="R228" s="22">
        <f t="shared" si="78"/>
        <v>108.14914736297786</v>
      </c>
      <c r="S228" s="31">
        <f>S229+S230+S231</f>
        <v>0</v>
      </c>
      <c r="T228" s="31">
        <f>T229+T230+T231</f>
        <v>0</v>
      </c>
    </row>
    <row r="229" spans="1:20" ht="22.5">
      <c r="A229" s="14" t="s">
        <v>54</v>
      </c>
      <c r="B229" s="32" t="s">
        <v>20</v>
      </c>
      <c r="C229" s="16">
        <f>C23</f>
        <v>2384102</v>
      </c>
      <c r="D229" s="35">
        <f>D23-3294.5</f>
        <v>2959523.3</v>
      </c>
      <c r="E229" s="42">
        <f>F229+G229+H229</f>
        <v>2014777.3000000003</v>
      </c>
      <c r="F229" s="16">
        <f>F23-75.7</f>
        <v>596721.7000000001</v>
      </c>
      <c r="G229" s="16">
        <f>G23-39.2</f>
        <v>708085.1000000001</v>
      </c>
      <c r="H229" s="16">
        <f>H23-3342.1+278.6</f>
        <v>709970.5</v>
      </c>
      <c r="I229" s="16">
        <f>I23-38.3-4</f>
        <v>950974.7</v>
      </c>
      <c r="J229" s="16">
        <f>J23-3218.8</f>
        <v>2458776.7</v>
      </c>
      <c r="K229" s="19" t="e">
        <f>J229/#REF!*100</f>
        <v>#REF!</v>
      </c>
      <c r="L229" s="19">
        <f>J229/H229*100</f>
        <v>346.32096685707364</v>
      </c>
      <c r="M229" s="39"/>
      <c r="N229" s="39"/>
      <c r="O229" s="16">
        <f t="shared" si="87"/>
        <v>258.55332428927926</v>
      </c>
      <c r="P229" s="19">
        <f t="shared" si="84"/>
        <v>122.03714524677244</v>
      </c>
      <c r="Q229" s="17">
        <f t="shared" si="85"/>
        <v>83.0801602406712</v>
      </c>
      <c r="R229" s="17">
        <f t="shared" si="78"/>
        <v>103.13219400847784</v>
      </c>
      <c r="S229" s="16">
        <f>S23</f>
        <v>0</v>
      </c>
      <c r="T229" s="16">
        <f>T23</f>
        <v>0</v>
      </c>
    </row>
    <row r="230" spans="1:20" ht="12.75">
      <c r="A230" s="14" t="s">
        <v>2</v>
      </c>
      <c r="B230" s="33" t="s">
        <v>19</v>
      </c>
      <c r="C230" s="17">
        <f>C24+C95+C179+C77</f>
        <v>10000</v>
      </c>
      <c r="D230" s="17">
        <f>D24+D95+D179+D77+D144</f>
        <v>137424</v>
      </c>
      <c r="E230" s="42">
        <f>F230+G230+H230</f>
        <v>70832.6</v>
      </c>
      <c r="F230" s="17">
        <f>F24+F95+F179+F77</f>
        <v>4873.1</v>
      </c>
      <c r="G230" s="17">
        <f>G24+G95+G179+G77</f>
        <v>3409.5</v>
      </c>
      <c r="H230" s="17">
        <f>H24+H95+H179+H77</f>
        <v>62550</v>
      </c>
      <c r="I230" s="17">
        <f>I24+I95+I179+I77</f>
        <v>65692.4</v>
      </c>
      <c r="J230" s="17">
        <f>J24+J95+J179+J77+J144</f>
        <v>139387.3</v>
      </c>
      <c r="K230" s="19" t="e">
        <f>J230/#REF!*100</f>
        <v>#REF!</v>
      </c>
      <c r="L230" s="19">
        <f>J230/H230*100</f>
        <v>222.8414068745004</v>
      </c>
      <c r="M230" s="39"/>
      <c r="N230" s="39"/>
      <c r="O230" s="16">
        <f t="shared" si="87"/>
        <v>212.18177445183917</v>
      </c>
      <c r="P230" s="19">
        <f t="shared" si="84"/>
        <v>196.78410788252862</v>
      </c>
      <c r="Q230" s="17">
        <f t="shared" si="85"/>
        <v>101.42864419606472</v>
      </c>
      <c r="R230" s="17">
        <f t="shared" si="78"/>
        <v>1393.8729999999998</v>
      </c>
      <c r="S230" s="16">
        <f>S24+S95+S179+S77+S144</f>
        <v>0</v>
      </c>
      <c r="T230" s="16">
        <f>T24+T95+T179+T77+T144</f>
        <v>0</v>
      </c>
    </row>
    <row r="231" spans="1:20" ht="22.5">
      <c r="A231" s="14" t="s">
        <v>53</v>
      </c>
      <c r="B231" s="18" t="s">
        <v>50</v>
      </c>
      <c r="C231" s="17">
        <f>C26</f>
        <v>0</v>
      </c>
      <c r="D231" s="35">
        <f>F231+G231+H231+I231</f>
        <v>-8963.199999999999</v>
      </c>
      <c r="E231" s="42">
        <f>F231+G231+H231</f>
        <v>-8683.4</v>
      </c>
      <c r="F231" s="17">
        <f>F26</f>
        <v>-4320.5</v>
      </c>
      <c r="G231" s="17">
        <f>G26</f>
        <v>-2122.5</v>
      </c>
      <c r="H231" s="17">
        <f>H26</f>
        <v>-2240.4</v>
      </c>
      <c r="I231" s="17">
        <f>I26</f>
        <v>-279.8</v>
      </c>
      <c r="J231" s="17">
        <f>J26</f>
        <v>-8963.2</v>
      </c>
      <c r="K231" s="19" t="e">
        <f>J231/#REF!*100</f>
        <v>#REF!</v>
      </c>
      <c r="L231" s="19"/>
      <c r="M231" s="39"/>
      <c r="N231" s="39"/>
      <c r="O231" s="16">
        <f t="shared" si="87"/>
        <v>3203.431022158685</v>
      </c>
      <c r="P231" s="19">
        <f>J231*100/E231</f>
        <v>103.22224013635214</v>
      </c>
      <c r="Q231" s="17">
        <f>J231*100/D231</f>
        <v>100.00000000000003</v>
      </c>
      <c r="R231" s="17"/>
      <c r="S231" s="16">
        <f>S26</f>
        <v>0</v>
      </c>
      <c r="T231" s="16">
        <f>T26</f>
        <v>0</v>
      </c>
    </row>
    <row r="232" spans="1:20" ht="12.75">
      <c r="A232" s="20"/>
      <c r="B232" s="21" t="s">
        <v>4</v>
      </c>
      <c r="C232" s="22">
        <f>C228+C214</f>
        <v>3333896.6</v>
      </c>
      <c r="D232" s="22">
        <f>D228+D214</f>
        <v>4227837.8</v>
      </c>
      <c r="E232" s="22">
        <f aca="true" t="shared" si="90" ref="E232:J232">E228+E214</f>
        <v>2864711.9000000004</v>
      </c>
      <c r="F232" s="22">
        <f t="shared" si="90"/>
        <v>857938.2000000001</v>
      </c>
      <c r="G232" s="22">
        <f t="shared" si="90"/>
        <v>988857.7000000002</v>
      </c>
      <c r="H232" s="22">
        <f t="shared" si="90"/>
        <v>1017916</v>
      </c>
      <c r="I232" s="22">
        <f t="shared" si="90"/>
        <v>1365234.7</v>
      </c>
      <c r="J232" s="22">
        <f t="shared" si="90"/>
        <v>3685949.5999999996</v>
      </c>
      <c r="K232" s="25" t="e">
        <f>J232/#REF!*100</f>
        <v>#REF!</v>
      </c>
      <c r="L232" s="25">
        <f>J232/H232*100</f>
        <v>362.1074430503106</v>
      </c>
      <c r="M232" s="39"/>
      <c r="N232" s="40" t="e">
        <f>I232+#REF!+#REF!</f>
        <v>#REF!</v>
      </c>
      <c r="O232" s="34">
        <f t="shared" si="87"/>
        <v>269.9865158715933</v>
      </c>
      <c r="P232" s="25">
        <f t="shared" si="84"/>
        <v>128.66737489378946</v>
      </c>
      <c r="Q232" s="22">
        <f t="shared" si="85"/>
        <v>87.1828526628907</v>
      </c>
      <c r="R232" s="22">
        <f t="shared" si="78"/>
        <v>110.559805604049</v>
      </c>
      <c r="S232" s="34">
        <f>S228+S214</f>
        <v>1021367.5000000001</v>
      </c>
      <c r="T232" s="34">
        <f>T228+T214</f>
        <v>913518</v>
      </c>
    </row>
    <row r="233" spans="2:8" ht="12.75">
      <c r="B233" s="8"/>
      <c r="C233" s="8"/>
      <c r="D233" s="8"/>
      <c r="E233" s="8"/>
      <c r="F233" s="8"/>
      <c r="G233" s="8"/>
      <c r="H233" s="2"/>
    </row>
    <row r="234" spans="2:11" ht="12.75">
      <c r="B234" s="9" t="s">
        <v>46</v>
      </c>
      <c r="C234" s="9"/>
      <c r="D234" s="68"/>
      <c r="E234" s="9"/>
      <c r="F234" s="9"/>
      <c r="G234" s="9"/>
      <c r="H234" s="3"/>
      <c r="I234" s="3"/>
      <c r="J234" s="5"/>
      <c r="K234" s="5"/>
    </row>
    <row r="235" spans="2:12" ht="12.75" hidden="1">
      <c r="B235" s="9"/>
      <c r="C235" s="9"/>
      <c r="D235" s="9"/>
      <c r="E235" s="9"/>
      <c r="F235" s="9"/>
      <c r="G235" s="9"/>
      <c r="H235" s="3" t="s">
        <v>49</v>
      </c>
      <c r="I235" s="3">
        <f>I234-I214</f>
        <v>-348847.39999999997</v>
      </c>
      <c r="J235" s="4"/>
      <c r="K235" s="5"/>
      <c r="L235" s="2" t="e">
        <f>N27+N43+N61+N78+N96+N112+N129+N146+N163+N180+N196+N211-#REF!-#REF!-#REF!-#REF!-#REF!-#REF!-#REF!-#REF!-#REF!-#REF!-#REF!-#REF!-5301.3-7951.9-535.1-7243.1</f>
        <v>#REF!</v>
      </c>
    </row>
    <row r="236" spans="1:12" ht="12.75" hidden="1">
      <c r="A236" s="2"/>
      <c r="B236" s="9"/>
      <c r="C236" s="9"/>
      <c r="D236" s="9"/>
      <c r="E236" s="9"/>
      <c r="F236" s="9"/>
      <c r="G236" s="9"/>
      <c r="H236" s="6"/>
      <c r="I236" s="3"/>
      <c r="J236" s="5"/>
      <c r="K236" s="5"/>
      <c r="L236" s="2" t="e">
        <f>N232-L235</f>
        <v>#REF!</v>
      </c>
    </row>
    <row r="237" spans="2:11" ht="12.75" hidden="1">
      <c r="B237" s="10"/>
      <c r="C237" s="10"/>
      <c r="D237" s="10"/>
      <c r="E237" s="10"/>
      <c r="F237" s="10"/>
      <c r="G237" s="10"/>
      <c r="H237" s="3"/>
      <c r="I237" s="3">
        <f>I236-I228</f>
        <v>-1016387.2999999999</v>
      </c>
      <c r="J237" s="5"/>
      <c r="K237" s="5"/>
    </row>
    <row r="238" spans="2:11" ht="12.75" hidden="1">
      <c r="B238" s="10"/>
      <c r="C238" s="10"/>
      <c r="D238" s="10"/>
      <c r="E238" s="10"/>
      <c r="F238" s="10"/>
      <c r="G238" s="10"/>
      <c r="H238" s="6"/>
      <c r="I238" s="3" t="e">
        <f>#REF!+#REF!+#REF!+#REF!+#REF!+#REF!+#REF!+#REF!+#REF!+#REF!</f>
        <v>#REF!</v>
      </c>
      <c r="J238" s="5"/>
      <c r="K238" s="5"/>
    </row>
    <row r="239" spans="1:11" ht="12.75" hidden="1">
      <c r="A239" s="2">
        <f>I214+I228</f>
        <v>1365234.7</v>
      </c>
      <c r="B239" s="11"/>
      <c r="C239" s="11"/>
      <c r="D239" s="11"/>
      <c r="E239" s="11"/>
      <c r="F239" s="11"/>
      <c r="G239" s="11"/>
      <c r="H239" s="6"/>
      <c r="I239" s="3" t="e">
        <f>I238-#REF!</f>
        <v>#REF!</v>
      </c>
      <c r="J239" s="5"/>
      <c r="K239" s="5"/>
    </row>
    <row r="240" spans="1:11" ht="12.75" hidden="1">
      <c r="A240" s="2" t="e">
        <f>#REF!+#REF!</f>
        <v>#REF!</v>
      </c>
      <c r="B240" s="10"/>
      <c r="C240" s="10"/>
      <c r="D240" s="10"/>
      <c r="E240" s="10"/>
      <c r="F240" s="10"/>
      <c r="G240" s="10"/>
      <c r="H240" s="6"/>
      <c r="I240" s="3" t="e">
        <f>I234+I236+I238</f>
        <v>#REF!</v>
      </c>
      <c r="J240" s="5"/>
      <c r="K240" s="5"/>
    </row>
    <row r="241" spans="1:11" ht="12.75" hidden="1">
      <c r="A241" s="2" t="e">
        <f>I214+#REF!</f>
        <v>#REF!</v>
      </c>
      <c r="B241" s="9"/>
      <c r="C241" s="9"/>
      <c r="D241" s="9"/>
      <c r="E241" s="9"/>
      <c r="F241" s="9"/>
      <c r="G241" s="9"/>
      <c r="H241" s="6"/>
      <c r="I241" s="3">
        <f>I27+I43+I61+I78+I96+I112+I129+I146+I163+I180+I196+I211-I209-I194-I177-I160-I142-I127-I109-I93-I75-I40-I57</f>
        <v>1365452.4000000001</v>
      </c>
      <c r="J241" s="5"/>
      <c r="K241" s="5"/>
    </row>
    <row r="242" spans="1:11" ht="12.75" hidden="1">
      <c r="A242" s="2" t="e">
        <f>I228+#REF!</f>
        <v>#REF!</v>
      </c>
      <c r="B242" s="9"/>
      <c r="C242" s="9"/>
      <c r="D242" s="9"/>
      <c r="E242" s="9"/>
      <c r="F242" s="9"/>
      <c r="G242" s="9"/>
      <c r="H242" s="6"/>
      <c r="I242" s="3">
        <f>I241-I232</f>
        <v>217.70000000018626</v>
      </c>
      <c r="J242" s="5"/>
      <c r="K242" s="5"/>
    </row>
    <row r="243" spans="2:11" ht="12.75" hidden="1">
      <c r="B243" s="9"/>
      <c r="C243" s="9"/>
      <c r="D243" s="9"/>
      <c r="E243" s="9"/>
      <c r="F243" s="9"/>
      <c r="G243" s="9"/>
      <c r="H243" s="6"/>
      <c r="I243" s="3"/>
      <c r="J243" s="5"/>
      <c r="K243" s="5"/>
    </row>
    <row r="244" spans="2:11" ht="12.75" hidden="1">
      <c r="B244" s="8"/>
      <c r="C244" s="8"/>
      <c r="D244" s="8"/>
      <c r="E244" s="8"/>
      <c r="F244" s="8"/>
      <c r="G244" s="8"/>
      <c r="H244" s="5"/>
      <c r="I244" s="4"/>
      <c r="J244" s="5"/>
      <c r="K244" s="5"/>
    </row>
    <row r="245" spans="2:11" ht="12.75">
      <c r="B245" s="8"/>
      <c r="C245" s="8"/>
      <c r="D245" s="8"/>
      <c r="E245" s="8"/>
      <c r="F245" s="41">
        <f>F8+F30+F46+F64+F81+F99+F115+F132+F149+F166+F183+F199</f>
        <v>260663.89999999994</v>
      </c>
      <c r="G245" s="41">
        <f>G8+G30+G46+G64+G81+G99+G115+G132+G149+G166+G183+G199</f>
        <v>279485.60000000003</v>
      </c>
      <c r="H245" s="41">
        <f>H8+H30+H46+H64+H81+H99+H115+H132+H149+H166+H183+H199</f>
        <v>247635.89999999997</v>
      </c>
      <c r="I245" s="41">
        <f>I8+I30+I46+I64+I81+I99+I115+I132+I149+I166+I183+I199</f>
        <v>348847.4000000001</v>
      </c>
      <c r="J245" s="41"/>
      <c r="K245" s="5"/>
    </row>
    <row r="246" spans="2:11" ht="12.75">
      <c r="B246" s="8"/>
      <c r="C246" s="8"/>
      <c r="D246" s="8"/>
      <c r="E246" s="8"/>
      <c r="F246" s="8"/>
      <c r="G246" s="8"/>
      <c r="H246" s="5"/>
      <c r="I246" s="4"/>
      <c r="J246" s="5"/>
      <c r="K246" s="5"/>
    </row>
    <row r="247" spans="2:11" ht="12.75">
      <c r="B247" s="8"/>
      <c r="C247" s="41"/>
      <c r="D247" s="41"/>
      <c r="E247" s="8"/>
      <c r="F247" s="41"/>
      <c r="G247" s="41"/>
      <c r="H247" s="41"/>
      <c r="I247" s="41"/>
      <c r="J247" s="41"/>
      <c r="K247" s="5"/>
    </row>
    <row r="248" spans="8:11" ht="12.75">
      <c r="H248" s="5"/>
      <c r="I248" s="4"/>
      <c r="J248" s="5"/>
      <c r="K248" s="5"/>
    </row>
    <row r="249" spans="4:11" ht="12.75">
      <c r="D249" s="2"/>
      <c r="H249" s="5"/>
      <c r="I249" s="4"/>
      <c r="J249" s="5"/>
      <c r="K249" s="5"/>
    </row>
    <row r="250" spans="8:11" ht="12.75">
      <c r="H250" s="5"/>
      <c r="I250" s="4"/>
      <c r="J250" s="5"/>
      <c r="K250" s="5"/>
    </row>
    <row r="251" spans="2:11" ht="12.75">
      <c r="B251" s="8"/>
      <c r="C251" s="8"/>
      <c r="D251" s="8"/>
      <c r="E251" s="8"/>
      <c r="F251" s="8"/>
      <c r="G251" s="8"/>
      <c r="H251" s="5"/>
      <c r="I251" s="4"/>
      <c r="J251" s="5"/>
      <c r="K251" s="5"/>
    </row>
    <row r="252" spans="2:11" ht="12.75">
      <c r="B252" s="8"/>
      <c r="C252" s="8"/>
      <c r="D252" s="8"/>
      <c r="E252" s="8"/>
      <c r="F252" s="8"/>
      <c r="G252" s="8"/>
      <c r="H252" s="5"/>
      <c r="I252" s="4"/>
      <c r="J252" s="5"/>
      <c r="K252" s="5"/>
    </row>
    <row r="253" spans="2:11" ht="12.75">
      <c r="B253" s="8"/>
      <c r="C253" s="8"/>
      <c r="D253" s="8"/>
      <c r="E253" s="8"/>
      <c r="F253" s="8"/>
      <c r="G253" s="8"/>
      <c r="H253" s="5"/>
      <c r="I253" s="4"/>
      <c r="J253" s="5"/>
      <c r="K253" s="5"/>
    </row>
    <row r="254" spans="2:11" ht="12.75">
      <c r="B254" s="8"/>
      <c r="C254" s="8"/>
      <c r="D254" s="8"/>
      <c r="E254" s="8"/>
      <c r="F254" s="8"/>
      <c r="G254" s="8"/>
      <c r="H254" s="5"/>
      <c r="I254" s="4"/>
      <c r="J254" s="5"/>
      <c r="K254" s="5"/>
    </row>
    <row r="255" spans="2:11" ht="12.75">
      <c r="B255" s="8"/>
      <c r="C255" s="8"/>
      <c r="D255" s="8"/>
      <c r="E255" s="8"/>
      <c r="F255" s="8"/>
      <c r="G255" s="8"/>
      <c r="H255" s="4"/>
      <c r="I255" s="4"/>
      <c r="J255" s="4"/>
      <c r="K255" s="5"/>
    </row>
    <row r="256" spans="2:11" ht="12.75">
      <c r="B256" s="8"/>
      <c r="C256" s="8"/>
      <c r="D256" s="8"/>
      <c r="E256" s="8"/>
      <c r="F256" s="8"/>
      <c r="G256" s="8"/>
      <c r="H256" s="5"/>
      <c r="I256" s="5"/>
      <c r="J256" s="5"/>
      <c r="K256" s="5"/>
    </row>
    <row r="257" spans="2:11" ht="12.75">
      <c r="B257" s="8"/>
      <c r="C257" s="8"/>
      <c r="D257" s="8"/>
      <c r="E257" s="8"/>
      <c r="F257" s="8"/>
      <c r="G257" s="8"/>
      <c r="H257" s="7"/>
      <c r="I257" s="4"/>
      <c r="J257" s="5"/>
      <c r="K257" s="5"/>
    </row>
  </sheetData>
  <sheetProtection password="CF7A" sheet="1"/>
  <mergeCells count="47">
    <mergeCell ref="S4:S6"/>
    <mergeCell ref="T4:T6"/>
    <mergeCell ref="D4:D6"/>
    <mergeCell ref="E4:E6"/>
    <mergeCell ref="H4:H6"/>
    <mergeCell ref="I4:I6"/>
    <mergeCell ref="J4:J6"/>
    <mergeCell ref="O4:O6"/>
    <mergeCell ref="F4:F6"/>
    <mergeCell ref="G4:G6"/>
    <mergeCell ref="A1:R1"/>
    <mergeCell ref="A213:R213"/>
    <mergeCell ref="A198:R198"/>
    <mergeCell ref="A182:R182"/>
    <mergeCell ref="A165:R165"/>
    <mergeCell ref="A148:R148"/>
    <mergeCell ref="A131:R131"/>
    <mergeCell ref="A212:L212"/>
    <mergeCell ref="A197:L197"/>
    <mergeCell ref="A164:L164"/>
    <mergeCell ref="A2:L2"/>
    <mergeCell ref="A97:L97"/>
    <mergeCell ref="A113:L113"/>
    <mergeCell ref="B44:L44"/>
    <mergeCell ref="A28:L28"/>
    <mergeCell ref="A7:R7"/>
    <mergeCell ref="A62:L62"/>
    <mergeCell ref="Q4:Q6"/>
    <mergeCell ref="A80:R80"/>
    <mergeCell ref="A63:R63"/>
    <mergeCell ref="A181:L181"/>
    <mergeCell ref="A147:L147"/>
    <mergeCell ref="A130:L130"/>
    <mergeCell ref="A98:R98"/>
    <mergeCell ref="A114:R114"/>
    <mergeCell ref="A45:R45"/>
    <mergeCell ref="A79:L79"/>
    <mergeCell ref="A29:R29"/>
    <mergeCell ref="K4:K6"/>
    <mergeCell ref="L4:L6"/>
    <mergeCell ref="M4:M6"/>
    <mergeCell ref="N4:N6"/>
    <mergeCell ref="P4:P6"/>
    <mergeCell ref="A4:A6"/>
    <mergeCell ref="B4:B6"/>
    <mergeCell ref="C4:C6"/>
    <mergeCell ref="R4:R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B122" sqref="B122"/>
    </sheetView>
  </sheetViews>
  <sheetFormatPr defaultColWidth="9.00390625" defaultRowHeight="12.75"/>
  <cols>
    <col min="2" max="2" width="51.875" style="0" customWidth="1"/>
    <col min="3" max="4" width="14.625" style="0" customWidth="1"/>
    <col min="6" max="7" width="12.50390625" style="0" customWidth="1"/>
    <col min="9" max="10" width="13.25390625" style="0" customWidth="1"/>
  </cols>
  <sheetData>
    <row r="1" spans="1:11" ht="15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3.5" thickBot="1">
      <c r="A2" s="90"/>
      <c r="B2" s="91"/>
      <c r="C2" s="92"/>
      <c r="D2" s="93"/>
      <c r="E2" s="94"/>
      <c r="F2" s="95"/>
      <c r="G2" s="96"/>
      <c r="H2" s="96"/>
      <c r="I2" s="97"/>
      <c r="J2" s="98"/>
      <c r="K2" s="98"/>
    </row>
    <row r="3" spans="1:11" ht="13.5">
      <c r="A3" s="99" t="s">
        <v>79</v>
      </c>
      <c r="B3" s="100" t="s">
        <v>80</v>
      </c>
      <c r="C3" s="101" t="s">
        <v>81</v>
      </c>
      <c r="D3" s="101"/>
      <c r="E3" s="101"/>
      <c r="F3" s="102" t="s">
        <v>82</v>
      </c>
      <c r="G3" s="102"/>
      <c r="H3" s="102"/>
      <c r="I3" s="103" t="s">
        <v>83</v>
      </c>
      <c r="J3" s="103"/>
      <c r="K3" s="104"/>
    </row>
    <row r="4" spans="1:11" ht="12.75">
      <c r="A4" s="105"/>
      <c r="B4" s="106"/>
      <c r="C4" s="107" t="s">
        <v>84</v>
      </c>
      <c r="D4" s="107" t="s">
        <v>85</v>
      </c>
      <c r="E4" s="107" t="s">
        <v>86</v>
      </c>
      <c r="F4" s="107" t="s">
        <v>84</v>
      </c>
      <c r="G4" s="108" t="s">
        <v>85</v>
      </c>
      <c r="H4" s="108" t="s">
        <v>86</v>
      </c>
      <c r="I4" s="109" t="s">
        <v>84</v>
      </c>
      <c r="J4" s="110" t="s">
        <v>87</v>
      </c>
      <c r="K4" s="111" t="s">
        <v>86</v>
      </c>
    </row>
    <row r="5" spans="1:11" ht="12.75">
      <c r="A5" s="105"/>
      <c r="B5" s="106"/>
      <c r="C5" s="112"/>
      <c r="D5" s="107"/>
      <c r="E5" s="113"/>
      <c r="F5" s="112"/>
      <c r="G5" s="108"/>
      <c r="H5" s="112"/>
      <c r="I5" s="114"/>
      <c r="J5" s="110"/>
      <c r="K5" s="115"/>
    </row>
    <row r="6" spans="1:11" ht="12.75">
      <c r="A6" s="105"/>
      <c r="B6" s="116" t="s">
        <v>88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2.75">
      <c r="A7" s="105"/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1:11" ht="12.75">
      <c r="A8" s="105"/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1" ht="13.5">
      <c r="A9" s="118" t="s">
        <v>89</v>
      </c>
      <c r="B9" s="119" t="s">
        <v>90</v>
      </c>
      <c r="C9" s="120">
        <f>SUM(C10:C17)</f>
        <v>309609.89999999997</v>
      </c>
      <c r="D9" s="120">
        <f>SUM(D10:D17)</f>
        <v>267032.10000000003</v>
      </c>
      <c r="E9" s="120">
        <f>D9/C9*100</f>
        <v>86.24792036688751</v>
      </c>
      <c r="F9" s="120">
        <f>F10+F11+F12+F13+F14+F16+F17+F15</f>
        <v>229703.30000000002</v>
      </c>
      <c r="G9" s="120">
        <f>SUM(G10:G17)</f>
        <v>204121.9</v>
      </c>
      <c r="H9" s="121">
        <f>G9/F9*100</f>
        <v>88.86328581261131</v>
      </c>
      <c r="I9" s="120">
        <f>SUM(I10:I17)</f>
        <v>538688.7</v>
      </c>
      <c r="J9" s="120">
        <f>SUM(J10:J17)</f>
        <v>470605.19999999995</v>
      </c>
      <c r="K9" s="122">
        <f>J9/I9*100</f>
        <v>87.36125335467403</v>
      </c>
    </row>
    <row r="10" spans="1:11" ht="13.5">
      <c r="A10" s="123" t="s">
        <v>91</v>
      </c>
      <c r="B10" s="124" t="s">
        <v>92</v>
      </c>
      <c r="C10" s="125">
        <v>4334</v>
      </c>
      <c r="D10" s="125">
        <v>3733.5</v>
      </c>
      <c r="E10" s="125">
        <f>D10/C10*100</f>
        <v>86.14443931702816</v>
      </c>
      <c r="F10" s="126">
        <v>46683.1</v>
      </c>
      <c r="G10" s="126">
        <v>42708.8</v>
      </c>
      <c r="H10" s="126">
        <f>G10/F10*100</f>
        <v>91.48664077578397</v>
      </c>
      <c r="I10" s="127">
        <f aca="true" t="shared" si="0" ref="I10:J75">C10+F10</f>
        <v>51017.1</v>
      </c>
      <c r="J10" s="128">
        <f t="shared" si="0"/>
        <v>46442.3</v>
      </c>
      <c r="K10" s="129">
        <f aca="true" t="shared" si="1" ref="K10:K77">J10/I10*100</f>
        <v>91.03281056743721</v>
      </c>
    </row>
    <row r="11" spans="1:11" ht="27">
      <c r="A11" s="123" t="s">
        <v>93</v>
      </c>
      <c r="B11" s="124" t="s">
        <v>94</v>
      </c>
      <c r="C11" s="125">
        <v>7508.1</v>
      </c>
      <c r="D11" s="125">
        <v>6633.2</v>
      </c>
      <c r="E11" s="125">
        <f aca="true" t="shared" si="2" ref="E11:E19">D11/C11*100</f>
        <v>88.34725163490097</v>
      </c>
      <c r="F11" s="126">
        <v>0</v>
      </c>
      <c r="G11" s="126"/>
      <c r="H11" s="126">
        <v>0</v>
      </c>
      <c r="I11" s="127">
        <f t="shared" si="0"/>
        <v>7508.1</v>
      </c>
      <c r="J11" s="128">
        <f t="shared" si="0"/>
        <v>6633.2</v>
      </c>
      <c r="K11" s="129">
        <f t="shared" si="1"/>
        <v>88.34725163490097</v>
      </c>
    </row>
    <row r="12" spans="1:11" ht="13.5">
      <c r="A12" s="123" t="s">
        <v>95</v>
      </c>
      <c r="B12" s="124" t="s">
        <v>96</v>
      </c>
      <c r="C12" s="125">
        <v>146994.4</v>
      </c>
      <c r="D12" s="125">
        <v>130607.1</v>
      </c>
      <c r="E12" s="125">
        <f t="shared" si="2"/>
        <v>88.85175217559309</v>
      </c>
      <c r="F12" s="126">
        <v>127543.6</v>
      </c>
      <c r="G12" s="126">
        <v>114486</v>
      </c>
      <c r="H12" s="126">
        <f>G12/F12*100</f>
        <v>89.76224600842379</v>
      </c>
      <c r="I12" s="127">
        <f t="shared" si="0"/>
        <v>274538</v>
      </c>
      <c r="J12" s="128">
        <f t="shared" si="0"/>
        <v>245093.1</v>
      </c>
      <c r="K12" s="129">
        <f t="shared" si="1"/>
        <v>89.2747452083136</v>
      </c>
    </row>
    <row r="13" spans="1:11" ht="13.5">
      <c r="A13" s="123" t="s">
        <v>97</v>
      </c>
      <c r="B13" s="124" t="s">
        <v>98</v>
      </c>
      <c r="C13" s="125">
        <v>70.8</v>
      </c>
      <c r="D13" s="125">
        <v>45</v>
      </c>
      <c r="E13" s="125">
        <f t="shared" si="2"/>
        <v>63.559322033898304</v>
      </c>
      <c r="F13" s="126">
        <v>0</v>
      </c>
      <c r="G13" s="126"/>
      <c r="H13" s="126">
        <v>0</v>
      </c>
      <c r="I13" s="127">
        <f t="shared" si="0"/>
        <v>70.8</v>
      </c>
      <c r="J13" s="128">
        <f t="shared" si="0"/>
        <v>45</v>
      </c>
      <c r="K13" s="129">
        <f t="shared" si="1"/>
        <v>63.559322033898304</v>
      </c>
    </row>
    <row r="14" spans="1:11" ht="13.5">
      <c r="A14" s="123" t="s">
        <v>99</v>
      </c>
      <c r="B14" s="124" t="s">
        <v>100</v>
      </c>
      <c r="C14" s="125">
        <v>30905.8</v>
      </c>
      <c r="D14" s="125">
        <v>27916.6</v>
      </c>
      <c r="E14" s="125">
        <f t="shared" si="2"/>
        <v>90.32802904309223</v>
      </c>
      <c r="F14" s="126">
        <v>0</v>
      </c>
      <c r="G14" s="126"/>
      <c r="H14" s="126">
        <v>0</v>
      </c>
      <c r="I14" s="127">
        <f>C14+F14</f>
        <v>30905.8</v>
      </c>
      <c r="J14" s="128">
        <f>D14+G14</f>
        <v>27916.6</v>
      </c>
      <c r="K14" s="129">
        <f t="shared" si="1"/>
        <v>90.32802904309223</v>
      </c>
    </row>
    <row r="15" spans="1:11" ht="13.5">
      <c r="A15" s="123" t="s">
        <v>101</v>
      </c>
      <c r="B15" s="124" t="s">
        <v>102</v>
      </c>
      <c r="C15" s="125"/>
      <c r="D15" s="125"/>
      <c r="E15" s="125"/>
      <c r="F15" s="126">
        <v>8300</v>
      </c>
      <c r="G15" s="126">
        <v>8300</v>
      </c>
      <c r="H15" s="126">
        <f>G15/F15*100</f>
        <v>100</v>
      </c>
      <c r="I15" s="127">
        <f>C15+F15</f>
        <v>8300</v>
      </c>
      <c r="J15" s="128">
        <f>D15+G15</f>
        <v>8300</v>
      </c>
      <c r="K15" s="129">
        <f t="shared" si="1"/>
        <v>100</v>
      </c>
    </row>
    <row r="16" spans="1:11" ht="13.5">
      <c r="A16" s="130" t="s">
        <v>103</v>
      </c>
      <c r="B16" s="124" t="s">
        <v>104</v>
      </c>
      <c r="C16" s="125">
        <v>4036</v>
      </c>
      <c r="D16" s="125"/>
      <c r="E16" s="125">
        <f t="shared" si="2"/>
        <v>0</v>
      </c>
      <c r="F16" s="126">
        <v>669</v>
      </c>
      <c r="G16" s="126"/>
      <c r="H16" s="126">
        <f>G16/F16*100</f>
        <v>0</v>
      </c>
      <c r="I16" s="127">
        <f t="shared" si="0"/>
        <v>4705</v>
      </c>
      <c r="J16" s="128">
        <f t="shared" si="0"/>
        <v>0</v>
      </c>
      <c r="K16" s="129">
        <f t="shared" si="1"/>
        <v>0</v>
      </c>
    </row>
    <row r="17" spans="1:11" ht="13.5">
      <c r="A17" s="123" t="s">
        <v>105</v>
      </c>
      <c r="B17" s="124" t="s">
        <v>106</v>
      </c>
      <c r="C17" s="125">
        <v>115760.8</v>
      </c>
      <c r="D17" s="125">
        <v>98096.7</v>
      </c>
      <c r="E17" s="125">
        <f t="shared" si="2"/>
        <v>84.74086219169182</v>
      </c>
      <c r="F17" s="126">
        <v>46507.6</v>
      </c>
      <c r="G17" s="126">
        <v>38627.1</v>
      </c>
      <c r="H17" s="126">
        <f>G17/F17*100</f>
        <v>83.0554576026284</v>
      </c>
      <c r="I17" s="127">
        <f>C17+F17-554.5-70</f>
        <v>161643.9</v>
      </c>
      <c r="J17" s="128">
        <f>D17+G17-478.8-70</f>
        <v>136175</v>
      </c>
      <c r="K17" s="129">
        <f t="shared" si="1"/>
        <v>84.24382237746059</v>
      </c>
    </row>
    <row r="18" spans="1:11" ht="13.5">
      <c r="A18" s="118" t="s">
        <v>107</v>
      </c>
      <c r="B18" s="119" t="s">
        <v>108</v>
      </c>
      <c r="C18" s="120">
        <f aca="true" t="shared" si="3" ref="C18:J18">C19</f>
        <v>3597.2</v>
      </c>
      <c r="D18" s="120">
        <f t="shared" si="3"/>
        <v>3001.3</v>
      </c>
      <c r="E18" s="120">
        <f t="shared" si="3"/>
        <v>83.43433781830313</v>
      </c>
      <c r="F18" s="120">
        <f t="shared" si="3"/>
        <v>3597.2</v>
      </c>
      <c r="G18" s="120">
        <f t="shared" si="3"/>
        <v>3000.9</v>
      </c>
      <c r="H18" s="131">
        <f t="shared" si="3"/>
        <v>83.42321805848995</v>
      </c>
      <c r="I18" s="120">
        <f t="shared" si="3"/>
        <v>3597.2</v>
      </c>
      <c r="J18" s="120">
        <f t="shared" si="3"/>
        <v>3000.9000000000005</v>
      </c>
      <c r="K18" s="132">
        <f t="shared" si="1"/>
        <v>83.42321805848995</v>
      </c>
    </row>
    <row r="19" spans="1:11" ht="13.5">
      <c r="A19" s="123" t="s">
        <v>109</v>
      </c>
      <c r="B19" s="124" t="s">
        <v>110</v>
      </c>
      <c r="C19" s="125">
        <v>3597.2</v>
      </c>
      <c r="D19" s="133">
        <v>3001.3</v>
      </c>
      <c r="E19" s="125">
        <f t="shared" si="2"/>
        <v>83.43433781830313</v>
      </c>
      <c r="F19" s="126">
        <v>3597.2</v>
      </c>
      <c r="G19" s="126">
        <v>3000.9</v>
      </c>
      <c r="H19" s="126">
        <f>G19/F19*100</f>
        <v>83.42321805848995</v>
      </c>
      <c r="I19" s="127">
        <f>C19+F19-3597.2</f>
        <v>3597.2</v>
      </c>
      <c r="J19" s="128">
        <f>D19+G19-3001.3</f>
        <v>3000.9000000000005</v>
      </c>
      <c r="K19" s="129">
        <f t="shared" si="1"/>
        <v>83.42321805848995</v>
      </c>
    </row>
    <row r="20" spans="1:11" ht="12.75">
      <c r="A20" s="134" t="s">
        <v>111</v>
      </c>
      <c r="B20" s="135" t="s">
        <v>112</v>
      </c>
      <c r="C20" s="136">
        <f>C23+C24+C22</f>
        <v>15305.599999999999</v>
      </c>
      <c r="D20" s="136">
        <f>D23+D24+D22</f>
        <v>11805</v>
      </c>
      <c r="E20" s="136">
        <f>D20/C20*100</f>
        <v>77.12863265732804</v>
      </c>
      <c r="F20" s="136">
        <f>F23+F24+F22</f>
        <v>4803.1</v>
      </c>
      <c r="G20" s="136">
        <f>G23+G24+G22</f>
        <v>3029.8999999999996</v>
      </c>
      <c r="H20" s="136">
        <f>G20/F20*100</f>
        <v>63.08217609460556</v>
      </c>
      <c r="I20" s="136">
        <f>I23+I24+I22</f>
        <v>18595.5</v>
      </c>
      <c r="J20" s="136">
        <f>SUM(J22:J24)</f>
        <v>13668.6</v>
      </c>
      <c r="K20" s="136">
        <f>J20/I20*100</f>
        <v>73.50488021295475</v>
      </c>
    </row>
    <row r="21" spans="1:11" ht="12.75">
      <c r="A21" s="134"/>
      <c r="B21" s="135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 ht="13.5">
      <c r="A22" s="130" t="s">
        <v>113</v>
      </c>
      <c r="B22" s="124" t="s">
        <v>114</v>
      </c>
      <c r="C22" s="125">
        <v>6593.7</v>
      </c>
      <c r="D22" s="125">
        <v>4742.8</v>
      </c>
      <c r="E22" s="125">
        <f aca="true" t="shared" si="4" ref="E22:E89">D22/C22*100</f>
        <v>71.92926581433792</v>
      </c>
      <c r="F22" s="126">
        <v>841</v>
      </c>
      <c r="G22" s="126">
        <v>656.6</v>
      </c>
      <c r="H22" s="126">
        <f>G22/F22*100</f>
        <v>78.07372175980976</v>
      </c>
      <c r="I22" s="127">
        <f>C22+F22-841</f>
        <v>6593.7</v>
      </c>
      <c r="J22" s="128">
        <f>D22+G22-657.6</f>
        <v>4741.8</v>
      </c>
      <c r="K22" s="129">
        <f>J22/I22*100</f>
        <v>71.9140998225579</v>
      </c>
    </row>
    <row r="23" spans="1:11" ht="13.5">
      <c r="A23" s="123" t="s">
        <v>115</v>
      </c>
      <c r="B23" s="124" t="s">
        <v>116</v>
      </c>
      <c r="C23" s="125">
        <v>7731.8</v>
      </c>
      <c r="D23" s="125">
        <v>6815</v>
      </c>
      <c r="E23" s="125">
        <f t="shared" si="4"/>
        <v>88.14247652551799</v>
      </c>
      <c r="F23" s="126">
        <v>3598.8</v>
      </c>
      <c r="G23" s="126">
        <v>2249.7</v>
      </c>
      <c r="H23" s="126">
        <f>G23/F23*100</f>
        <v>62.51250416805602</v>
      </c>
      <c r="I23" s="127">
        <f>C23+F23-400</f>
        <v>10930.6</v>
      </c>
      <c r="J23" s="128">
        <f>D23+G23-296.5</f>
        <v>8768.2</v>
      </c>
      <c r="K23" s="129">
        <f>J23/I23*100</f>
        <v>80.21700547087993</v>
      </c>
    </row>
    <row r="24" spans="1:11" ht="27">
      <c r="A24" s="130" t="s">
        <v>117</v>
      </c>
      <c r="B24" s="124" t="s">
        <v>118</v>
      </c>
      <c r="C24" s="125">
        <v>980.1</v>
      </c>
      <c r="D24" s="125">
        <v>247.2</v>
      </c>
      <c r="E24" s="125">
        <f t="shared" si="4"/>
        <v>25.22191613100704</v>
      </c>
      <c r="F24" s="126">
        <v>363.3</v>
      </c>
      <c r="G24" s="126">
        <v>123.6</v>
      </c>
      <c r="H24" s="126">
        <f>G24/F24*100</f>
        <v>34.02146985962015</v>
      </c>
      <c r="I24" s="127">
        <f>C24+F24-272.2</f>
        <v>1071.2</v>
      </c>
      <c r="J24" s="127">
        <f>D24+G24-212.2</f>
        <v>158.59999999999997</v>
      </c>
      <c r="K24" s="129">
        <f>J24/I24*100</f>
        <v>14.805825242718443</v>
      </c>
    </row>
    <row r="25" spans="1:11" ht="13.5">
      <c r="A25" s="118" t="s">
        <v>119</v>
      </c>
      <c r="B25" s="119" t="s">
        <v>120</v>
      </c>
      <c r="C25" s="120">
        <f>SUM(C26:C44)</f>
        <v>301192.19999999995</v>
      </c>
      <c r="D25" s="120">
        <f>SUM(D26:D42)</f>
        <v>276044.30000000005</v>
      </c>
      <c r="E25" s="120">
        <f>D25/C25*100</f>
        <v>91.65054739133353</v>
      </c>
      <c r="F25" s="120">
        <f>SUM(F26:F44)</f>
        <v>117765.69999999998</v>
      </c>
      <c r="G25" s="120">
        <f>SUM(G26:G44)</f>
        <v>97877.40000000001</v>
      </c>
      <c r="H25" s="121">
        <f>G25/F25*100</f>
        <v>83.11197572807704</v>
      </c>
      <c r="I25" s="120">
        <f>SUM(I26:I44)</f>
        <v>376418.0999999999</v>
      </c>
      <c r="J25" s="120">
        <f>SUM(J26:J44)</f>
        <v>335078.30000000005</v>
      </c>
      <c r="K25" s="122">
        <f t="shared" si="1"/>
        <v>89.01758443603008</v>
      </c>
    </row>
    <row r="26" spans="1:11" ht="41.25">
      <c r="A26" s="130" t="s">
        <v>121</v>
      </c>
      <c r="B26" s="137" t="s">
        <v>122</v>
      </c>
      <c r="C26" s="125">
        <v>9364.4</v>
      </c>
      <c r="D26" s="125">
        <v>6938.7</v>
      </c>
      <c r="E26" s="125">
        <f t="shared" si="4"/>
        <v>74.09657853145957</v>
      </c>
      <c r="F26" s="125">
        <v>20460.7</v>
      </c>
      <c r="G26" s="126">
        <v>18455.2</v>
      </c>
      <c r="H26" s="126">
        <f>G26/F26*100</f>
        <v>90.19828256120269</v>
      </c>
      <c r="I26" s="127">
        <f>C26+F26-6509</f>
        <v>23316.1</v>
      </c>
      <c r="J26" s="127">
        <f>D26+G26-6298.1</f>
        <v>19095.800000000003</v>
      </c>
      <c r="K26" s="129">
        <f t="shared" si="1"/>
        <v>81.89963158504212</v>
      </c>
    </row>
    <row r="27" spans="1:11" ht="13.5">
      <c r="A27" s="123" t="s">
        <v>123</v>
      </c>
      <c r="B27" s="124" t="s">
        <v>124</v>
      </c>
      <c r="C27" s="125">
        <v>62235.7</v>
      </c>
      <c r="D27" s="125">
        <v>61540.5</v>
      </c>
      <c r="E27" s="125">
        <f t="shared" si="4"/>
        <v>98.88295624537042</v>
      </c>
      <c r="F27" s="126">
        <v>0</v>
      </c>
      <c r="G27" s="126">
        <v>0</v>
      </c>
      <c r="H27" s="126">
        <v>0</v>
      </c>
      <c r="I27" s="138">
        <f>C27+F27</f>
        <v>62235.7</v>
      </c>
      <c r="J27" s="128">
        <f t="shared" si="0"/>
        <v>61540.5</v>
      </c>
      <c r="K27" s="129">
        <f t="shared" si="1"/>
        <v>98.88295624537042</v>
      </c>
    </row>
    <row r="28" spans="1:11" ht="13.5">
      <c r="A28" s="123" t="s">
        <v>125</v>
      </c>
      <c r="B28" s="124" t="s">
        <v>126</v>
      </c>
      <c r="C28" s="125">
        <v>7000</v>
      </c>
      <c r="D28" s="125">
        <v>4559</v>
      </c>
      <c r="E28" s="125">
        <f t="shared" si="4"/>
        <v>65.12857142857142</v>
      </c>
      <c r="F28" s="126">
        <v>0</v>
      </c>
      <c r="G28" s="126">
        <v>0</v>
      </c>
      <c r="H28" s="126">
        <v>0</v>
      </c>
      <c r="I28" s="127">
        <f t="shared" si="0"/>
        <v>7000</v>
      </c>
      <c r="J28" s="128">
        <f t="shared" si="0"/>
        <v>4559</v>
      </c>
      <c r="K28" s="129">
        <f t="shared" si="1"/>
        <v>65.12857142857142</v>
      </c>
    </row>
    <row r="29" spans="1:11" ht="27">
      <c r="A29" s="123" t="s">
        <v>125</v>
      </c>
      <c r="B29" s="124" t="s">
        <v>127</v>
      </c>
      <c r="C29" s="125">
        <v>18099.3</v>
      </c>
      <c r="D29" s="125">
        <v>15793.1</v>
      </c>
      <c r="E29" s="125">
        <f t="shared" si="4"/>
        <v>87.25807075411757</v>
      </c>
      <c r="F29" s="126">
        <v>14288.5</v>
      </c>
      <c r="G29" s="126">
        <v>12506.4</v>
      </c>
      <c r="H29" s="126">
        <f>G29/F29*100</f>
        <v>87.527732092242</v>
      </c>
      <c r="I29" s="127">
        <f t="shared" si="0"/>
        <v>32387.8</v>
      </c>
      <c r="J29" s="128">
        <f t="shared" si="0"/>
        <v>28299.5</v>
      </c>
      <c r="K29" s="129">
        <f t="shared" si="1"/>
        <v>87.37703703246285</v>
      </c>
    </row>
    <row r="30" spans="1:11" ht="13.5">
      <c r="A30" s="123" t="s">
        <v>125</v>
      </c>
      <c r="B30" s="124" t="s">
        <v>128</v>
      </c>
      <c r="C30" s="125">
        <v>17500</v>
      </c>
      <c r="D30" s="125">
        <v>17500</v>
      </c>
      <c r="E30" s="125">
        <f t="shared" si="4"/>
        <v>100</v>
      </c>
      <c r="F30" s="126">
        <v>0</v>
      </c>
      <c r="G30" s="126">
        <v>0</v>
      </c>
      <c r="H30" s="126">
        <v>0</v>
      </c>
      <c r="I30" s="127">
        <f t="shared" si="0"/>
        <v>17500</v>
      </c>
      <c r="J30" s="128">
        <f t="shared" si="0"/>
        <v>17500</v>
      </c>
      <c r="K30" s="129">
        <f t="shared" si="1"/>
        <v>100</v>
      </c>
    </row>
    <row r="31" spans="1:11" ht="41.25">
      <c r="A31" s="123" t="s">
        <v>125</v>
      </c>
      <c r="B31" s="124" t="s">
        <v>129</v>
      </c>
      <c r="C31" s="125">
        <v>6300</v>
      </c>
      <c r="D31" s="125">
        <v>6300</v>
      </c>
      <c r="E31" s="125">
        <f t="shared" si="4"/>
        <v>100</v>
      </c>
      <c r="F31" s="126"/>
      <c r="G31" s="126"/>
      <c r="H31" s="126"/>
      <c r="I31" s="127">
        <f t="shared" si="0"/>
        <v>6300</v>
      </c>
      <c r="J31" s="128">
        <f t="shared" si="0"/>
        <v>6300</v>
      </c>
      <c r="K31" s="129">
        <f t="shared" si="1"/>
        <v>100</v>
      </c>
    </row>
    <row r="32" spans="1:11" ht="41.25">
      <c r="A32" s="123" t="s">
        <v>130</v>
      </c>
      <c r="B32" s="139" t="s">
        <v>131</v>
      </c>
      <c r="C32" s="133">
        <v>7371.4</v>
      </c>
      <c r="D32" s="133">
        <v>5997.3</v>
      </c>
      <c r="E32" s="125">
        <f t="shared" si="4"/>
        <v>81.3590362753344</v>
      </c>
      <c r="F32" s="126">
        <v>870.6</v>
      </c>
      <c r="G32" s="126">
        <v>737.4</v>
      </c>
      <c r="H32" s="126">
        <f aca="true" t="shared" si="5" ref="H32:H37">G32/F32*100</f>
        <v>84.70020675396277</v>
      </c>
      <c r="I32" s="127">
        <f t="shared" si="0"/>
        <v>8242</v>
      </c>
      <c r="J32" s="128">
        <f t="shared" si="0"/>
        <v>6734.7</v>
      </c>
      <c r="K32" s="129">
        <f t="shared" si="1"/>
        <v>81.7119631157486</v>
      </c>
    </row>
    <row r="33" spans="1:11" ht="54.75">
      <c r="A33" s="130" t="s">
        <v>130</v>
      </c>
      <c r="B33" s="139" t="s">
        <v>132</v>
      </c>
      <c r="C33" s="125">
        <v>120013.8</v>
      </c>
      <c r="D33" s="125">
        <v>111906</v>
      </c>
      <c r="E33" s="125">
        <f t="shared" si="4"/>
        <v>93.24427690815556</v>
      </c>
      <c r="F33" s="126">
        <v>10387.9</v>
      </c>
      <c r="G33" s="126">
        <v>7864.3</v>
      </c>
      <c r="H33" s="126">
        <f t="shared" si="5"/>
        <v>75.70635065797707</v>
      </c>
      <c r="I33" s="127">
        <f>C33+F33-10387.9</f>
        <v>120013.8</v>
      </c>
      <c r="J33" s="128">
        <f>D33+G33-7864.3</f>
        <v>111906</v>
      </c>
      <c r="K33" s="129">
        <f>J33/I33*100</f>
        <v>93.24427690815556</v>
      </c>
    </row>
    <row r="34" spans="1:11" ht="27">
      <c r="A34" s="130" t="s">
        <v>130</v>
      </c>
      <c r="B34" s="124" t="s">
        <v>133</v>
      </c>
      <c r="C34" s="125">
        <v>26257.1</v>
      </c>
      <c r="D34" s="125">
        <v>26229.6</v>
      </c>
      <c r="E34" s="125">
        <f t="shared" si="4"/>
        <v>99.89526642317696</v>
      </c>
      <c r="F34" s="126">
        <v>23500</v>
      </c>
      <c r="G34" s="126">
        <v>23500</v>
      </c>
      <c r="H34" s="126">
        <f t="shared" si="5"/>
        <v>100</v>
      </c>
      <c r="I34" s="127">
        <f>C34+F34-20000-3500</f>
        <v>26257.1</v>
      </c>
      <c r="J34" s="128">
        <f>D34+G34-20000-3500</f>
        <v>26229.6</v>
      </c>
      <c r="K34" s="129">
        <f>J34/I34*100</f>
        <v>99.89526642317696</v>
      </c>
    </row>
    <row r="35" spans="1:11" ht="41.25">
      <c r="A35" s="130" t="s">
        <v>130</v>
      </c>
      <c r="B35" s="124" t="s">
        <v>134</v>
      </c>
      <c r="C35" s="125"/>
      <c r="D35" s="125"/>
      <c r="E35" s="125"/>
      <c r="F35" s="126">
        <v>40683.1</v>
      </c>
      <c r="G35" s="126">
        <v>29836.9</v>
      </c>
      <c r="H35" s="126">
        <f t="shared" si="5"/>
        <v>73.33978974070314</v>
      </c>
      <c r="I35" s="127">
        <f>C35+F35</f>
        <v>40683.1</v>
      </c>
      <c r="J35" s="128">
        <f t="shared" si="0"/>
        <v>29836.9</v>
      </c>
      <c r="K35" s="129">
        <f t="shared" si="1"/>
        <v>73.33978974070314</v>
      </c>
    </row>
    <row r="36" spans="1:11" ht="13.5">
      <c r="A36" s="123" t="s">
        <v>135</v>
      </c>
      <c r="B36" s="124" t="s">
        <v>136</v>
      </c>
      <c r="C36" s="125">
        <v>4360</v>
      </c>
      <c r="D36" s="125">
        <v>3248.1</v>
      </c>
      <c r="E36" s="125">
        <f t="shared" si="4"/>
        <v>74.49770642201835</v>
      </c>
      <c r="F36" s="126">
        <v>5058</v>
      </c>
      <c r="G36" s="126">
        <v>4355.8</v>
      </c>
      <c r="H36" s="140">
        <f t="shared" si="5"/>
        <v>86.11704230921313</v>
      </c>
      <c r="I36" s="127">
        <f t="shared" si="0"/>
        <v>9418</v>
      </c>
      <c r="J36" s="128">
        <f t="shared" si="0"/>
        <v>7603.9</v>
      </c>
      <c r="K36" s="129">
        <f t="shared" si="1"/>
        <v>80.73794860904651</v>
      </c>
    </row>
    <row r="37" spans="1:11" ht="54.75">
      <c r="A37" s="123" t="s">
        <v>137</v>
      </c>
      <c r="B37" s="139" t="s">
        <v>138</v>
      </c>
      <c r="C37" s="125">
        <v>3321.7</v>
      </c>
      <c r="D37" s="125">
        <v>2426.3</v>
      </c>
      <c r="E37" s="133">
        <f t="shared" si="4"/>
        <v>73.0439232922901</v>
      </c>
      <c r="F37" s="126">
        <v>1181</v>
      </c>
      <c r="G37" s="126">
        <v>247.4</v>
      </c>
      <c r="H37" s="140">
        <f t="shared" si="5"/>
        <v>20.94834885690093</v>
      </c>
      <c r="I37" s="127">
        <f>C37+F37-1181</f>
        <v>3321.7</v>
      </c>
      <c r="J37" s="128">
        <f>D37+G37-1181</f>
        <v>1492.7000000000003</v>
      </c>
      <c r="K37" s="129">
        <f t="shared" si="1"/>
        <v>44.93783303730019</v>
      </c>
    </row>
    <row r="38" spans="1:11" ht="13.5">
      <c r="A38" s="123" t="s">
        <v>137</v>
      </c>
      <c r="B38" s="139" t="s">
        <v>139</v>
      </c>
      <c r="C38" s="125">
        <v>1448.8</v>
      </c>
      <c r="D38" s="125"/>
      <c r="E38" s="133"/>
      <c r="F38" s="126"/>
      <c r="G38" s="126"/>
      <c r="H38" s="140"/>
      <c r="I38" s="127">
        <f t="shared" si="0"/>
        <v>1448.8</v>
      </c>
      <c r="J38" s="128"/>
      <c r="K38" s="129"/>
    </row>
    <row r="39" spans="1:11" ht="54.75">
      <c r="A39" s="123" t="s">
        <v>137</v>
      </c>
      <c r="B39" s="139" t="s">
        <v>140</v>
      </c>
      <c r="C39" s="125">
        <v>4150</v>
      </c>
      <c r="D39" s="126">
        <v>4028.5</v>
      </c>
      <c r="E39" s="125">
        <f t="shared" si="4"/>
        <v>97.0722891566265</v>
      </c>
      <c r="F39" s="126">
        <v>0</v>
      </c>
      <c r="G39" s="126">
        <v>0</v>
      </c>
      <c r="H39" s="140">
        <v>0</v>
      </c>
      <c r="I39" s="127">
        <f t="shared" si="0"/>
        <v>4150</v>
      </c>
      <c r="J39" s="128">
        <f t="shared" si="0"/>
        <v>4028.5</v>
      </c>
      <c r="K39" s="129">
        <f t="shared" si="1"/>
        <v>97.0722891566265</v>
      </c>
    </row>
    <row r="40" spans="1:11" ht="69">
      <c r="A40" s="130" t="s">
        <v>137</v>
      </c>
      <c r="B40" s="139" t="s">
        <v>141</v>
      </c>
      <c r="C40" s="125">
        <v>10972</v>
      </c>
      <c r="D40" s="126">
        <v>8166.4</v>
      </c>
      <c r="E40" s="133">
        <f t="shared" si="4"/>
        <v>74.42945679912503</v>
      </c>
      <c r="F40" s="126"/>
      <c r="G40" s="126"/>
      <c r="H40" s="140"/>
      <c r="I40" s="127">
        <f t="shared" si="0"/>
        <v>10972</v>
      </c>
      <c r="J40" s="128">
        <f t="shared" si="0"/>
        <v>8166.4</v>
      </c>
      <c r="K40" s="129">
        <f t="shared" si="1"/>
        <v>74.42945679912503</v>
      </c>
    </row>
    <row r="41" spans="1:11" ht="27">
      <c r="A41" s="130" t="s">
        <v>137</v>
      </c>
      <c r="B41" s="139" t="s">
        <v>142</v>
      </c>
      <c r="C41" s="125">
        <v>1825.6</v>
      </c>
      <c r="D41" s="126">
        <v>1400.5</v>
      </c>
      <c r="E41" s="133">
        <f t="shared" si="4"/>
        <v>76.71450482033305</v>
      </c>
      <c r="F41" s="126">
        <v>0</v>
      </c>
      <c r="G41" s="126">
        <v>0</v>
      </c>
      <c r="H41" s="140">
        <v>0</v>
      </c>
      <c r="I41" s="127">
        <f t="shared" si="0"/>
        <v>1825.6</v>
      </c>
      <c r="J41" s="128">
        <f t="shared" si="0"/>
        <v>1400.5</v>
      </c>
      <c r="K41" s="129">
        <f t="shared" si="1"/>
        <v>76.71450482033305</v>
      </c>
    </row>
    <row r="42" spans="1:11" ht="41.25">
      <c r="A42" s="130" t="s">
        <v>137</v>
      </c>
      <c r="B42" s="139" t="s">
        <v>143</v>
      </c>
      <c r="C42" s="125">
        <v>10.5</v>
      </c>
      <c r="D42" s="126">
        <v>10.3</v>
      </c>
      <c r="E42" s="133">
        <f t="shared" si="4"/>
        <v>98.0952380952381</v>
      </c>
      <c r="F42" s="126"/>
      <c r="G42" s="126"/>
      <c r="H42" s="140">
        <v>0</v>
      </c>
      <c r="I42" s="127">
        <f t="shared" si="0"/>
        <v>10.5</v>
      </c>
      <c r="J42" s="128">
        <f t="shared" si="0"/>
        <v>10.3</v>
      </c>
      <c r="K42" s="129">
        <f t="shared" si="1"/>
        <v>98.0952380952381</v>
      </c>
    </row>
    <row r="43" spans="1:11" ht="69">
      <c r="A43" s="130" t="s">
        <v>137</v>
      </c>
      <c r="B43" s="139" t="s">
        <v>144</v>
      </c>
      <c r="C43" s="125">
        <v>961.9</v>
      </c>
      <c r="D43" s="126"/>
      <c r="E43" s="133">
        <f t="shared" si="4"/>
        <v>0</v>
      </c>
      <c r="F43" s="126">
        <v>961.9</v>
      </c>
      <c r="G43" s="126"/>
      <c r="H43" s="140"/>
      <c r="I43" s="127">
        <f>C43+F43-961.9</f>
        <v>961.9</v>
      </c>
      <c r="J43" s="128">
        <f t="shared" si="0"/>
        <v>0</v>
      </c>
      <c r="K43" s="129">
        <f t="shared" si="1"/>
        <v>0</v>
      </c>
    </row>
    <row r="44" spans="1:11" ht="13.5">
      <c r="A44" s="130" t="s">
        <v>137</v>
      </c>
      <c r="B44" s="139" t="s">
        <v>145</v>
      </c>
      <c r="C44" s="125"/>
      <c r="D44" s="126"/>
      <c r="E44" s="133"/>
      <c r="F44" s="126">
        <v>374</v>
      </c>
      <c r="G44" s="126">
        <v>374</v>
      </c>
      <c r="H44" s="140">
        <f>G44/F44*100</f>
        <v>100</v>
      </c>
      <c r="I44" s="127">
        <f>C44+F44</f>
        <v>374</v>
      </c>
      <c r="J44" s="128">
        <f>D44+G44</f>
        <v>374</v>
      </c>
      <c r="K44" s="129">
        <f>J44/I44*100</f>
        <v>100</v>
      </c>
    </row>
    <row r="45" spans="1:11" ht="13.5">
      <c r="A45" s="118" t="s">
        <v>146</v>
      </c>
      <c r="B45" s="119" t="s">
        <v>147</v>
      </c>
      <c r="C45" s="141">
        <f>SUM(C46:C64)</f>
        <v>783108.8</v>
      </c>
      <c r="D45" s="141">
        <f>SUM(D46:D64)</f>
        <v>372892.6000000001</v>
      </c>
      <c r="E45" s="120">
        <f t="shared" si="4"/>
        <v>47.616959482513806</v>
      </c>
      <c r="F45" s="142">
        <f>SUM(F46:F64)</f>
        <v>193965.10000000003</v>
      </c>
      <c r="G45" s="142">
        <f>SUM(G46:G64)</f>
        <v>103825.6</v>
      </c>
      <c r="H45" s="142">
        <f>G45/F45*100</f>
        <v>53.52798003352148</v>
      </c>
      <c r="I45" s="141">
        <f>SUM(I46:I64)</f>
        <v>905458.2000000001</v>
      </c>
      <c r="J45" s="141">
        <f>SUM(J46:J64)</f>
        <v>454347.9</v>
      </c>
      <c r="K45" s="122">
        <f t="shared" si="1"/>
        <v>50.17878241093846</v>
      </c>
    </row>
    <row r="46" spans="1:11" ht="96">
      <c r="A46" s="123" t="s">
        <v>148</v>
      </c>
      <c r="B46" s="124" t="s">
        <v>149</v>
      </c>
      <c r="C46" s="125">
        <f>528937.1+65560.9+32431</f>
        <v>626929</v>
      </c>
      <c r="D46" s="125">
        <v>287758.2</v>
      </c>
      <c r="E46" s="125">
        <f t="shared" si="4"/>
        <v>45.899647328485365</v>
      </c>
      <c r="F46" s="126">
        <v>0</v>
      </c>
      <c r="G46" s="126">
        <v>0</v>
      </c>
      <c r="H46" s="126">
        <v>0</v>
      </c>
      <c r="I46" s="127">
        <f t="shared" si="0"/>
        <v>626929</v>
      </c>
      <c r="J46" s="128">
        <f t="shared" si="0"/>
        <v>287758.2</v>
      </c>
      <c r="K46" s="129">
        <f t="shared" si="1"/>
        <v>45.899647328485365</v>
      </c>
    </row>
    <row r="47" spans="1:11" ht="41.25">
      <c r="A47" s="123" t="s">
        <v>148</v>
      </c>
      <c r="B47" s="124" t="s">
        <v>150</v>
      </c>
      <c r="C47" s="125">
        <v>1700</v>
      </c>
      <c r="D47" s="133">
        <v>1540.9</v>
      </c>
      <c r="E47" s="125">
        <f t="shared" si="4"/>
        <v>90.64117647058823</v>
      </c>
      <c r="F47" s="126"/>
      <c r="G47" s="126"/>
      <c r="H47" s="126"/>
      <c r="I47" s="127">
        <f t="shared" si="0"/>
        <v>1700</v>
      </c>
      <c r="J47" s="128">
        <f t="shared" si="0"/>
        <v>1540.9</v>
      </c>
      <c r="K47" s="129">
        <f t="shared" si="1"/>
        <v>90.64117647058823</v>
      </c>
    </row>
    <row r="48" spans="1:11" ht="41.25">
      <c r="A48" s="130" t="s">
        <v>148</v>
      </c>
      <c r="B48" s="124" t="s">
        <v>151</v>
      </c>
      <c r="C48" s="125">
        <v>669.4</v>
      </c>
      <c r="D48" s="125">
        <v>301.4</v>
      </c>
      <c r="E48" s="125">
        <f t="shared" si="4"/>
        <v>45.02539587690469</v>
      </c>
      <c r="F48" s="126">
        <v>18560</v>
      </c>
      <c r="G48" s="126">
        <v>12741.2</v>
      </c>
      <c r="H48" s="126">
        <f>G48/F48*100</f>
        <v>68.64870689655173</v>
      </c>
      <c r="I48" s="127">
        <f t="shared" si="0"/>
        <v>19229.4</v>
      </c>
      <c r="J48" s="128">
        <f t="shared" si="0"/>
        <v>13042.6</v>
      </c>
      <c r="K48" s="129">
        <f t="shared" si="1"/>
        <v>67.82634923606561</v>
      </c>
    </row>
    <row r="49" spans="1:11" ht="110.25">
      <c r="A49" s="123" t="s">
        <v>152</v>
      </c>
      <c r="B49" s="124" t="s">
        <v>153</v>
      </c>
      <c r="C49" s="125">
        <v>7996</v>
      </c>
      <c r="D49" s="133">
        <v>7615.7</v>
      </c>
      <c r="E49" s="125">
        <f t="shared" si="4"/>
        <v>95.24387193596799</v>
      </c>
      <c r="F49" s="126"/>
      <c r="G49" s="126"/>
      <c r="H49" s="126"/>
      <c r="I49" s="127">
        <f t="shared" si="0"/>
        <v>7996</v>
      </c>
      <c r="J49" s="128">
        <f t="shared" si="0"/>
        <v>7615.7</v>
      </c>
      <c r="K49" s="129">
        <f t="shared" si="1"/>
        <v>95.24387193596799</v>
      </c>
    </row>
    <row r="50" spans="1:11" ht="110.25">
      <c r="A50" s="123" t="s">
        <v>152</v>
      </c>
      <c r="B50" s="124" t="s">
        <v>154</v>
      </c>
      <c r="C50" s="125">
        <v>8269.6</v>
      </c>
      <c r="D50" s="125">
        <v>7355</v>
      </c>
      <c r="E50" s="125">
        <f t="shared" si="4"/>
        <v>88.94021476250362</v>
      </c>
      <c r="F50" s="126"/>
      <c r="G50" s="126"/>
      <c r="H50" s="126"/>
      <c r="I50" s="127">
        <f t="shared" si="0"/>
        <v>8269.6</v>
      </c>
      <c r="J50" s="128">
        <f t="shared" si="0"/>
        <v>7355</v>
      </c>
      <c r="K50" s="129">
        <f t="shared" si="1"/>
        <v>88.94021476250362</v>
      </c>
    </row>
    <row r="51" spans="1:11" ht="110.25">
      <c r="A51" s="130" t="s">
        <v>152</v>
      </c>
      <c r="B51" s="124" t="s">
        <v>155</v>
      </c>
      <c r="C51" s="125">
        <v>5300.7</v>
      </c>
      <c r="D51" s="125">
        <v>4463.8</v>
      </c>
      <c r="E51" s="125">
        <f t="shared" si="4"/>
        <v>84.21151923330882</v>
      </c>
      <c r="F51" s="126"/>
      <c r="G51" s="126"/>
      <c r="H51" s="126"/>
      <c r="I51" s="127">
        <f t="shared" si="0"/>
        <v>5300.7</v>
      </c>
      <c r="J51" s="128">
        <f t="shared" si="0"/>
        <v>4463.8</v>
      </c>
      <c r="K51" s="129">
        <f t="shared" si="1"/>
        <v>84.21151923330882</v>
      </c>
    </row>
    <row r="52" spans="1:11" ht="110.25">
      <c r="A52" s="130" t="s">
        <v>152</v>
      </c>
      <c r="B52" s="124" t="s">
        <v>156</v>
      </c>
      <c r="C52" s="125">
        <v>7951</v>
      </c>
      <c r="D52" s="125">
        <v>6009.4</v>
      </c>
      <c r="E52" s="125">
        <f t="shared" si="4"/>
        <v>75.58043013457426</v>
      </c>
      <c r="F52" s="126"/>
      <c r="G52" s="126"/>
      <c r="H52" s="126"/>
      <c r="I52" s="127">
        <f t="shared" si="0"/>
        <v>7951</v>
      </c>
      <c r="J52" s="128">
        <f t="shared" si="0"/>
        <v>6009.4</v>
      </c>
      <c r="K52" s="129">
        <f t="shared" si="1"/>
        <v>75.58043013457426</v>
      </c>
    </row>
    <row r="53" spans="1:11" ht="158.25">
      <c r="A53" s="123" t="s">
        <v>152</v>
      </c>
      <c r="B53" s="143" t="s">
        <v>157</v>
      </c>
      <c r="C53" s="125">
        <v>43889.8</v>
      </c>
      <c r="D53" s="125">
        <v>33307</v>
      </c>
      <c r="E53" s="125">
        <f>D53/C53*100</f>
        <v>75.88779169647617</v>
      </c>
      <c r="F53" s="126"/>
      <c r="G53" s="126"/>
      <c r="H53" s="126"/>
      <c r="I53" s="127">
        <f>C53+F53</f>
        <v>43889.8</v>
      </c>
      <c r="J53" s="128">
        <f>D53+G53</f>
        <v>33307</v>
      </c>
      <c r="K53" s="129">
        <f>J53/I53*100</f>
        <v>75.88779169647617</v>
      </c>
    </row>
    <row r="54" spans="1:11" ht="151.5">
      <c r="A54" s="130" t="s">
        <v>152</v>
      </c>
      <c r="B54" s="139" t="s">
        <v>158</v>
      </c>
      <c r="C54" s="125">
        <f>45071.5+6757.7+11.8</f>
        <v>51841</v>
      </c>
      <c r="D54" s="125">
        <v>4877</v>
      </c>
      <c r="E54" s="125">
        <f t="shared" si="4"/>
        <v>9.407611735884725</v>
      </c>
      <c r="F54" s="126">
        <f>40447.1+3226.3</f>
        <v>43673.4</v>
      </c>
      <c r="G54" s="126">
        <v>214.7</v>
      </c>
      <c r="H54" s="126">
        <f>G54/F54*100</f>
        <v>0.4916035847907421</v>
      </c>
      <c r="I54" s="127">
        <f>C54+F54-40447.1</f>
        <v>55067.299999999996</v>
      </c>
      <c r="J54" s="128">
        <f>D54+G54</f>
        <v>5091.7</v>
      </c>
      <c r="K54" s="129">
        <f t="shared" si="1"/>
        <v>9.24632222752886</v>
      </c>
    </row>
    <row r="55" spans="1:11" ht="54.75">
      <c r="A55" s="130" t="s">
        <v>152</v>
      </c>
      <c r="B55" s="139" t="s">
        <v>159</v>
      </c>
      <c r="C55" s="125"/>
      <c r="D55" s="125"/>
      <c r="E55" s="125"/>
      <c r="F55" s="126">
        <v>22781</v>
      </c>
      <c r="G55" s="126">
        <v>20781</v>
      </c>
      <c r="H55" s="126">
        <f aca="true" t="shared" si="6" ref="H55:H63">G55/F55*100</f>
        <v>91.22075413721961</v>
      </c>
      <c r="I55" s="127">
        <f t="shared" si="0"/>
        <v>22781</v>
      </c>
      <c r="J55" s="128">
        <f>D55+G55</f>
        <v>20781</v>
      </c>
      <c r="K55" s="144">
        <f t="shared" si="1"/>
        <v>91.22075413721961</v>
      </c>
    </row>
    <row r="56" spans="1:11" ht="13.5">
      <c r="A56" s="130" t="s">
        <v>152</v>
      </c>
      <c r="B56" s="139" t="s">
        <v>160</v>
      </c>
      <c r="C56" s="125"/>
      <c r="D56" s="125"/>
      <c r="E56" s="125"/>
      <c r="F56" s="126">
        <v>17650.5</v>
      </c>
      <c r="G56" s="126">
        <v>10733.9</v>
      </c>
      <c r="H56" s="126">
        <f t="shared" si="6"/>
        <v>60.81357468626951</v>
      </c>
      <c r="I56" s="127">
        <f>C56+F56-2740</f>
        <v>14910.5</v>
      </c>
      <c r="J56" s="128">
        <f>D56+G56-2740</f>
        <v>7993.9</v>
      </c>
      <c r="K56" s="129">
        <f t="shared" si="1"/>
        <v>53.61255491096878</v>
      </c>
    </row>
    <row r="57" spans="1:11" ht="69">
      <c r="A57" s="130" t="s">
        <v>161</v>
      </c>
      <c r="B57" s="124" t="s">
        <v>162</v>
      </c>
      <c r="C57" s="133">
        <v>3038.1</v>
      </c>
      <c r="D57" s="133">
        <v>195.5</v>
      </c>
      <c r="E57" s="125">
        <f t="shared" si="4"/>
        <v>6.434942891939041</v>
      </c>
      <c r="F57" s="125">
        <v>3038.1</v>
      </c>
      <c r="G57" s="126">
        <v>195.5</v>
      </c>
      <c r="H57" s="126">
        <f t="shared" si="6"/>
        <v>6.434942891939041</v>
      </c>
      <c r="I57" s="127">
        <f>C57+F57-3038.1</f>
        <v>3038.1</v>
      </c>
      <c r="J57" s="128">
        <f>D57+G57-195.5</f>
        <v>195.5</v>
      </c>
      <c r="K57" s="129">
        <f t="shared" si="1"/>
        <v>6.434942891939041</v>
      </c>
    </row>
    <row r="58" spans="1:11" ht="41.25">
      <c r="A58" s="130" t="s">
        <v>161</v>
      </c>
      <c r="B58" s="124" t="s">
        <v>163</v>
      </c>
      <c r="C58" s="125">
        <v>700</v>
      </c>
      <c r="D58" s="125">
        <v>700</v>
      </c>
      <c r="E58" s="125">
        <f t="shared" si="4"/>
        <v>100</v>
      </c>
      <c r="F58" s="125">
        <v>700</v>
      </c>
      <c r="G58" s="126">
        <v>700</v>
      </c>
      <c r="H58" s="126">
        <f t="shared" si="6"/>
        <v>100</v>
      </c>
      <c r="I58" s="127">
        <f>C58+F58-700</f>
        <v>700</v>
      </c>
      <c r="J58" s="127">
        <f>D58+G58-700</f>
        <v>700</v>
      </c>
      <c r="K58" s="129">
        <f t="shared" si="1"/>
        <v>100</v>
      </c>
    </row>
    <row r="59" spans="1:11" ht="27">
      <c r="A59" s="130" t="s">
        <v>161</v>
      </c>
      <c r="B59" s="124" t="s">
        <v>164</v>
      </c>
      <c r="C59" s="125">
        <v>99.8</v>
      </c>
      <c r="D59" s="125"/>
      <c r="E59" s="125">
        <f t="shared" si="4"/>
        <v>0</v>
      </c>
      <c r="F59" s="125"/>
      <c r="G59" s="126"/>
      <c r="H59" s="126"/>
      <c r="I59" s="127">
        <f>C59+F59</f>
        <v>99.8</v>
      </c>
      <c r="J59" s="127"/>
      <c r="K59" s="129"/>
    </row>
    <row r="60" spans="1:11" ht="69">
      <c r="A60" s="130" t="s">
        <v>161</v>
      </c>
      <c r="B60" s="124" t="s">
        <v>165</v>
      </c>
      <c r="C60" s="125"/>
      <c r="D60" s="125"/>
      <c r="E60" s="125"/>
      <c r="F60" s="125">
        <v>1313.1</v>
      </c>
      <c r="G60" s="126">
        <v>1313.1</v>
      </c>
      <c r="H60" s="126">
        <f t="shared" si="6"/>
        <v>100</v>
      </c>
      <c r="I60" s="127">
        <f>C60+F60</f>
        <v>1313.1</v>
      </c>
      <c r="J60" s="128">
        <f>D60+G60</f>
        <v>1313.1</v>
      </c>
      <c r="K60" s="129">
        <f t="shared" si="1"/>
        <v>100</v>
      </c>
    </row>
    <row r="61" spans="1:11" ht="27">
      <c r="A61" s="130" t="s">
        <v>161</v>
      </c>
      <c r="B61" s="124" t="s">
        <v>166</v>
      </c>
      <c r="C61" s="125">
        <v>8569.7</v>
      </c>
      <c r="D61" s="125">
        <v>7095.2</v>
      </c>
      <c r="E61" s="125">
        <f t="shared" si="4"/>
        <v>82.79403012940942</v>
      </c>
      <c r="F61" s="125">
        <f>10719+2.6</f>
        <v>10721.6</v>
      </c>
      <c r="G61" s="126">
        <v>7193.6</v>
      </c>
      <c r="H61" s="126">
        <f t="shared" si="6"/>
        <v>67.09446351290852</v>
      </c>
      <c r="I61" s="127">
        <f>C61+F61-5746.1-2462.6-912.1</f>
        <v>10170.500000000002</v>
      </c>
      <c r="J61" s="128">
        <f>D61+G61-7095.2</f>
        <v>7193.599999999999</v>
      </c>
      <c r="K61" s="129">
        <f t="shared" si="1"/>
        <v>70.73005260311685</v>
      </c>
    </row>
    <row r="62" spans="1:11" ht="27">
      <c r="A62" s="130" t="s">
        <v>161</v>
      </c>
      <c r="B62" s="145" t="s">
        <v>167</v>
      </c>
      <c r="C62" s="125">
        <v>9120.8</v>
      </c>
      <c r="D62" s="125">
        <v>5116.1</v>
      </c>
      <c r="E62" s="125">
        <f t="shared" si="4"/>
        <v>56.0926673098851</v>
      </c>
      <c r="F62" s="125">
        <f>8569.7+973.1</f>
        <v>9542.800000000001</v>
      </c>
      <c r="G62" s="126">
        <v>5800.3</v>
      </c>
      <c r="H62" s="126"/>
      <c r="I62" s="127">
        <f>C62+F62-8569.7</f>
        <v>10093.899999999998</v>
      </c>
      <c r="J62" s="128">
        <f>D62+G62-5116.1</f>
        <v>5800.300000000001</v>
      </c>
      <c r="K62" s="129">
        <f t="shared" si="1"/>
        <v>57.46341850028237</v>
      </c>
    </row>
    <row r="63" spans="1:11" ht="27">
      <c r="A63" s="123" t="s">
        <v>161</v>
      </c>
      <c r="B63" s="124" t="s">
        <v>168</v>
      </c>
      <c r="C63" s="125">
        <v>7000</v>
      </c>
      <c r="D63" s="125">
        <v>6523.5</v>
      </c>
      <c r="E63" s="125">
        <f>D63/C63*100</f>
        <v>93.19285714285715</v>
      </c>
      <c r="F63" s="125">
        <f>58984.6+7000</f>
        <v>65984.6</v>
      </c>
      <c r="G63" s="126">
        <f>37700.8+6451.5</f>
        <v>44152.3</v>
      </c>
      <c r="H63" s="126">
        <f t="shared" si="6"/>
        <v>66.91303728445727</v>
      </c>
      <c r="I63" s="127">
        <f>C63+F63-7000</f>
        <v>65984.6</v>
      </c>
      <c r="J63" s="128">
        <f>D63+G63-6523.5</f>
        <v>44152.3</v>
      </c>
      <c r="K63" s="129">
        <f t="shared" si="1"/>
        <v>66.91303728445727</v>
      </c>
    </row>
    <row r="64" spans="1:11" ht="13.5">
      <c r="A64" s="130" t="s">
        <v>169</v>
      </c>
      <c r="B64" s="124" t="s">
        <v>170</v>
      </c>
      <c r="C64" s="125">
        <v>33.9</v>
      </c>
      <c r="D64" s="133">
        <v>33.9</v>
      </c>
      <c r="E64" s="125">
        <f>D64/C64*100</f>
        <v>100</v>
      </c>
      <c r="F64" s="125">
        <v>0</v>
      </c>
      <c r="G64" s="126">
        <v>0</v>
      </c>
      <c r="H64" s="126">
        <v>0</v>
      </c>
      <c r="I64" s="127">
        <f>C64+F64</f>
        <v>33.9</v>
      </c>
      <c r="J64" s="128">
        <f>D64+G64</f>
        <v>33.9</v>
      </c>
      <c r="K64" s="146">
        <f t="shared" si="1"/>
        <v>100</v>
      </c>
    </row>
    <row r="65" spans="1:11" ht="13.5">
      <c r="A65" s="147" t="s">
        <v>171</v>
      </c>
      <c r="B65" s="148" t="s">
        <v>172</v>
      </c>
      <c r="C65" s="142">
        <f aca="true" t="shared" si="7" ref="C65:H65">C66</f>
        <v>112.2</v>
      </c>
      <c r="D65" s="142">
        <f t="shared" si="7"/>
        <v>112.2</v>
      </c>
      <c r="E65" s="149">
        <f t="shared" si="4"/>
        <v>100</v>
      </c>
      <c r="F65" s="142">
        <f t="shared" si="7"/>
        <v>0</v>
      </c>
      <c r="G65" s="142">
        <f t="shared" si="7"/>
        <v>0</v>
      </c>
      <c r="H65" s="121">
        <f t="shared" si="7"/>
        <v>0</v>
      </c>
      <c r="I65" s="142">
        <f t="shared" si="0"/>
        <v>112.2</v>
      </c>
      <c r="J65" s="142">
        <f t="shared" si="0"/>
        <v>112.2</v>
      </c>
      <c r="K65" s="122">
        <v>0</v>
      </c>
    </row>
    <row r="66" spans="1:11" ht="13.5">
      <c r="A66" s="130" t="s">
        <v>173</v>
      </c>
      <c r="B66" s="150" t="s">
        <v>174</v>
      </c>
      <c r="C66" s="126">
        <v>112.2</v>
      </c>
      <c r="D66" s="126">
        <v>112.2</v>
      </c>
      <c r="E66" s="125">
        <f t="shared" si="4"/>
        <v>100</v>
      </c>
      <c r="F66" s="126">
        <v>0</v>
      </c>
      <c r="G66" s="126">
        <v>0</v>
      </c>
      <c r="H66" s="126">
        <v>0</v>
      </c>
      <c r="I66" s="127">
        <f t="shared" si="0"/>
        <v>112.2</v>
      </c>
      <c r="J66" s="128">
        <f t="shared" si="0"/>
        <v>112.2</v>
      </c>
      <c r="K66" s="129">
        <f t="shared" si="1"/>
        <v>100</v>
      </c>
    </row>
    <row r="67" spans="1:11" ht="13.5">
      <c r="A67" s="118" t="s">
        <v>175</v>
      </c>
      <c r="B67" s="119" t="s">
        <v>176</v>
      </c>
      <c r="C67" s="120">
        <f>SUM(C68:C75)</f>
        <v>2114704.3</v>
      </c>
      <c r="D67" s="120">
        <f>SUM(D68:D75)</f>
        <v>1817281.5999999999</v>
      </c>
      <c r="E67" s="120">
        <f>D67/C67*100</f>
        <v>85.93549462210864</v>
      </c>
      <c r="F67" s="142">
        <f>F68+F70+F71+F74+F75</f>
        <v>0</v>
      </c>
      <c r="G67" s="142">
        <f>SUM(G68:G75)</f>
        <v>0</v>
      </c>
      <c r="H67" s="121">
        <v>0</v>
      </c>
      <c r="I67" s="120">
        <f>SUM(I68:I75)</f>
        <v>2114704.3</v>
      </c>
      <c r="J67" s="120">
        <f>SUM(J68:J75)</f>
        <v>1817281.5999999999</v>
      </c>
      <c r="K67" s="122">
        <f t="shared" si="1"/>
        <v>85.93549462210864</v>
      </c>
    </row>
    <row r="68" spans="1:11" ht="13.5">
      <c r="A68" s="123" t="s">
        <v>177</v>
      </c>
      <c r="B68" s="124" t="s">
        <v>178</v>
      </c>
      <c r="C68" s="125">
        <f>545529.5-C69</f>
        <v>504702.5</v>
      </c>
      <c r="D68" s="125">
        <f>445314.8-D69</f>
        <v>404699.7</v>
      </c>
      <c r="E68" s="125">
        <f t="shared" si="4"/>
        <v>80.1857926204051</v>
      </c>
      <c r="F68" s="126">
        <v>0</v>
      </c>
      <c r="G68" s="126">
        <v>0</v>
      </c>
      <c r="H68" s="126">
        <v>0</v>
      </c>
      <c r="I68" s="127">
        <f t="shared" si="0"/>
        <v>504702.5</v>
      </c>
      <c r="J68" s="128">
        <f t="shared" si="0"/>
        <v>404699.7</v>
      </c>
      <c r="K68" s="129">
        <f t="shared" si="1"/>
        <v>80.1857926204051</v>
      </c>
    </row>
    <row r="69" spans="1:11" ht="96">
      <c r="A69" s="123" t="s">
        <v>177</v>
      </c>
      <c r="B69" s="124" t="s">
        <v>179</v>
      </c>
      <c r="C69" s="125">
        <f>37462.1+3364.9</f>
        <v>40827</v>
      </c>
      <c r="D69" s="125">
        <v>40615.1</v>
      </c>
      <c r="E69" s="125">
        <f t="shared" si="4"/>
        <v>99.4809807235408</v>
      </c>
      <c r="F69" s="126"/>
      <c r="G69" s="126"/>
      <c r="H69" s="126"/>
      <c r="I69" s="127">
        <f t="shared" si="0"/>
        <v>40827</v>
      </c>
      <c r="J69" s="128">
        <f t="shared" si="0"/>
        <v>40615.1</v>
      </c>
      <c r="K69" s="129">
        <f t="shared" si="1"/>
        <v>99.4809807235408</v>
      </c>
    </row>
    <row r="70" spans="1:11" ht="13.5">
      <c r="A70" s="123" t="s">
        <v>180</v>
      </c>
      <c r="B70" s="124" t="s">
        <v>181</v>
      </c>
      <c r="C70" s="125">
        <f>1274791.8-C71-C72</f>
        <v>1089030.8</v>
      </c>
      <c r="D70" s="125">
        <f>1105354.4-D71-D72</f>
        <v>956282.1</v>
      </c>
      <c r="E70" s="125">
        <f t="shared" si="4"/>
        <v>87.81038148783303</v>
      </c>
      <c r="F70" s="126">
        <v>0</v>
      </c>
      <c r="G70" s="126">
        <v>0</v>
      </c>
      <c r="H70" s="126">
        <v>0</v>
      </c>
      <c r="I70" s="127">
        <f t="shared" si="0"/>
        <v>1089030.8</v>
      </c>
      <c r="J70" s="128">
        <f t="shared" si="0"/>
        <v>956282.1</v>
      </c>
      <c r="K70" s="129">
        <f t="shared" si="1"/>
        <v>87.81038148783303</v>
      </c>
    </row>
    <row r="71" spans="1:11" ht="13.5">
      <c r="A71" s="123" t="s">
        <v>180</v>
      </c>
      <c r="B71" s="124" t="s">
        <v>182</v>
      </c>
      <c r="C71" s="125">
        <f>30825+20887.7+242</f>
        <v>51954.7</v>
      </c>
      <c r="D71" s="125">
        <v>36105.9</v>
      </c>
      <c r="E71" s="125">
        <f t="shared" si="4"/>
        <v>69.49496388199721</v>
      </c>
      <c r="F71" s="126">
        <v>0</v>
      </c>
      <c r="G71" s="126">
        <v>0</v>
      </c>
      <c r="H71" s="126">
        <v>0</v>
      </c>
      <c r="I71" s="127">
        <f t="shared" si="0"/>
        <v>51954.7</v>
      </c>
      <c r="J71" s="128">
        <f t="shared" si="0"/>
        <v>36105.9</v>
      </c>
      <c r="K71" s="129">
        <f t="shared" si="1"/>
        <v>69.49496388199721</v>
      </c>
    </row>
    <row r="72" spans="1:11" ht="96">
      <c r="A72" s="123" t="s">
        <v>180</v>
      </c>
      <c r="B72" s="124" t="s">
        <v>183</v>
      </c>
      <c r="C72" s="125">
        <f>119694+14112.3</f>
        <v>133806.3</v>
      </c>
      <c r="D72" s="125">
        <v>112966.4</v>
      </c>
      <c r="E72" s="125">
        <f t="shared" si="4"/>
        <v>84.42532227555803</v>
      </c>
      <c r="F72" s="126">
        <v>0</v>
      </c>
      <c r="G72" s="126">
        <v>0</v>
      </c>
      <c r="H72" s="126">
        <v>0</v>
      </c>
      <c r="I72" s="127">
        <f t="shared" si="0"/>
        <v>133806.3</v>
      </c>
      <c r="J72" s="128">
        <f t="shared" si="0"/>
        <v>112966.4</v>
      </c>
      <c r="K72" s="129">
        <f t="shared" si="1"/>
        <v>84.42532227555803</v>
      </c>
    </row>
    <row r="73" spans="1:11" ht="13.5">
      <c r="A73" s="123" t="s">
        <v>184</v>
      </c>
      <c r="B73" s="124" t="s">
        <v>185</v>
      </c>
      <c r="C73" s="125">
        <v>215418.5</v>
      </c>
      <c r="D73" s="133">
        <v>196361.6</v>
      </c>
      <c r="E73" s="125">
        <f t="shared" si="4"/>
        <v>91.15354530831846</v>
      </c>
      <c r="F73" s="126"/>
      <c r="G73" s="126"/>
      <c r="H73" s="126"/>
      <c r="I73" s="127">
        <f t="shared" si="0"/>
        <v>215418.5</v>
      </c>
      <c r="J73" s="128">
        <f t="shared" si="0"/>
        <v>196361.6</v>
      </c>
      <c r="K73" s="129">
        <f t="shared" si="1"/>
        <v>91.15354530831846</v>
      </c>
    </row>
    <row r="74" spans="1:11" ht="13.5">
      <c r="A74" s="123" t="s">
        <v>186</v>
      </c>
      <c r="B74" s="124" t="s">
        <v>187</v>
      </c>
      <c r="C74" s="125">
        <v>31684.2</v>
      </c>
      <c r="D74" s="125">
        <v>27578.5</v>
      </c>
      <c r="E74" s="125">
        <f t="shared" si="4"/>
        <v>87.0418063261815</v>
      </c>
      <c r="F74" s="126"/>
      <c r="G74" s="126"/>
      <c r="H74" s="126"/>
      <c r="I74" s="127">
        <f>C74+F74</f>
        <v>31684.2</v>
      </c>
      <c r="J74" s="128">
        <f>D74+G74</f>
        <v>27578.5</v>
      </c>
      <c r="K74" s="129">
        <f t="shared" si="1"/>
        <v>87.0418063261815</v>
      </c>
    </row>
    <row r="75" spans="1:11" ht="13.5">
      <c r="A75" s="123" t="s">
        <v>188</v>
      </c>
      <c r="B75" s="124" t="s">
        <v>189</v>
      </c>
      <c r="C75" s="125">
        <v>47280.3</v>
      </c>
      <c r="D75" s="125">
        <v>42672.3</v>
      </c>
      <c r="E75" s="125">
        <f t="shared" si="4"/>
        <v>90.25386894753206</v>
      </c>
      <c r="F75" s="126">
        <v>0</v>
      </c>
      <c r="G75" s="126"/>
      <c r="H75" s="126">
        <v>0</v>
      </c>
      <c r="I75" s="127">
        <f t="shared" si="0"/>
        <v>47280.3</v>
      </c>
      <c r="J75" s="128">
        <f>D75+G75</f>
        <v>42672.3</v>
      </c>
      <c r="K75" s="129">
        <f t="shared" si="1"/>
        <v>90.25386894753206</v>
      </c>
    </row>
    <row r="76" spans="1:11" ht="13.5">
      <c r="A76" s="118" t="s">
        <v>190</v>
      </c>
      <c r="B76" s="119" t="s">
        <v>191</v>
      </c>
      <c r="C76" s="120">
        <f>SUM(C77:C80)</f>
        <v>83640.3</v>
      </c>
      <c r="D76" s="120">
        <f>SUM(D77:D80)</f>
        <v>80199.7</v>
      </c>
      <c r="E76" s="120">
        <f>D76/C76*100</f>
        <v>95.8864327363723</v>
      </c>
      <c r="F76" s="142">
        <f>SUM(F77:F80)</f>
        <v>110427.6</v>
      </c>
      <c r="G76" s="142">
        <f>SUM(G77:G80)</f>
        <v>91051.70000000001</v>
      </c>
      <c r="H76" s="121">
        <f>G76/F76*100</f>
        <v>82.453752503903</v>
      </c>
      <c r="I76" s="142">
        <f>SUM(I77:I80)</f>
        <v>181219.6</v>
      </c>
      <c r="J76" s="142">
        <f>SUM(J77:J80)</f>
        <v>158420.69999999998</v>
      </c>
      <c r="K76" s="122">
        <f t="shared" si="1"/>
        <v>87.41918644561625</v>
      </c>
    </row>
    <row r="77" spans="1:11" ht="13.5">
      <c r="A77" s="123" t="s">
        <v>192</v>
      </c>
      <c r="B77" s="124" t="s">
        <v>193</v>
      </c>
      <c r="C77" s="125">
        <f>79437.2-C78</f>
        <v>78607.8</v>
      </c>
      <c r="D77" s="125">
        <f>76393.3-D78</f>
        <v>75581.2</v>
      </c>
      <c r="E77" s="125">
        <f t="shared" si="4"/>
        <v>96.14974595396384</v>
      </c>
      <c r="F77" s="126">
        <f>109097.6-F78</f>
        <v>108936.90000000001</v>
      </c>
      <c r="G77" s="126">
        <f>89860.6-G78</f>
        <v>89752.5</v>
      </c>
      <c r="H77" s="126">
        <f>G77/F77*100</f>
        <v>82.38943828950521</v>
      </c>
      <c r="I77" s="127">
        <f>C77+F77-655.1-10960.2</f>
        <v>175929.4</v>
      </c>
      <c r="J77" s="128">
        <f>D77+G77-655.1-10960.2</f>
        <v>153718.4</v>
      </c>
      <c r="K77" s="129">
        <f t="shared" si="1"/>
        <v>87.37504930955258</v>
      </c>
    </row>
    <row r="78" spans="1:11" ht="27">
      <c r="A78" s="151" t="s">
        <v>192</v>
      </c>
      <c r="B78" s="152" t="s">
        <v>194</v>
      </c>
      <c r="C78" s="125">
        <f>587+103.7+117.9+20.8</f>
        <v>829.4</v>
      </c>
      <c r="D78" s="125">
        <v>812.1</v>
      </c>
      <c r="E78" s="125">
        <f t="shared" si="4"/>
        <v>97.91415481070655</v>
      </c>
      <c r="F78" s="126">
        <f>143+17.7</f>
        <v>160.7</v>
      </c>
      <c r="G78" s="126">
        <v>108.1</v>
      </c>
      <c r="H78" s="126">
        <f>G78/F78*100</f>
        <v>67.26820161792159</v>
      </c>
      <c r="I78" s="127">
        <f>C78+F78-143</f>
        <v>847.0999999999999</v>
      </c>
      <c r="J78" s="128">
        <f>D78+G78-125.4</f>
        <v>794.8000000000001</v>
      </c>
      <c r="K78" s="129">
        <f>J78/I78*100</f>
        <v>93.82599456970844</v>
      </c>
    </row>
    <row r="79" spans="1:11" ht="13.5">
      <c r="A79" s="123" t="s">
        <v>195</v>
      </c>
      <c r="B79" s="124" t="s">
        <v>196</v>
      </c>
      <c r="C79" s="125">
        <v>150</v>
      </c>
      <c r="D79" s="125">
        <v>66.2</v>
      </c>
      <c r="E79" s="125">
        <f t="shared" si="4"/>
        <v>44.13333333333333</v>
      </c>
      <c r="F79" s="126">
        <v>240</v>
      </c>
      <c r="G79" s="126">
        <v>101.1</v>
      </c>
      <c r="H79" s="126">
        <f>G79/F79*100</f>
        <v>42.12499999999999</v>
      </c>
      <c r="I79" s="127">
        <f aca="true" t="shared" si="8" ref="I79:J90">C79+F79</f>
        <v>390</v>
      </c>
      <c r="J79" s="128">
        <f>D79+G79</f>
        <v>167.3</v>
      </c>
      <c r="K79" s="129">
        <f aca="true" t="shared" si="9" ref="K79:K105">J79/I79*100</f>
        <v>42.8974358974359</v>
      </c>
    </row>
    <row r="80" spans="1:11" ht="13.5">
      <c r="A80" s="123" t="s">
        <v>197</v>
      </c>
      <c r="B80" s="124" t="s">
        <v>198</v>
      </c>
      <c r="C80" s="125">
        <v>4053.1</v>
      </c>
      <c r="D80" s="125">
        <v>3740.2</v>
      </c>
      <c r="E80" s="125">
        <f t="shared" si="4"/>
        <v>92.27998322271841</v>
      </c>
      <c r="F80" s="126">
        <v>1090</v>
      </c>
      <c r="G80" s="126">
        <v>1090</v>
      </c>
      <c r="H80" s="126"/>
      <c r="I80" s="127">
        <f>C80+F80-1090</f>
        <v>4053.1000000000004</v>
      </c>
      <c r="J80" s="128">
        <f>D80+G80-1090</f>
        <v>3740.2</v>
      </c>
      <c r="K80" s="129">
        <f t="shared" si="9"/>
        <v>92.2799832227184</v>
      </c>
    </row>
    <row r="81" spans="1:11" ht="13.5">
      <c r="A81" s="118" t="s">
        <v>199</v>
      </c>
      <c r="B81" s="119" t="s">
        <v>200</v>
      </c>
      <c r="C81" s="120">
        <f>SUM(C82:C83)</f>
        <v>6978.5</v>
      </c>
      <c r="D81" s="120">
        <f>SUM(D82:D83)</f>
        <v>4705.5</v>
      </c>
      <c r="E81" s="120">
        <f>SUM(E82:E83)</f>
        <v>151.30307420827336</v>
      </c>
      <c r="F81" s="142">
        <v>0</v>
      </c>
      <c r="G81" s="142">
        <v>0</v>
      </c>
      <c r="H81" s="121"/>
      <c r="I81" s="142">
        <f>C81+F81</f>
        <v>6978.5</v>
      </c>
      <c r="J81" s="142">
        <f t="shared" si="8"/>
        <v>4705.5</v>
      </c>
      <c r="K81" s="122">
        <f t="shared" si="9"/>
        <v>67.42853048649422</v>
      </c>
    </row>
    <row r="82" spans="1:11" ht="41.25">
      <c r="A82" s="130" t="s">
        <v>201</v>
      </c>
      <c r="B82" s="152" t="s">
        <v>202</v>
      </c>
      <c r="C82" s="125">
        <f>2904.4+1766.4</f>
        <v>4670.8</v>
      </c>
      <c r="D82" s="126">
        <v>2399.3</v>
      </c>
      <c r="E82" s="125">
        <f t="shared" si="4"/>
        <v>51.36807399160743</v>
      </c>
      <c r="F82" s="126">
        <v>0</v>
      </c>
      <c r="G82" s="126">
        <v>0</v>
      </c>
      <c r="H82" s="126">
        <v>0</v>
      </c>
      <c r="I82" s="127">
        <f t="shared" si="8"/>
        <v>4670.8</v>
      </c>
      <c r="J82" s="128">
        <f t="shared" si="8"/>
        <v>2399.3</v>
      </c>
      <c r="K82" s="129">
        <f t="shared" si="9"/>
        <v>51.36807399160743</v>
      </c>
    </row>
    <row r="83" spans="1:11" ht="27">
      <c r="A83" s="130" t="s">
        <v>201</v>
      </c>
      <c r="B83" s="152" t="s">
        <v>203</v>
      </c>
      <c r="C83" s="125">
        <v>2307.7</v>
      </c>
      <c r="D83" s="126">
        <v>2306.2</v>
      </c>
      <c r="E83" s="125">
        <f t="shared" si="4"/>
        <v>99.93500021666594</v>
      </c>
      <c r="F83" s="126"/>
      <c r="G83" s="126"/>
      <c r="H83" s="126"/>
      <c r="I83" s="127">
        <f t="shared" si="8"/>
        <v>2307.7</v>
      </c>
      <c r="J83" s="128">
        <f t="shared" si="8"/>
        <v>2306.2</v>
      </c>
      <c r="K83" s="129">
        <f t="shared" si="9"/>
        <v>99.93500021666594</v>
      </c>
    </row>
    <row r="84" spans="1:11" ht="13.5">
      <c r="A84" s="118">
        <v>10</v>
      </c>
      <c r="B84" s="119" t="s">
        <v>204</v>
      </c>
      <c r="C84" s="120">
        <f>SUM(C85:C92)</f>
        <v>129977.4</v>
      </c>
      <c r="D84" s="120">
        <f>SUM(D85:D92)</f>
        <v>101077.6</v>
      </c>
      <c r="E84" s="120">
        <f>D84/C84*100</f>
        <v>77.76551923642111</v>
      </c>
      <c r="F84" s="120">
        <f>SUM(F85:F90)</f>
        <v>585.2</v>
      </c>
      <c r="G84" s="120">
        <f>SUM(G85:G90)</f>
        <v>504.1</v>
      </c>
      <c r="H84" s="121">
        <f>G84/F84*100</f>
        <v>86.1414900888585</v>
      </c>
      <c r="I84" s="120">
        <f>SUM(I85:I92)</f>
        <v>130562.59999999999</v>
      </c>
      <c r="J84" s="120">
        <f>SUM(J85:J92)</f>
        <v>101581.7</v>
      </c>
      <c r="K84" s="122">
        <f t="shared" si="9"/>
        <v>77.80306151991458</v>
      </c>
    </row>
    <row r="85" spans="1:11" ht="13.5">
      <c r="A85" s="130">
        <v>1001</v>
      </c>
      <c r="B85" s="124" t="s">
        <v>205</v>
      </c>
      <c r="C85" s="125">
        <v>4063</v>
      </c>
      <c r="D85" s="125">
        <v>3658.5</v>
      </c>
      <c r="E85" s="125">
        <f t="shared" si="4"/>
        <v>90.04430223972435</v>
      </c>
      <c r="F85" s="126">
        <v>585.2</v>
      </c>
      <c r="G85" s="126">
        <v>504.1</v>
      </c>
      <c r="H85" s="126">
        <f>G85/F85*100</f>
        <v>86.1414900888585</v>
      </c>
      <c r="I85" s="127">
        <f t="shared" si="8"/>
        <v>4648.2</v>
      </c>
      <c r="J85" s="128">
        <f t="shared" si="8"/>
        <v>4162.6</v>
      </c>
      <c r="K85" s="129">
        <f t="shared" si="9"/>
        <v>89.55294522610903</v>
      </c>
    </row>
    <row r="86" spans="1:11" ht="54.75">
      <c r="A86" s="130">
        <v>1003</v>
      </c>
      <c r="B86" s="124" t="s">
        <v>206</v>
      </c>
      <c r="C86" s="125">
        <v>2616.6</v>
      </c>
      <c r="D86" s="125">
        <v>2616.6</v>
      </c>
      <c r="E86" s="125">
        <f t="shared" si="4"/>
        <v>100</v>
      </c>
      <c r="F86" s="126">
        <v>0</v>
      </c>
      <c r="G86" s="126">
        <v>0</v>
      </c>
      <c r="H86" s="126">
        <v>0</v>
      </c>
      <c r="I86" s="127">
        <f t="shared" si="8"/>
        <v>2616.6</v>
      </c>
      <c r="J86" s="128">
        <f t="shared" si="8"/>
        <v>2616.6</v>
      </c>
      <c r="K86" s="129">
        <f t="shared" si="9"/>
        <v>100</v>
      </c>
    </row>
    <row r="87" spans="1:11" ht="69">
      <c r="A87" s="130" t="s">
        <v>207</v>
      </c>
      <c r="B87" s="124" t="s">
        <v>208</v>
      </c>
      <c r="C87" s="125">
        <v>2169.6</v>
      </c>
      <c r="D87" s="125"/>
      <c r="E87" s="125">
        <f t="shared" si="4"/>
        <v>0</v>
      </c>
      <c r="F87" s="126"/>
      <c r="G87" s="126"/>
      <c r="H87" s="126"/>
      <c r="I87" s="127">
        <f t="shared" si="8"/>
        <v>2169.6</v>
      </c>
      <c r="J87" s="128">
        <f t="shared" si="8"/>
        <v>0</v>
      </c>
      <c r="K87" s="129">
        <f t="shared" si="9"/>
        <v>0</v>
      </c>
    </row>
    <row r="88" spans="1:11" ht="151.5">
      <c r="A88" s="130" t="s">
        <v>207</v>
      </c>
      <c r="B88" s="124" t="s">
        <v>209</v>
      </c>
      <c r="C88" s="125">
        <f>2635.8+138.7</f>
        <v>2774.5</v>
      </c>
      <c r="D88" s="125">
        <v>1387.3</v>
      </c>
      <c r="E88" s="125">
        <f t="shared" si="4"/>
        <v>50.001802126509276</v>
      </c>
      <c r="F88" s="126"/>
      <c r="G88" s="126"/>
      <c r="H88" s="126"/>
      <c r="I88" s="127">
        <f t="shared" si="8"/>
        <v>2774.5</v>
      </c>
      <c r="J88" s="128">
        <f t="shared" si="8"/>
        <v>1387.3</v>
      </c>
      <c r="K88" s="129">
        <f t="shared" si="9"/>
        <v>50.001802126509276</v>
      </c>
    </row>
    <row r="89" spans="1:11" ht="69">
      <c r="A89" s="130">
        <v>1004</v>
      </c>
      <c r="B89" s="124" t="s">
        <v>210</v>
      </c>
      <c r="C89" s="125">
        <v>18871</v>
      </c>
      <c r="D89" s="125">
        <v>15523.9</v>
      </c>
      <c r="E89" s="125">
        <f t="shared" si="4"/>
        <v>82.26326108844259</v>
      </c>
      <c r="F89" s="126">
        <v>0</v>
      </c>
      <c r="G89" s="126">
        <v>0</v>
      </c>
      <c r="H89" s="126">
        <v>0</v>
      </c>
      <c r="I89" s="127">
        <f t="shared" si="8"/>
        <v>18871</v>
      </c>
      <c r="J89" s="128">
        <f t="shared" si="8"/>
        <v>15523.9</v>
      </c>
      <c r="K89" s="129">
        <f t="shared" si="9"/>
        <v>82.26326108844259</v>
      </c>
    </row>
    <row r="90" spans="1:11" ht="138">
      <c r="A90" s="130">
        <v>1004</v>
      </c>
      <c r="B90" s="124" t="s">
        <v>211</v>
      </c>
      <c r="C90" s="125">
        <v>70674.5</v>
      </c>
      <c r="D90" s="125">
        <v>52923</v>
      </c>
      <c r="E90" s="125">
        <f aca="true" t="shared" si="10" ref="E90:E104">D90/C90*100</f>
        <v>74.88273705509059</v>
      </c>
      <c r="F90" s="126">
        <v>0</v>
      </c>
      <c r="G90" s="126">
        <v>0</v>
      </c>
      <c r="H90" s="126">
        <v>0</v>
      </c>
      <c r="I90" s="127">
        <f t="shared" si="8"/>
        <v>70674.5</v>
      </c>
      <c r="J90" s="128">
        <f t="shared" si="8"/>
        <v>52923</v>
      </c>
      <c r="K90" s="129">
        <f t="shared" si="9"/>
        <v>74.88273705509059</v>
      </c>
    </row>
    <row r="91" spans="1:11" ht="123.75">
      <c r="A91" s="130" t="s">
        <v>212</v>
      </c>
      <c r="B91" s="124" t="s">
        <v>213</v>
      </c>
      <c r="C91" s="125">
        <v>13410</v>
      </c>
      <c r="D91" s="125">
        <v>12797</v>
      </c>
      <c r="E91" s="125">
        <f>D91/C91*100</f>
        <v>95.42878448918717</v>
      </c>
      <c r="F91" s="126">
        <v>0</v>
      </c>
      <c r="G91" s="126">
        <v>0</v>
      </c>
      <c r="H91" s="126">
        <v>0</v>
      </c>
      <c r="I91" s="127">
        <f>C91+F91</f>
        <v>13410</v>
      </c>
      <c r="J91" s="128">
        <f>D91+G91</f>
        <v>12797</v>
      </c>
      <c r="K91" s="129">
        <f>J91/I91*100</f>
        <v>95.42878448918717</v>
      </c>
    </row>
    <row r="92" spans="1:11" ht="27">
      <c r="A92" s="130">
        <v>1006</v>
      </c>
      <c r="B92" s="124" t="s">
        <v>214</v>
      </c>
      <c r="C92" s="125">
        <v>15398.2</v>
      </c>
      <c r="D92" s="125">
        <v>12171.3</v>
      </c>
      <c r="E92" s="125">
        <f t="shared" si="10"/>
        <v>79.04365445311788</v>
      </c>
      <c r="F92" s="126"/>
      <c r="G92" s="126">
        <v>0</v>
      </c>
      <c r="H92" s="126">
        <v>0</v>
      </c>
      <c r="I92" s="127">
        <f>C92+F92</f>
        <v>15398.2</v>
      </c>
      <c r="J92" s="128">
        <f>D92+G92</f>
        <v>12171.3</v>
      </c>
      <c r="K92" s="129">
        <f t="shared" si="9"/>
        <v>79.04365445311788</v>
      </c>
    </row>
    <row r="93" spans="1:11" ht="13.5">
      <c r="A93" s="147">
        <v>1100</v>
      </c>
      <c r="B93" s="119" t="s">
        <v>215</v>
      </c>
      <c r="C93" s="120">
        <f>SUM(C94:C95)</f>
        <v>32433.199999999997</v>
      </c>
      <c r="D93" s="120">
        <f>SUM(D94:D95)</f>
        <v>30658.4</v>
      </c>
      <c r="E93" s="120">
        <f>D93/C93*100</f>
        <v>94.52782950803498</v>
      </c>
      <c r="F93" s="142">
        <f>F94+F95</f>
        <v>35774.2</v>
      </c>
      <c r="G93" s="142">
        <f>G94+G95</f>
        <v>31397.3</v>
      </c>
      <c r="H93" s="121">
        <f>G93/F93*100</f>
        <v>87.76520509193777</v>
      </c>
      <c r="I93" s="142">
        <f>SUM(I94:I95)</f>
        <v>67982.4</v>
      </c>
      <c r="J93" s="142">
        <f>SUM(J94:J95)</f>
        <v>61830.700000000004</v>
      </c>
      <c r="K93" s="122">
        <f t="shared" si="9"/>
        <v>90.95104026924618</v>
      </c>
    </row>
    <row r="94" spans="1:11" ht="13.5">
      <c r="A94" s="130">
        <v>1101</v>
      </c>
      <c r="B94" s="124" t="s">
        <v>216</v>
      </c>
      <c r="C94" s="125">
        <v>32041.1</v>
      </c>
      <c r="D94" s="125">
        <v>30473.5</v>
      </c>
      <c r="E94" s="125">
        <f t="shared" si="10"/>
        <v>95.1075337613253</v>
      </c>
      <c r="F94" s="126">
        <v>35774.2</v>
      </c>
      <c r="G94" s="126">
        <v>31397.3</v>
      </c>
      <c r="H94" s="126">
        <f>G94/F94*100</f>
        <v>87.76520509193777</v>
      </c>
      <c r="I94" s="127">
        <f>C94+F94-225</f>
        <v>67590.29999999999</v>
      </c>
      <c r="J94" s="127">
        <f>D94+G94-225</f>
        <v>61645.8</v>
      </c>
      <c r="K94" s="129">
        <f t="shared" si="9"/>
        <v>91.20509895650709</v>
      </c>
    </row>
    <row r="95" spans="1:11" ht="13.5">
      <c r="A95" s="130">
        <v>1102</v>
      </c>
      <c r="B95" s="124" t="s">
        <v>217</v>
      </c>
      <c r="C95" s="125">
        <v>392.1</v>
      </c>
      <c r="D95" s="125">
        <v>184.9</v>
      </c>
      <c r="E95" s="125">
        <f t="shared" si="10"/>
        <v>47.156337668962</v>
      </c>
      <c r="F95" s="126"/>
      <c r="G95" s="126">
        <v>0</v>
      </c>
      <c r="H95" s="126"/>
      <c r="I95" s="127">
        <f>C95+F95</f>
        <v>392.1</v>
      </c>
      <c r="J95" s="127">
        <f>D95+G95</f>
        <v>184.9</v>
      </c>
      <c r="K95" s="129">
        <f t="shared" si="9"/>
        <v>47.156337668962</v>
      </c>
    </row>
    <row r="96" spans="1:11" ht="13.5">
      <c r="A96" s="147">
        <v>1200</v>
      </c>
      <c r="B96" s="119" t="s">
        <v>218</v>
      </c>
      <c r="C96" s="120">
        <f>SUM(C97:C98)</f>
        <v>8371.6</v>
      </c>
      <c r="D96" s="120">
        <f>SUM(D97:D98)</f>
        <v>8371.6</v>
      </c>
      <c r="E96" s="149">
        <f>D96/C96*100</f>
        <v>100</v>
      </c>
      <c r="F96" s="120">
        <f>F97</f>
        <v>0</v>
      </c>
      <c r="G96" s="120">
        <f>G97</f>
        <v>0</v>
      </c>
      <c r="H96" s="153"/>
      <c r="I96" s="120">
        <f aca="true" t="shared" si="11" ref="I96:J100">C96+F96</f>
        <v>8371.6</v>
      </c>
      <c r="J96" s="120">
        <f t="shared" si="11"/>
        <v>8371.6</v>
      </c>
      <c r="K96" s="132">
        <f t="shared" si="9"/>
        <v>100</v>
      </c>
    </row>
    <row r="97" spans="1:11" ht="13.5">
      <c r="A97" s="130" t="s">
        <v>219</v>
      </c>
      <c r="B97" s="124" t="s">
        <v>220</v>
      </c>
      <c r="C97" s="125">
        <v>6436.4</v>
      </c>
      <c r="D97" s="125">
        <v>6436.4</v>
      </c>
      <c r="E97" s="125">
        <f>D97/C97*100</f>
        <v>100</v>
      </c>
      <c r="F97" s="126">
        <v>0</v>
      </c>
      <c r="G97" s="126">
        <v>0</v>
      </c>
      <c r="H97" s="126">
        <v>0</v>
      </c>
      <c r="I97" s="127">
        <f t="shared" si="11"/>
        <v>6436.4</v>
      </c>
      <c r="J97" s="127">
        <f t="shared" si="11"/>
        <v>6436.4</v>
      </c>
      <c r="K97" s="129">
        <f>J97/I97*100</f>
        <v>100</v>
      </c>
    </row>
    <row r="98" spans="1:11" ht="13.5">
      <c r="A98" s="130" t="s">
        <v>221</v>
      </c>
      <c r="B98" s="124" t="s">
        <v>222</v>
      </c>
      <c r="C98" s="125">
        <v>1935.2</v>
      </c>
      <c r="D98" s="125">
        <v>1935.2</v>
      </c>
      <c r="E98" s="125">
        <f>D98/C98*100</f>
        <v>100</v>
      </c>
      <c r="F98" s="126"/>
      <c r="G98" s="126"/>
      <c r="H98" s="126"/>
      <c r="I98" s="127">
        <f t="shared" si="11"/>
        <v>1935.2</v>
      </c>
      <c r="J98" s="127">
        <f t="shared" si="11"/>
        <v>1935.2</v>
      </c>
      <c r="K98" s="129">
        <f>J98/I98*100</f>
        <v>100</v>
      </c>
    </row>
    <row r="99" spans="1:11" ht="27">
      <c r="A99" s="147">
        <v>1300</v>
      </c>
      <c r="B99" s="119" t="s">
        <v>223</v>
      </c>
      <c r="C99" s="120">
        <f aca="true" t="shared" si="12" ref="C99:H99">C100</f>
        <v>801</v>
      </c>
      <c r="D99" s="120">
        <f t="shared" si="12"/>
        <v>793.6</v>
      </c>
      <c r="E99" s="120">
        <f t="shared" si="12"/>
        <v>99.07615480649189</v>
      </c>
      <c r="F99" s="120">
        <f t="shared" si="12"/>
        <v>0</v>
      </c>
      <c r="G99" s="120">
        <f t="shared" si="12"/>
        <v>0</v>
      </c>
      <c r="H99" s="131">
        <f t="shared" si="12"/>
        <v>0</v>
      </c>
      <c r="I99" s="120">
        <f t="shared" si="11"/>
        <v>801</v>
      </c>
      <c r="J99" s="120">
        <f t="shared" si="11"/>
        <v>793.6</v>
      </c>
      <c r="K99" s="132">
        <f t="shared" si="9"/>
        <v>99.07615480649189</v>
      </c>
    </row>
    <row r="100" spans="1:11" ht="27">
      <c r="A100" s="130">
        <v>1301</v>
      </c>
      <c r="B100" s="124" t="s">
        <v>224</v>
      </c>
      <c r="C100" s="125">
        <v>801</v>
      </c>
      <c r="D100" s="125">
        <v>793.6</v>
      </c>
      <c r="E100" s="125">
        <f t="shared" si="10"/>
        <v>99.07615480649189</v>
      </c>
      <c r="F100" s="126"/>
      <c r="G100" s="126">
        <v>0</v>
      </c>
      <c r="H100" s="126">
        <v>0</v>
      </c>
      <c r="I100" s="127">
        <f t="shared" si="11"/>
        <v>801</v>
      </c>
      <c r="J100" s="127">
        <f t="shared" si="11"/>
        <v>793.6</v>
      </c>
      <c r="K100" s="129">
        <f t="shared" si="9"/>
        <v>99.07615480649189</v>
      </c>
    </row>
    <row r="101" spans="1:11" ht="13.5">
      <c r="A101" s="147">
        <v>1400</v>
      </c>
      <c r="B101" s="119" t="s">
        <v>225</v>
      </c>
      <c r="C101" s="120">
        <f>SUM(C102:C104)</f>
        <v>335515</v>
      </c>
      <c r="D101" s="120">
        <f>SUM(D102:D104)</f>
        <v>312527.19999999995</v>
      </c>
      <c r="E101" s="120">
        <f>D101/C101*100</f>
        <v>93.14850304755375</v>
      </c>
      <c r="F101" s="142">
        <f>F102+F103+F104</f>
        <v>0</v>
      </c>
      <c r="G101" s="142">
        <f>SUM(G102:G104)</f>
        <v>0</v>
      </c>
      <c r="H101" s="142"/>
      <c r="I101" s="142">
        <v>0</v>
      </c>
      <c r="J101" s="142">
        <v>0</v>
      </c>
      <c r="K101" s="122">
        <v>0</v>
      </c>
    </row>
    <row r="102" spans="1:11" ht="27">
      <c r="A102" s="130">
        <v>1401</v>
      </c>
      <c r="B102" s="124" t="s">
        <v>226</v>
      </c>
      <c r="C102" s="125">
        <v>123158.4</v>
      </c>
      <c r="D102" s="125">
        <v>114947.3</v>
      </c>
      <c r="E102" s="125">
        <f t="shared" si="10"/>
        <v>93.33289487359369</v>
      </c>
      <c r="F102" s="126">
        <v>0</v>
      </c>
      <c r="G102" s="126">
        <v>0</v>
      </c>
      <c r="H102" s="126">
        <v>0</v>
      </c>
      <c r="I102" s="127">
        <v>0</v>
      </c>
      <c r="J102" s="128">
        <v>0</v>
      </c>
      <c r="K102" s="129">
        <v>0</v>
      </c>
    </row>
    <row r="103" spans="1:11" ht="13.5">
      <c r="A103" s="130">
        <v>1402</v>
      </c>
      <c r="B103" s="124" t="s">
        <v>227</v>
      </c>
      <c r="C103" s="125">
        <v>206556.6</v>
      </c>
      <c r="D103" s="125">
        <v>192704.8</v>
      </c>
      <c r="E103" s="125">
        <f t="shared" si="10"/>
        <v>93.29394461372814</v>
      </c>
      <c r="F103" s="126">
        <v>0</v>
      </c>
      <c r="G103" s="126">
        <v>0</v>
      </c>
      <c r="H103" s="126">
        <v>0</v>
      </c>
      <c r="I103" s="127">
        <v>0</v>
      </c>
      <c r="J103" s="128">
        <v>0</v>
      </c>
      <c r="K103" s="129">
        <v>0</v>
      </c>
    </row>
    <row r="104" spans="1:11" ht="13.5">
      <c r="A104" s="130">
        <v>1403</v>
      </c>
      <c r="B104" s="124" t="s">
        <v>228</v>
      </c>
      <c r="C104" s="125">
        <v>5800</v>
      </c>
      <c r="D104" s="125">
        <v>4875.1</v>
      </c>
      <c r="E104" s="125">
        <f t="shared" si="10"/>
        <v>84.05344827586208</v>
      </c>
      <c r="F104" s="126">
        <v>0</v>
      </c>
      <c r="G104" s="126">
        <v>0</v>
      </c>
      <c r="H104" s="126">
        <v>0</v>
      </c>
      <c r="I104" s="127">
        <v>0</v>
      </c>
      <c r="J104" s="128">
        <v>0</v>
      </c>
      <c r="K104" s="129">
        <v>0</v>
      </c>
    </row>
    <row r="105" spans="1:11" ht="14.25" thickBot="1">
      <c r="A105" s="154" t="s">
        <v>229</v>
      </c>
      <c r="B105" s="155"/>
      <c r="C105" s="156">
        <f>C9+C18+C20+C25+C45+C65+C67+C76+C81+C84+C93+C96+C99+C101</f>
        <v>4125347.1999999997</v>
      </c>
      <c r="D105" s="156">
        <f>D101+D99+D96+D93+D84+D81+D76+D67+D65+D45+D25+D20+D18+D9</f>
        <v>3286502.6999999997</v>
      </c>
      <c r="E105" s="156">
        <f>D105/C105*100</f>
        <v>79.66608725684956</v>
      </c>
      <c r="F105" s="156">
        <f>F9+F18+F20+F25+F45+F65+F67+F76+F81+F84+F93+F96+F99+F101</f>
        <v>696621.4</v>
      </c>
      <c r="G105" s="156">
        <f>G101+G99+G96+G84+G81+G76+G67+G45+G25+G21+G18+G9+G20+G93</f>
        <v>534808.8000000002</v>
      </c>
      <c r="H105" s="157">
        <f>G105/F105*100</f>
        <v>76.77180172759552</v>
      </c>
      <c r="I105" s="156">
        <f>I101+I99+I96+I93+I84+I81+I76+I67+I65+I45+I25+I20+I18+I9</f>
        <v>4353489.9</v>
      </c>
      <c r="J105" s="156">
        <f>J101+J99+J96+J93+J84+J81+J76+J67+J65+J45+J25+J20+J18+J9</f>
        <v>3429798.5</v>
      </c>
      <c r="K105" s="158">
        <f t="shared" si="9"/>
        <v>78.78273704046033</v>
      </c>
    </row>
    <row r="106" spans="1:11" ht="12.75">
      <c r="A106" s="159"/>
      <c r="B106" s="160"/>
      <c r="C106" s="161"/>
      <c r="D106" s="93"/>
      <c r="E106" s="162"/>
      <c r="F106" s="95"/>
      <c r="G106" s="96"/>
      <c r="H106" s="96"/>
      <c r="I106" s="98"/>
      <c r="J106" s="98"/>
      <c r="K106" s="98"/>
    </row>
    <row r="107" spans="1:11" ht="12.75">
      <c r="A107" s="163"/>
      <c r="B107" s="164"/>
      <c r="C107" s="165"/>
      <c r="D107" s="165"/>
      <c r="E107" s="165"/>
      <c r="F107" s="165"/>
      <c r="G107" s="165"/>
      <c r="H107" s="165"/>
      <c r="I107" s="165"/>
      <c r="J107" s="165"/>
      <c r="K107" s="165"/>
    </row>
    <row r="108" spans="1:11" ht="12.75">
      <c r="A108" s="163"/>
      <c r="B108" s="164"/>
      <c r="C108" s="165"/>
      <c r="D108" s="166"/>
      <c r="E108" s="162"/>
      <c r="F108" s="95"/>
      <c r="G108" s="96"/>
      <c r="H108" s="96"/>
      <c r="I108" s="97"/>
      <c r="J108" s="97"/>
      <c r="K108" s="98"/>
    </row>
    <row r="109" spans="1:11" ht="12.75">
      <c r="A109" s="167" t="s">
        <v>230</v>
      </c>
      <c r="B109" s="167"/>
      <c r="C109" s="167"/>
      <c r="D109" s="168"/>
      <c r="E109" s="169"/>
      <c r="F109" s="169"/>
      <c r="G109" s="96"/>
      <c r="H109" s="96"/>
      <c r="I109" s="98"/>
      <c r="J109" s="98"/>
      <c r="K109" s="98"/>
    </row>
    <row r="110" spans="1:11" ht="12.75">
      <c r="A110" s="167" t="s">
        <v>231</v>
      </c>
      <c r="B110" s="167"/>
      <c r="C110" s="167"/>
      <c r="D110" s="170"/>
      <c r="E110" s="171" t="s">
        <v>232</v>
      </c>
      <c r="F110" s="171"/>
      <c r="G110" s="96"/>
      <c r="H110" s="96"/>
      <c r="I110" s="97"/>
      <c r="J110" s="98"/>
      <c r="K110" s="98"/>
    </row>
    <row r="111" spans="1:11" ht="12.75">
      <c r="A111" s="172"/>
      <c r="B111" s="173"/>
      <c r="C111" s="174"/>
      <c r="D111" s="175"/>
      <c r="E111" s="176"/>
      <c r="F111" s="177"/>
      <c r="G111" s="96"/>
      <c r="H111" s="96"/>
      <c r="I111" s="97"/>
      <c r="J111" s="98"/>
      <c r="K111" s="98"/>
    </row>
    <row r="112" spans="1:11" ht="12.75">
      <c r="A112" s="167" t="s">
        <v>233</v>
      </c>
      <c r="B112" s="167"/>
      <c r="C112" s="167"/>
      <c r="D112" s="178"/>
      <c r="E112" s="171" t="s">
        <v>234</v>
      </c>
      <c r="F112" s="171"/>
      <c r="G112" s="96"/>
      <c r="H112" s="96"/>
      <c r="I112" s="97"/>
      <c r="J112" s="98"/>
      <c r="K112" s="98"/>
    </row>
    <row r="113" spans="1:11" ht="12.75">
      <c r="A113" s="172"/>
      <c r="B113" s="179"/>
      <c r="C113" s="180"/>
      <c r="D113" s="181"/>
      <c r="E113" s="176"/>
      <c r="F113" s="177"/>
      <c r="G113" s="96"/>
      <c r="H113" s="96"/>
      <c r="I113" s="97"/>
      <c r="J113" s="98"/>
      <c r="K113" s="98"/>
    </row>
    <row r="114" spans="1:11" ht="12.75">
      <c r="A114" s="167" t="s">
        <v>235</v>
      </c>
      <c r="B114" s="167"/>
      <c r="C114" s="167"/>
      <c r="D114" s="178"/>
      <c r="E114" s="182" t="s">
        <v>236</v>
      </c>
      <c r="F114" s="182"/>
      <c r="G114" s="96"/>
      <c r="H114" s="96"/>
      <c r="I114" s="97"/>
      <c r="J114" s="98"/>
      <c r="K114" s="98"/>
    </row>
    <row r="115" spans="1:11" ht="12.75">
      <c r="A115" s="183"/>
      <c r="B115" s="184"/>
      <c r="C115" s="185"/>
      <c r="D115" s="168"/>
      <c r="E115" s="168"/>
      <c r="F115" s="169"/>
      <c r="G115" s="96"/>
      <c r="H115" s="96"/>
      <c r="I115" s="98"/>
      <c r="J115" s="98"/>
      <c r="K115" s="98"/>
    </row>
    <row r="116" spans="1:6" ht="12.75">
      <c r="A116" s="186"/>
      <c r="B116" s="186"/>
      <c r="C116" s="187" t="s">
        <v>237</v>
      </c>
      <c r="D116" s="188"/>
      <c r="E116" s="189" t="s">
        <v>238</v>
      </c>
      <c r="F116" s="186"/>
    </row>
  </sheetData>
  <sheetProtection/>
  <mergeCells count="35">
    <mergeCell ref="A109:C109"/>
    <mergeCell ref="A110:C110"/>
    <mergeCell ref="E110:F110"/>
    <mergeCell ref="A112:C112"/>
    <mergeCell ref="E112:F112"/>
    <mergeCell ref="A114:C114"/>
    <mergeCell ref="E114:F114"/>
    <mergeCell ref="G20:G21"/>
    <mergeCell ref="H20:H21"/>
    <mergeCell ref="I20:I21"/>
    <mergeCell ref="J20:J21"/>
    <mergeCell ref="K20:K21"/>
    <mergeCell ref="A105:B105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2018-12-05T07:29:16Z</cp:lastPrinted>
  <dcterms:created xsi:type="dcterms:W3CDTF">2006-05-12T06:58:42Z</dcterms:created>
  <dcterms:modified xsi:type="dcterms:W3CDTF">2019-04-30T09:12:08Z</dcterms:modified>
  <cp:category/>
  <cp:version/>
  <cp:contentType/>
  <cp:contentStatus/>
</cp:coreProperties>
</file>