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<sst xmlns="http://schemas.openxmlformats.org/spreadsheetml/2006/main" count="852" uniqueCount="330">
  <si>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</si>
  <si>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</si>
  <si>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</si>
  <si>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</si>
  <si>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</si>
  <si>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</si>
  <si>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</si>
  <si>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</si>
  <si>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</si>
  <si>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</si>
  <si>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</si>
  <si>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</si>
  <si>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</si>
  <si>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</si>
  <si>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</si>
  <si>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</si>
  <si>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</si>
  <si>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</si>
  <si>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</si>
  <si>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</si>
  <si>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</si>
  <si>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</si>
  <si>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</si>
  <si>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</si>
  <si>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</si>
  <si>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</si>
  <si>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</si>
  <si>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</si>
  <si>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</si>
  <si>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</si>
  <si>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</si>
  <si>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</si>
  <si>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</si>
  <si>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</si>
  <si>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</si>
  <si>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</si>
  <si>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</si>
  <si>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</si>
  <si>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</si>
  <si>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</si>
  <si>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</si>
  <si>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</si>
  <si>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</si>
  <si>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</si>
  <si>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</si>
  <si>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</si>
  <si>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</si>
  <si>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</si>
  <si>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</si>
  <si>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</si>
  <si>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</si>
  <si>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</si>
  <si>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</si>
  <si>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</si>
  <si>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</si>
  <si>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</si>
  <si>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</si>
  <si>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</si>
  <si>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</si>
  <si>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</si>
  <si>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</si>
  <si>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</si>
  <si>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</si>
  <si>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</si>
  <si>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</si>
  <si>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</si>
  <si>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</si>
  <si>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</si>
  <si>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</si>
  <si>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</si>
  <si>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</si>
  <si>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</si>
  <si>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</si>
  <si>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</si>
  <si>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</si>
  <si>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</si>
  <si>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</si>
  <si>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</si>
  <si>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</si>
  <si>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</si>
  <si>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</si>
  <si>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</si>
  <si>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</si>
  <si>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</si>
  <si>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</si>
  <si>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</si>
  <si>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</si>
  <si>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</si>
  <si>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</si>
  <si>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</si>
  <si>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</si>
  <si>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</si>
  <si>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</si>
  <si>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</si>
  <si>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</si>
  <si>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</si>
  <si>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</si>
  <si>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</si>
  <si>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</si>
  <si>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</si>
  <si>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</si>
  <si>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</si>
  <si>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</si>
  <si>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</si>
  <si>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</si>
  <si>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</si>
  <si>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</si>
  <si>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</si>
  <si>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</si>
  <si>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</si>
  <si>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</si>
  <si>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</si>
  <si>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</si>
  <si>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</si>
  <si>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</si>
  <si>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</si>
  <si>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</si>
  <si>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</si>
  <si>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</si>
  <si>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</si>
  <si>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</si>
  <si>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</si>
  <si>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</si>
  <si>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</si>
  <si>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</si>
  <si>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</si>
  <si>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</si>
  <si>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</si>
  <si>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</si>
  <si>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</si>
  <si>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</si>
  <si>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</si>
  <si>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</si>
  <si>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</si>
  <si>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</si>
  <si>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</si>
  <si>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</si>
  <si>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</si>
  <si>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</si>
  <si>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</si>
  <si>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</si>
  <si>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</si>
  <si>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</si>
  <si>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</si>
  <si>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</si>
  <si>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</si>
  <si>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</si>
  <si>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</si>
  <si>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</si>
  <si>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</si>
  <si>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</si>
  <si>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</si>
  <si>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</si>
  <si>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</si>
  <si>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</si>
  <si>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</si>
  <si>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</si>
  <si>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</si>
  <si>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</si>
  <si>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</si>
  <si>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</si>
  <si>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</si>
  <si>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</si>
  <si>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</si>
  <si>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</si>
  <si>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</si>
  <si>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</si>
  <si>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</si>
  <si>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</si>
  <si>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</si>
  <si>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</si>
  <si>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</si>
  <si>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</si>
  <si>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</si>
  <si>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</si>
  <si>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</si>
  <si>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</si>
  <si>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</si>
  <si>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</si>
  <si>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</si>
  <si>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</si>
  <si>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</si>
  <si>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</si>
  <si>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</si>
  <si>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</si>
  <si>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</si>
  <si>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</si>
  <si>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</si>
  <si>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</si>
  <si>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</si>
  <si>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</si>
  <si>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</si>
  <si>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</si>
  <si>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</si>
  <si>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</si>
  <si>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</si>
  <si>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</si>
  <si>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</si>
  <si>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</si>
  <si>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</si>
  <si>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</si>
  <si>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</si>
  <si>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</si>
  <si>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</si>
  <si>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</si>
  <si>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</si>
  <si>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</si>
  <si>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</si>
  <si>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</si>
  <si>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</si>
  <si>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</si>
  <si>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</si>
  <si>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</si>
  <si>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</si>
  <si>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</si>
  <si>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</si>
  <si>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</si>
  <si>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</si>
  <si>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</si>
  <si>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</si>
  <si>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</si>
  <si>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</si>
  <si>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</si>
  <si>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</si>
  <si>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</si>
  <si>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</si>
  <si>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</si>
  <si>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</si>
  <si>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</si>
  <si>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</si>
  <si>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</si>
  <si>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</si>
  <si>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</si>
  <si>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</si>
  <si>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</si>
  <si>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</si>
  <si>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</si>
  <si>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</si>
  <si>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</si>
  <si>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</si>
  <si>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</si>
  <si>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</si>
  <si>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</si>
  <si>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</si>
  <si>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</si>
  <si>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</si>
  <si>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</si>
  <si>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</si>
  <si>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</si>
  <si>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</si>
  <si>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</si>
  <si>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</si>
  <si>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</si>
  <si>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</si>
  <si>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</si>
  <si>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</si>
  <si>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</si>
  <si>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</si>
  <si>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</si>
  <si>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</si>
  <si>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</si>
  <si>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</si>
  <si>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</si>
  <si>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</si>
  <si>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</si>
  <si>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</si>
  <si>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</si>
  <si>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</si>
  <si>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</si>
  <si>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</si>
  <si>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</si>
  <si>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</si>
  <si>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</si>
  <si>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</si>
  <si>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</si>
  <si>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</si>
  <si>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</si>
  <si>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</si>
  <si>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</si>
  <si>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</si>
  <si>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</si>
  <si>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</si>
  <si>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</si>
  <si>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</si>
  <si>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</si>
  <si>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</si>
  <si>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</si>
  <si>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</si>
  <si>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</si>
  <si>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</si>
  <si>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</si>
  <si>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</si>
  <si>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</si>
  <si>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</si>
  <si>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</si>
  <si>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</si>
  <si>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</si>
  <si>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</si>
  <si>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</si>
  <si>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</si>
  <si>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</si>
  <si>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</si>
  <si>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</si>
  <si>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2015 год 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</si>
  <si>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</si>
  <si>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</si>
  <si>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</si>
  <si>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</si>
  <si>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годы"(0955410, 0955437)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</si>
  <si>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(газоснабжение Чемаши)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</si>
  <si>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</si>
  <si>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</si>
  <si>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Другие вопросы в области жилищно-коммунального хозяйства (администрирование)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</si>
  <si>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</si>
  <si>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</si>
  <si>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Перегребное, Сергино)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</si>
  <si>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</si>
  <si>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</si>
  <si>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 xml:space="preserve">% исп-ия к плану на 1 полугодие 2015 года </t>
  </si>
  <si>
    <t>Отчет  об  исполнении  консолидированного  бюджета  района  по  расходам на 1 августа 2015 года</t>
  </si>
  <si>
    <t>исполнение на 01.08.2015</t>
  </si>
  <si>
    <t>исполнения на 01.08.2015</t>
  </si>
  <si>
    <t xml:space="preserve">Муниципальная  программа" Развитие транспортной  системы муниципального  образования Октябрьский  район на 2014-2016  годы" (дорога Андра-Октябрьское) (11.1.4210) </t>
  </si>
  <si>
    <t>И.о. заведующего отделом учета исполнения бюджета</t>
  </si>
  <si>
    <t>Мальгин С.В.</t>
  </si>
  <si>
    <t>И.о. заведующего отделом доходов</t>
  </si>
  <si>
    <t>Бакшеева Л.А.</t>
  </si>
  <si>
    <t>Отчет об исполнении консолидированного бюджета Октябрьского района по состоянию на 01.08.2015</t>
  </si>
  <si>
    <t>План                 на 9 месяцев 2015 года</t>
  </si>
  <si>
    <t>Исполнение на 01.08.2015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</si>
</sst>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2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4" xfId="53" applyNumberFormat="1" applyFont="1" applyFill="1" applyBorder="1" applyAlignment="1">
      <alignment horizontal="center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0" fontId="20" fillId="36" borderId="22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3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4" xfId="53" applyNumberFormat="1" applyFont="1" applyFill="1" applyBorder="1" applyAlignment="1">
      <alignment horizontal="center" vertical="center" wrapText="1"/>
      <protection/>
    </xf>
    <xf numFmtId="164" fontId="16" fillId="0" borderId="24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top" wrapText="1"/>
    </xf>
    <xf numFmtId="49" fontId="26" fillId="0" borderId="28" xfId="0" applyNumberFormat="1" applyFont="1" applyFill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center" vertical="top" wrapText="1"/>
    </xf>
    <xf numFmtId="44" fontId="26" fillId="0" borderId="21" xfId="42" applyFont="1" applyFill="1" applyBorder="1" applyAlignment="1">
      <alignment horizontal="center" vertical="top" wrapText="1"/>
    </xf>
    <xf numFmtId="44" fontId="26" fillId="0" borderId="28" xfId="42" applyFont="1" applyFill="1" applyBorder="1" applyAlignment="1">
      <alignment horizontal="center" vertical="top" wrapText="1"/>
    </xf>
    <xf numFmtId="44" fontId="26" fillId="0" borderId="29" xfId="42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0" t="s">
        <v>170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1" t="s">
        <v>98</v>
      </c>
      <c r="B3" s="193" t="s">
        <v>97</v>
      </c>
      <c r="C3" s="195" t="s">
        <v>113</v>
      </c>
      <c r="D3" s="195"/>
      <c r="E3" s="195"/>
      <c r="F3" s="196" t="s">
        <v>112</v>
      </c>
      <c r="G3" s="196"/>
      <c r="H3" s="196"/>
      <c r="I3" s="197" t="s">
        <v>111</v>
      </c>
      <c r="J3" s="197"/>
      <c r="K3" s="198"/>
    </row>
    <row r="4" spans="1:11" ht="12.75">
      <c r="A4" s="192"/>
      <c r="B4" s="194"/>
      <c r="C4" s="204" t="s">
        <v>78</v>
      </c>
      <c r="D4" s="204" t="s">
        <v>171</v>
      </c>
      <c r="E4" s="204" t="s">
        <v>77</v>
      </c>
      <c r="F4" s="204" t="s">
        <v>78</v>
      </c>
      <c r="G4" s="199" t="s">
        <v>171</v>
      </c>
      <c r="H4" s="199" t="s">
        <v>77</v>
      </c>
      <c r="I4" s="201" t="s">
        <v>78</v>
      </c>
      <c r="J4" s="203" t="s">
        <v>173</v>
      </c>
      <c r="K4" s="205" t="s">
        <v>77</v>
      </c>
    </row>
    <row r="5" spans="1:11" ht="19.5" customHeight="1">
      <c r="A5" s="192"/>
      <c r="B5" s="194"/>
      <c r="C5" s="200"/>
      <c r="D5" s="204"/>
      <c r="E5" s="209"/>
      <c r="F5" s="200"/>
      <c r="G5" s="199"/>
      <c r="H5" s="200"/>
      <c r="I5" s="202"/>
      <c r="J5" s="203"/>
      <c r="K5" s="206"/>
    </row>
    <row r="6" spans="1:11" ht="12.75">
      <c r="A6" s="192"/>
      <c r="B6" s="207" t="s">
        <v>0</v>
      </c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192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2"/>
      <c r="B8" s="207"/>
      <c r="C8" s="207"/>
      <c r="D8" s="207"/>
      <c r="E8" s="207"/>
      <c r="F8" s="207"/>
      <c r="G8" s="207"/>
      <c r="H8" s="207"/>
      <c r="I8" s="207"/>
      <c r="J8" s="207"/>
      <c r="K8" s="208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88" t="s">
        <v>20</v>
      </c>
      <c r="B20" s="189" t="s">
        <v>102</v>
      </c>
      <c r="C20" s="185">
        <f>C23+C24+C22</f>
        <v>25046.9</v>
      </c>
      <c r="D20" s="185">
        <f>D23+D24+D22</f>
        <v>0</v>
      </c>
      <c r="E20" s="185">
        <f>D20/C20*100</f>
        <v>0</v>
      </c>
      <c r="F20" s="185">
        <f>F23+F24+F22</f>
        <v>9535.5</v>
      </c>
      <c r="G20" s="185">
        <f>G23+G24+G22</f>
        <v>0</v>
      </c>
      <c r="H20" s="185">
        <f>G20/F20*100</f>
        <v>0</v>
      </c>
      <c r="I20" s="185">
        <f>I23+I24+I22</f>
        <v>32921.4</v>
      </c>
      <c r="J20" s="185">
        <f>SUM(J22:J24)</f>
        <v>0</v>
      </c>
      <c r="K20" s="185">
        <f>J20/I20*100</f>
        <v>0</v>
      </c>
    </row>
    <row r="21" spans="1:11" ht="12.75">
      <c r="A21" s="188"/>
      <c r="B21" s="189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6" t="s">
        <v>65</v>
      </c>
      <c r="B118" s="187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2" t="s">
        <v>124</v>
      </c>
      <c r="B124" s="182"/>
      <c r="C124" s="182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2" t="s">
        <v>125</v>
      </c>
      <c r="B125" s="182"/>
      <c r="C125" s="182"/>
      <c r="D125" s="42"/>
      <c r="E125" s="183" t="s">
        <v>66</v>
      </c>
      <c r="F125" s="183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2" t="s">
        <v>151</v>
      </c>
      <c r="B127" s="182"/>
      <c r="C127" s="182"/>
      <c r="D127" s="34"/>
      <c r="E127" s="183" t="s">
        <v>123</v>
      </c>
      <c r="F127" s="183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2" t="s">
        <v>154</v>
      </c>
      <c r="B129" s="182"/>
      <c r="C129" s="182"/>
      <c r="D129" s="34"/>
      <c r="E129" s="184" t="s">
        <v>155</v>
      </c>
      <c r="F129" s="184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199">
      <selection activeCell="A1" sqref="A1:Q220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26" t="s">
        <v>327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12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07"/>
      <c r="N2" s="107"/>
      <c r="O2" s="107"/>
      <c r="P2" s="107"/>
      <c r="Q2" s="107"/>
    </row>
    <row r="3" spans="1:17" ht="12.75">
      <c r="A3" s="149"/>
      <c r="B3" s="149"/>
      <c r="C3" s="150"/>
      <c r="D3" s="150"/>
      <c r="E3" s="150"/>
      <c r="F3" s="150"/>
      <c r="G3" s="150"/>
      <c r="H3" s="151"/>
      <c r="I3" s="151"/>
      <c r="J3" s="152" t="s">
        <v>209</v>
      </c>
      <c r="K3" s="151"/>
      <c r="L3" s="151"/>
      <c r="M3" s="107"/>
      <c r="N3" s="107"/>
      <c r="O3" s="107"/>
      <c r="P3" s="107"/>
      <c r="Q3" s="107"/>
    </row>
    <row r="4" spans="1:17" ht="12.75" customHeight="1">
      <c r="A4" s="153" t="s">
        <v>210</v>
      </c>
      <c r="B4" s="153"/>
      <c r="C4" s="154"/>
      <c r="D4" s="214" t="s">
        <v>297</v>
      </c>
      <c r="E4" s="214" t="s">
        <v>328</v>
      </c>
      <c r="F4" s="220" t="s">
        <v>211</v>
      </c>
      <c r="G4" s="220" t="s">
        <v>212</v>
      </c>
      <c r="H4" s="220" t="s">
        <v>213</v>
      </c>
      <c r="I4" s="220" t="s">
        <v>214</v>
      </c>
      <c r="J4" s="214" t="s">
        <v>329</v>
      </c>
      <c r="K4" s="214" t="s">
        <v>298</v>
      </c>
      <c r="L4" s="214" t="s">
        <v>299</v>
      </c>
      <c r="M4" s="214" t="s">
        <v>300</v>
      </c>
      <c r="N4" s="214" t="s">
        <v>301</v>
      </c>
      <c r="O4" s="214" t="s">
        <v>302</v>
      </c>
      <c r="P4" s="214" t="s">
        <v>318</v>
      </c>
      <c r="Q4" s="214" t="s">
        <v>303</v>
      </c>
    </row>
    <row r="5" spans="1:17" ht="12.75">
      <c r="A5" s="155" t="s">
        <v>215</v>
      </c>
      <c r="B5" s="155"/>
      <c r="C5" s="156" t="s">
        <v>216</v>
      </c>
      <c r="D5" s="215"/>
      <c r="E5" s="215"/>
      <c r="F5" s="221"/>
      <c r="G5" s="221"/>
      <c r="H5" s="221"/>
      <c r="I5" s="221"/>
      <c r="J5" s="215"/>
      <c r="K5" s="215"/>
      <c r="L5" s="215"/>
      <c r="M5" s="215"/>
      <c r="N5" s="215"/>
      <c r="O5" s="215"/>
      <c r="P5" s="215"/>
      <c r="Q5" s="215"/>
    </row>
    <row r="6" spans="1:17" ht="22.5" customHeight="1">
      <c r="A6" s="155"/>
      <c r="B6" s="155"/>
      <c r="C6" s="156"/>
      <c r="D6" s="216"/>
      <c r="E6" s="216"/>
      <c r="F6" s="222"/>
      <c r="G6" s="222"/>
      <c r="H6" s="222"/>
      <c r="I6" s="222"/>
      <c r="J6" s="216"/>
      <c r="K6" s="216"/>
      <c r="L6" s="216"/>
      <c r="M6" s="216"/>
      <c r="N6" s="216"/>
      <c r="O6" s="216"/>
      <c r="P6" s="216"/>
      <c r="Q6" s="216"/>
    </row>
    <row r="7" spans="1:17" ht="12.75">
      <c r="A7" s="219" t="s">
        <v>217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107"/>
      <c r="Q7" s="107"/>
    </row>
    <row r="8" spans="1:17" ht="12.75">
      <c r="A8" s="134" t="s">
        <v>218</v>
      </c>
      <c r="B8" s="134"/>
      <c r="C8" s="137" t="s">
        <v>219</v>
      </c>
      <c r="D8" s="157">
        <f aca="true" t="shared" si="0" ref="D8:J8">D9+D11+D12+D13+D15+D16+D18+D20+D14+D21+D17+D19+D10</f>
        <v>672493.2000000001</v>
      </c>
      <c r="E8" s="157">
        <f t="shared" si="0"/>
        <v>484891.70000000007</v>
      </c>
      <c r="F8" s="157">
        <f t="shared" si="0"/>
        <v>143308</v>
      </c>
      <c r="G8" s="157">
        <f t="shared" si="0"/>
        <v>188910.8</v>
      </c>
      <c r="H8" s="157">
        <f t="shared" si="0"/>
        <v>152672.90000000002</v>
      </c>
      <c r="I8" s="157">
        <f t="shared" si="0"/>
        <v>187601.50000000003</v>
      </c>
      <c r="J8" s="157">
        <f t="shared" si="0"/>
        <v>448771.6</v>
      </c>
      <c r="K8" s="157" t="e">
        <f>K9+K11+K12+K13+K15+K16+K18+K20+K14+K21+K17+K19</f>
        <v>#REF!</v>
      </c>
      <c r="L8" s="157">
        <f aca="true" t="shared" si="1" ref="L8:L20">J8/H8*100</f>
        <v>293.9431948957542</v>
      </c>
      <c r="M8" s="158"/>
      <c r="N8" s="158"/>
      <c r="O8" s="157">
        <f>J8*100/I8</f>
        <v>239.215358086156</v>
      </c>
      <c r="P8" s="157">
        <f>J8*100/E8</f>
        <v>92.55089332318947</v>
      </c>
      <c r="Q8" s="129">
        <f>J8*100/D8</f>
        <v>66.73251119862624</v>
      </c>
    </row>
    <row r="9" spans="1:17" ht="12.75">
      <c r="A9" s="112" t="s">
        <v>220</v>
      </c>
      <c r="B9" s="112"/>
      <c r="C9" s="130" t="s">
        <v>221</v>
      </c>
      <c r="D9" s="159">
        <f>F9+G9+H9+I9</f>
        <v>476065.50000000006</v>
      </c>
      <c r="E9" s="159">
        <f>F9+G9+H9</f>
        <v>345397.30000000005</v>
      </c>
      <c r="F9" s="159">
        <v>109857.7</v>
      </c>
      <c r="G9" s="159">
        <v>126159.5</v>
      </c>
      <c r="H9" s="160">
        <v>109380.1</v>
      </c>
      <c r="I9" s="161">
        <v>130668.2</v>
      </c>
      <c r="J9" s="161">
        <v>287126.4</v>
      </c>
      <c r="K9" s="160" t="e">
        <f>J9/#REF!*100</f>
        <v>#REF!</v>
      </c>
      <c r="L9" s="160">
        <f t="shared" si="1"/>
        <v>262.50332555921966</v>
      </c>
      <c r="M9" s="162"/>
      <c r="N9" s="162"/>
      <c r="O9" s="160">
        <f aca="true" t="shared" si="2" ref="O9:O77">J9*100/I9</f>
        <v>219.7370132901502</v>
      </c>
      <c r="P9" s="160">
        <f aca="true" t="shared" si="3" ref="P9:P74">J9*100/E9</f>
        <v>83.12931224418952</v>
      </c>
      <c r="Q9" s="161">
        <f aca="true" t="shared" si="4" ref="Q9:Q74">J9*100/D9</f>
        <v>60.312372982289205</v>
      </c>
    </row>
    <row r="10" spans="1:17" ht="12.75">
      <c r="A10" s="112" t="s">
        <v>222</v>
      </c>
      <c r="B10" s="112"/>
      <c r="C10" s="111" t="s">
        <v>223</v>
      </c>
      <c r="D10" s="163">
        <f aca="true" t="shared" si="5" ref="D10:D26">F10+G10+H10+I10</f>
        <v>33926</v>
      </c>
      <c r="E10" s="159">
        <f aca="true" t="shared" si="6" ref="E10:E21">F10+G10+H10</f>
        <v>25444.5</v>
      </c>
      <c r="F10" s="163">
        <v>8482</v>
      </c>
      <c r="G10" s="163">
        <v>8481.3</v>
      </c>
      <c r="H10" s="164">
        <v>8481.2</v>
      </c>
      <c r="I10" s="165">
        <v>8481.5</v>
      </c>
      <c r="J10" s="165">
        <v>21371.5</v>
      </c>
      <c r="K10" s="160"/>
      <c r="L10" s="160"/>
      <c r="M10" s="162"/>
      <c r="N10" s="162"/>
      <c r="O10" s="164"/>
      <c r="P10" s="160">
        <f t="shared" si="3"/>
        <v>83.99261136984417</v>
      </c>
      <c r="Q10" s="165">
        <f t="shared" si="4"/>
        <v>62.99445852738313</v>
      </c>
    </row>
    <row r="11" spans="1:17" ht="12.75">
      <c r="A11" s="112" t="s">
        <v>224</v>
      </c>
      <c r="B11" s="112"/>
      <c r="C11" s="111" t="s">
        <v>225</v>
      </c>
      <c r="D11" s="163">
        <f t="shared" si="5"/>
        <v>33870</v>
      </c>
      <c r="E11" s="159">
        <f t="shared" si="6"/>
        <v>26033.5</v>
      </c>
      <c r="F11" s="163">
        <v>7827.2</v>
      </c>
      <c r="G11" s="163">
        <v>10329.6</v>
      </c>
      <c r="H11" s="164">
        <v>7876.7</v>
      </c>
      <c r="I11" s="165">
        <v>7836.5</v>
      </c>
      <c r="J11" s="165">
        <v>28066.1</v>
      </c>
      <c r="K11" s="160" t="e">
        <f>J11/#REF!*100</f>
        <v>#REF!</v>
      </c>
      <c r="L11" s="160">
        <f t="shared" si="1"/>
        <v>356.3180011933932</v>
      </c>
      <c r="M11" s="162"/>
      <c r="N11" s="162"/>
      <c r="O11" s="164">
        <f t="shared" si="2"/>
        <v>358.14585593058126</v>
      </c>
      <c r="P11" s="160">
        <f t="shared" si="3"/>
        <v>107.8076324735437</v>
      </c>
      <c r="Q11" s="165">
        <f t="shared" si="4"/>
        <v>82.8641865958075</v>
      </c>
    </row>
    <row r="12" spans="1:17" ht="12.75">
      <c r="A12" s="112" t="s">
        <v>226</v>
      </c>
      <c r="B12" s="112"/>
      <c r="C12" s="111" t="s">
        <v>227</v>
      </c>
      <c r="D12" s="163">
        <f t="shared" si="5"/>
        <v>3359</v>
      </c>
      <c r="E12" s="159">
        <f t="shared" si="6"/>
        <v>2584</v>
      </c>
      <c r="F12" s="163">
        <v>934</v>
      </c>
      <c r="G12" s="163">
        <v>875</v>
      </c>
      <c r="H12" s="164">
        <v>775</v>
      </c>
      <c r="I12" s="165">
        <v>775</v>
      </c>
      <c r="J12" s="165">
        <v>2503.8</v>
      </c>
      <c r="K12" s="160" t="e">
        <f>J12/#REF!*100</f>
        <v>#REF!</v>
      </c>
      <c r="L12" s="160">
        <f t="shared" si="1"/>
        <v>323.0709677419355</v>
      </c>
      <c r="M12" s="162"/>
      <c r="N12" s="162"/>
      <c r="O12" s="164">
        <f t="shared" si="2"/>
        <v>323.07096774193553</v>
      </c>
      <c r="P12" s="160">
        <f t="shared" si="3"/>
        <v>96.89628482972137</v>
      </c>
      <c r="Q12" s="165">
        <f t="shared" si="4"/>
        <v>74.54004167907117</v>
      </c>
    </row>
    <row r="13" spans="1:17" ht="12.75">
      <c r="A13" s="112" t="s">
        <v>228</v>
      </c>
      <c r="B13" s="112"/>
      <c r="C13" s="111" t="s">
        <v>229</v>
      </c>
      <c r="D13" s="163">
        <f t="shared" si="5"/>
        <v>2119</v>
      </c>
      <c r="E13" s="159">
        <f t="shared" si="6"/>
        <v>1664</v>
      </c>
      <c r="F13" s="163">
        <v>453</v>
      </c>
      <c r="G13" s="163">
        <f>456+300</f>
        <v>756</v>
      </c>
      <c r="H13" s="164">
        <v>455</v>
      </c>
      <c r="I13" s="165">
        <v>455</v>
      </c>
      <c r="J13" s="165">
        <v>2213.3</v>
      </c>
      <c r="K13" s="160" t="e">
        <f>J13/#REF!*100</f>
        <v>#REF!</v>
      </c>
      <c r="L13" s="160">
        <f t="shared" si="1"/>
        <v>486.43956043956047</v>
      </c>
      <c r="M13" s="162"/>
      <c r="N13" s="162"/>
      <c r="O13" s="164">
        <f t="shared" si="2"/>
        <v>486.4395604395605</v>
      </c>
      <c r="P13" s="160">
        <f t="shared" si="3"/>
        <v>133.01081730769232</v>
      </c>
      <c r="Q13" s="165">
        <f t="shared" si="4"/>
        <v>104.45021236432281</v>
      </c>
    </row>
    <row r="14" spans="1:17" ht="24">
      <c r="A14" s="112" t="s">
        <v>230</v>
      </c>
      <c r="B14" s="112"/>
      <c r="C14" s="111" t="s">
        <v>231</v>
      </c>
      <c r="D14" s="163">
        <f t="shared" si="5"/>
        <v>0</v>
      </c>
      <c r="E14" s="159">
        <f t="shared" si="6"/>
        <v>0</v>
      </c>
      <c r="F14" s="163"/>
      <c r="G14" s="163"/>
      <c r="H14" s="164"/>
      <c r="I14" s="165"/>
      <c r="J14" s="165"/>
      <c r="K14" s="160" t="e">
        <f>J14/#REF!*100</f>
        <v>#REF!</v>
      </c>
      <c r="L14" s="160"/>
      <c r="M14" s="162"/>
      <c r="N14" s="162"/>
      <c r="O14" s="164" t="e">
        <f t="shared" si="2"/>
        <v>#DIV/0!</v>
      </c>
      <c r="P14" s="160"/>
      <c r="Q14" s="165"/>
    </row>
    <row r="15" spans="1:17" ht="24">
      <c r="A15" s="113" t="s">
        <v>232</v>
      </c>
      <c r="B15" s="113"/>
      <c r="C15" s="111" t="s">
        <v>233</v>
      </c>
      <c r="D15" s="163">
        <f>F15+G15+H15+I15</f>
        <v>77105.8</v>
      </c>
      <c r="E15" s="159">
        <f t="shared" si="6"/>
        <v>48285.200000000004</v>
      </c>
      <c r="F15" s="163">
        <f>5684.1+2202.5</f>
        <v>7886.6</v>
      </c>
      <c r="G15" s="163">
        <f>18446.4+3157.3</f>
        <v>21603.7</v>
      </c>
      <c r="H15" s="164">
        <v>18794.9</v>
      </c>
      <c r="I15" s="165">
        <v>28820.6</v>
      </c>
      <c r="J15" s="165">
        <v>66511.1</v>
      </c>
      <c r="K15" s="160" t="e">
        <f>J15/#REF!*100</f>
        <v>#REF!</v>
      </c>
      <c r="L15" s="160">
        <f t="shared" si="1"/>
        <v>353.8784457485807</v>
      </c>
      <c r="M15" s="162"/>
      <c r="N15" s="162"/>
      <c r="O15" s="164">
        <f t="shared" si="2"/>
        <v>230.77625032095102</v>
      </c>
      <c r="P15" s="160">
        <f t="shared" si="3"/>
        <v>137.7463487776793</v>
      </c>
      <c r="Q15" s="165">
        <f t="shared" si="4"/>
        <v>86.25952911454132</v>
      </c>
    </row>
    <row r="16" spans="1:17" ht="12.75">
      <c r="A16" s="114" t="s">
        <v>234</v>
      </c>
      <c r="B16" s="114"/>
      <c r="C16" s="111" t="s">
        <v>235</v>
      </c>
      <c r="D16" s="163">
        <f t="shared" si="5"/>
        <v>17599.3</v>
      </c>
      <c r="E16" s="159">
        <f t="shared" si="6"/>
        <v>15298.7</v>
      </c>
      <c r="F16" s="163">
        <f>2300.6</f>
        <v>2300.6</v>
      </c>
      <c r="G16" s="163">
        <f>2300.6+8396.9</f>
        <v>10697.5</v>
      </c>
      <c r="H16" s="164">
        <v>2300.6</v>
      </c>
      <c r="I16" s="165">
        <v>2300.6</v>
      </c>
      <c r="J16" s="165">
        <v>18683</v>
      </c>
      <c r="K16" s="160" t="e">
        <f>J16/#REF!*100</f>
        <v>#REF!</v>
      </c>
      <c r="L16" s="160">
        <f t="shared" si="1"/>
        <v>812.0924976093193</v>
      </c>
      <c r="M16" s="162"/>
      <c r="N16" s="162"/>
      <c r="O16" s="164">
        <f t="shared" si="2"/>
        <v>812.0924976093194</v>
      </c>
      <c r="P16" s="160">
        <f t="shared" si="3"/>
        <v>122.12148744664579</v>
      </c>
      <c r="Q16" s="165">
        <f t="shared" si="4"/>
        <v>106.1576312694255</v>
      </c>
    </row>
    <row r="17" spans="1:17" ht="24">
      <c r="A17" s="115" t="s">
        <v>236</v>
      </c>
      <c r="B17" s="115"/>
      <c r="C17" s="111" t="s">
        <v>237</v>
      </c>
      <c r="D17" s="163">
        <f t="shared" si="5"/>
        <v>7001</v>
      </c>
      <c r="E17" s="159">
        <f t="shared" si="6"/>
        <v>4808.5</v>
      </c>
      <c r="F17" s="163">
        <v>1619.5</v>
      </c>
      <c r="G17" s="163">
        <v>1669.5</v>
      </c>
      <c r="H17" s="164">
        <v>1519.5</v>
      </c>
      <c r="I17" s="165">
        <v>2192.5</v>
      </c>
      <c r="J17" s="165">
        <v>5768.4</v>
      </c>
      <c r="K17" s="160" t="e">
        <f>J17/#REF!*100</f>
        <v>#REF!</v>
      </c>
      <c r="L17" s="160">
        <f t="shared" si="1"/>
        <v>379.6248766041461</v>
      </c>
      <c r="M17" s="162"/>
      <c r="N17" s="162"/>
      <c r="O17" s="164">
        <f t="shared" si="2"/>
        <v>263.096921322691</v>
      </c>
      <c r="P17" s="160">
        <f t="shared" si="3"/>
        <v>119.96256628886347</v>
      </c>
      <c r="Q17" s="165">
        <f t="shared" si="4"/>
        <v>82.39394372232539</v>
      </c>
    </row>
    <row r="18" spans="1:17" ht="24">
      <c r="A18" s="115" t="s">
        <v>238</v>
      </c>
      <c r="B18" s="115"/>
      <c r="C18" s="111" t="s">
        <v>239</v>
      </c>
      <c r="D18" s="163">
        <f t="shared" si="5"/>
        <v>20019.1</v>
      </c>
      <c r="E18" s="159">
        <f t="shared" si="6"/>
        <v>14246.099999999999</v>
      </c>
      <c r="F18" s="163">
        <v>3517</v>
      </c>
      <c r="G18" s="163">
        <v>7921.8</v>
      </c>
      <c r="H18" s="164">
        <v>2807.3</v>
      </c>
      <c r="I18" s="165">
        <v>5773</v>
      </c>
      <c r="J18" s="165">
        <v>13714.1</v>
      </c>
      <c r="K18" s="160" t="e">
        <f>J18/#REF!*100</f>
        <v>#REF!</v>
      </c>
      <c r="L18" s="160">
        <f t="shared" si="1"/>
        <v>488.51565561215403</v>
      </c>
      <c r="M18" s="162"/>
      <c r="N18" s="162"/>
      <c r="O18" s="164">
        <f t="shared" si="2"/>
        <v>237.5558635025117</v>
      </c>
      <c r="P18" s="160">
        <f t="shared" si="3"/>
        <v>96.26564463256612</v>
      </c>
      <c r="Q18" s="165">
        <f t="shared" si="4"/>
        <v>68.50507765084345</v>
      </c>
    </row>
    <row r="19" spans="1:17" ht="12.75">
      <c r="A19" s="115" t="s">
        <v>240</v>
      </c>
      <c r="B19" s="115"/>
      <c r="C19" s="111" t="s">
        <v>241</v>
      </c>
      <c r="D19" s="163">
        <f t="shared" si="5"/>
        <v>7</v>
      </c>
      <c r="E19" s="159">
        <f t="shared" si="6"/>
        <v>4</v>
      </c>
      <c r="F19" s="163">
        <v>2</v>
      </c>
      <c r="G19" s="163">
        <v>1</v>
      </c>
      <c r="H19" s="164">
        <v>1</v>
      </c>
      <c r="I19" s="165">
        <v>3</v>
      </c>
      <c r="J19" s="165">
        <v>2.2</v>
      </c>
      <c r="K19" s="160" t="e">
        <f>J19/#REF!*100</f>
        <v>#REF!</v>
      </c>
      <c r="L19" s="160">
        <f t="shared" si="1"/>
        <v>220.00000000000003</v>
      </c>
      <c r="M19" s="162"/>
      <c r="N19" s="162"/>
      <c r="O19" s="164">
        <f t="shared" si="2"/>
        <v>73.33333333333334</v>
      </c>
      <c r="P19" s="160">
        <f t="shared" si="3"/>
        <v>55.00000000000001</v>
      </c>
      <c r="Q19" s="165">
        <f t="shared" si="4"/>
        <v>31.428571428571434</v>
      </c>
    </row>
    <row r="20" spans="1:17" ht="12.75">
      <c r="A20" s="110" t="s">
        <v>242</v>
      </c>
      <c r="B20" s="110"/>
      <c r="C20" s="111" t="s">
        <v>243</v>
      </c>
      <c r="D20" s="163">
        <f t="shared" si="5"/>
        <v>1421.5</v>
      </c>
      <c r="E20" s="159">
        <f t="shared" si="6"/>
        <v>1125.9</v>
      </c>
      <c r="F20" s="163">
        <v>428.4</v>
      </c>
      <c r="G20" s="163">
        <v>415.9</v>
      </c>
      <c r="H20" s="164">
        <v>281.6</v>
      </c>
      <c r="I20" s="165">
        <v>295.6</v>
      </c>
      <c r="J20" s="165">
        <v>2971.7</v>
      </c>
      <c r="K20" s="160" t="e">
        <f>J20/#REF!*100</f>
        <v>#REF!</v>
      </c>
      <c r="L20" s="160">
        <f t="shared" si="1"/>
        <v>1055.291193181818</v>
      </c>
      <c r="M20" s="162"/>
      <c r="N20" s="162"/>
      <c r="O20" s="164">
        <f t="shared" si="2"/>
        <v>1005.3112313937753</v>
      </c>
      <c r="P20" s="160">
        <f t="shared" si="3"/>
        <v>263.93995914379605</v>
      </c>
      <c r="Q20" s="165">
        <f t="shared" si="4"/>
        <v>209.05381639113614</v>
      </c>
    </row>
    <row r="21" spans="1:17" ht="12.75">
      <c r="A21" s="116" t="s">
        <v>244</v>
      </c>
      <c r="B21" s="117"/>
      <c r="C21" s="118" t="s">
        <v>245</v>
      </c>
      <c r="D21" s="163">
        <f t="shared" si="5"/>
        <v>0</v>
      </c>
      <c r="E21" s="159">
        <f t="shared" si="6"/>
        <v>0</v>
      </c>
      <c r="F21" s="163"/>
      <c r="G21" s="163"/>
      <c r="H21" s="164"/>
      <c r="I21" s="165"/>
      <c r="J21" s="165">
        <v>-160</v>
      </c>
      <c r="K21" s="160"/>
      <c r="L21" s="160"/>
      <c r="M21" s="162"/>
      <c r="N21" s="162"/>
      <c r="O21" s="164"/>
      <c r="P21" s="160"/>
      <c r="Q21" s="165"/>
    </row>
    <row r="22" spans="1:17" ht="12.75">
      <c r="A22" s="108" t="s">
        <v>246</v>
      </c>
      <c r="B22" s="108"/>
      <c r="C22" s="119" t="s">
        <v>247</v>
      </c>
      <c r="D22" s="166">
        <f aca="true" t="shared" si="7" ref="D22:J22">D23+D24+D26+D25</f>
        <v>3160060.1</v>
      </c>
      <c r="E22" s="166">
        <f>E23+E24+E26+E25</f>
        <v>2363670.4</v>
      </c>
      <c r="F22" s="166">
        <f t="shared" si="7"/>
        <v>669271</v>
      </c>
      <c r="G22" s="166">
        <f t="shared" si="7"/>
        <v>825332.3999999999</v>
      </c>
      <c r="H22" s="166">
        <f t="shared" si="7"/>
        <v>869067</v>
      </c>
      <c r="I22" s="166">
        <f t="shared" si="7"/>
        <v>796389.7</v>
      </c>
      <c r="J22" s="166">
        <f t="shared" si="7"/>
        <v>1810890.5999999999</v>
      </c>
      <c r="K22" s="128" t="e">
        <f>J22/#REF!*100</f>
        <v>#REF!</v>
      </c>
      <c r="L22" s="128">
        <f aca="true" t="shared" si="8" ref="L22:L27">J22/H22*100</f>
        <v>208.37180562603345</v>
      </c>
      <c r="M22" s="162"/>
      <c r="N22" s="162"/>
      <c r="O22" s="157">
        <f t="shared" si="2"/>
        <v>227.3874963475796</v>
      </c>
      <c r="P22" s="128">
        <f t="shared" si="3"/>
        <v>76.61349907330566</v>
      </c>
      <c r="Q22" s="129">
        <f t="shared" si="4"/>
        <v>57.3055746629629</v>
      </c>
    </row>
    <row r="23" spans="1:17" ht="24">
      <c r="A23" s="120" t="s">
        <v>248</v>
      </c>
      <c r="B23" s="112"/>
      <c r="C23" s="121" t="s">
        <v>249</v>
      </c>
      <c r="D23" s="163">
        <f t="shared" si="5"/>
        <v>3118088</v>
      </c>
      <c r="E23" s="159">
        <f>F23+G23+H23</f>
        <v>2331698.3</v>
      </c>
      <c r="F23" s="163">
        <v>668686.1</v>
      </c>
      <c r="G23" s="163">
        <f>782056.7+370.6+18977.9+250.1+2889.9</f>
        <v>804545.2</v>
      </c>
      <c r="H23" s="165">
        <f>599504.1+258962.9</f>
        <v>858467</v>
      </c>
      <c r="I23" s="165">
        <v>786389.7</v>
      </c>
      <c r="J23" s="165">
        <v>1790579.4</v>
      </c>
      <c r="K23" s="160" t="e">
        <f>J23/#REF!*100</f>
        <v>#REF!</v>
      </c>
      <c r="L23" s="160">
        <f t="shared" si="8"/>
        <v>208.57871065515621</v>
      </c>
      <c r="M23" s="162"/>
      <c r="N23" s="162"/>
      <c r="O23" s="164">
        <f t="shared" si="2"/>
        <v>227.6961918499187</v>
      </c>
      <c r="P23" s="160">
        <f t="shared" si="3"/>
        <v>76.79292814168969</v>
      </c>
      <c r="Q23" s="165">
        <f t="shared" si="4"/>
        <v>57.42555694387073</v>
      </c>
    </row>
    <row r="24" spans="1:17" ht="12.75">
      <c r="A24" s="120" t="s">
        <v>250</v>
      </c>
      <c r="B24" s="120"/>
      <c r="C24" s="122" t="s">
        <v>251</v>
      </c>
      <c r="D24" s="163">
        <f t="shared" si="5"/>
        <v>52000</v>
      </c>
      <c r="E24" s="159">
        <f>F24+G24+H24</f>
        <v>42000</v>
      </c>
      <c r="F24" s="167">
        <v>8800</v>
      </c>
      <c r="G24" s="167">
        <v>22600</v>
      </c>
      <c r="H24" s="165">
        <v>10600</v>
      </c>
      <c r="I24" s="165">
        <v>10000</v>
      </c>
      <c r="J24" s="165">
        <v>37182.4</v>
      </c>
      <c r="K24" s="160" t="e">
        <f>J24/#REF!*100</f>
        <v>#REF!</v>
      </c>
      <c r="L24" s="160">
        <f t="shared" si="8"/>
        <v>350.7773584905661</v>
      </c>
      <c r="M24" s="162"/>
      <c r="N24" s="162"/>
      <c r="O24" s="164">
        <f t="shared" si="2"/>
        <v>371.824</v>
      </c>
      <c r="P24" s="160">
        <f t="shared" si="3"/>
        <v>88.52952380952381</v>
      </c>
      <c r="Q24" s="165">
        <f t="shared" si="4"/>
        <v>71.50461538461539</v>
      </c>
    </row>
    <row r="25" spans="1:17" ht="70.5" customHeight="1">
      <c r="A25" s="120" t="s">
        <v>252</v>
      </c>
      <c r="B25" s="123" t="s">
        <v>253</v>
      </c>
      <c r="C25" s="118" t="s">
        <v>253</v>
      </c>
      <c r="D25" s="163">
        <f t="shared" si="5"/>
        <v>0</v>
      </c>
      <c r="E25" s="159">
        <f>F25+G25+H25</f>
        <v>0</v>
      </c>
      <c r="F25" s="163"/>
      <c r="G25" s="163"/>
      <c r="H25" s="165"/>
      <c r="I25" s="165"/>
      <c r="J25" s="165"/>
      <c r="K25" s="160" t="e">
        <f>J25/#REF!*100</f>
        <v>#REF!</v>
      </c>
      <c r="L25" s="160"/>
      <c r="M25" s="162"/>
      <c r="N25" s="162"/>
      <c r="O25" s="164" t="e">
        <f t="shared" si="2"/>
        <v>#DIV/0!</v>
      </c>
      <c r="P25" s="160" t="e">
        <f>J25*100/E25</f>
        <v>#DIV/0!</v>
      </c>
      <c r="Q25" s="165" t="e">
        <f>J25*100/D25</f>
        <v>#DIV/0!</v>
      </c>
    </row>
    <row r="26" spans="1:17" ht="36">
      <c r="A26" s="120" t="s">
        <v>254</v>
      </c>
      <c r="B26" s="124"/>
      <c r="C26" s="125" t="s">
        <v>255</v>
      </c>
      <c r="D26" s="163">
        <f t="shared" si="5"/>
        <v>-10027.9</v>
      </c>
      <c r="E26" s="159">
        <f>F26+G26+H26</f>
        <v>-10027.9</v>
      </c>
      <c r="F26" s="168">
        <v>-8215.1</v>
      </c>
      <c r="G26" s="168">
        <v>-1812.8</v>
      </c>
      <c r="H26" s="165"/>
      <c r="I26" s="165"/>
      <c r="J26" s="165">
        <v>-16871.2</v>
      </c>
      <c r="K26" s="160" t="e">
        <f>J26/#REF!*100</f>
        <v>#REF!</v>
      </c>
      <c r="L26" s="160"/>
      <c r="M26" s="162"/>
      <c r="N26" s="162"/>
      <c r="O26" s="164" t="e">
        <f t="shared" si="2"/>
        <v>#DIV/0!</v>
      </c>
      <c r="P26" s="160">
        <f>J26*100/E26</f>
        <v>168.24260313724707</v>
      </c>
      <c r="Q26" s="165">
        <f>J26*100/D26</f>
        <v>168.24260313724707</v>
      </c>
    </row>
    <row r="27" spans="1:17" ht="12.75">
      <c r="A27" s="110"/>
      <c r="B27" s="126"/>
      <c r="C27" s="127" t="s">
        <v>256</v>
      </c>
      <c r="D27" s="129">
        <f aca="true" t="shared" si="9" ref="D27:J27">D22+D8</f>
        <v>3832553.3000000003</v>
      </c>
      <c r="E27" s="129">
        <f t="shared" si="9"/>
        <v>2848562.1</v>
      </c>
      <c r="F27" s="129">
        <f t="shared" si="9"/>
        <v>812579</v>
      </c>
      <c r="G27" s="129">
        <f t="shared" si="9"/>
        <v>1014243.2</v>
      </c>
      <c r="H27" s="129">
        <f t="shared" si="9"/>
        <v>1021739.9</v>
      </c>
      <c r="I27" s="129">
        <f t="shared" si="9"/>
        <v>983991.2</v>
      </c>
      <c r="J27" s="129">
        <f t="shared" si="9"/>
        <v>2259662.1999999997</v>
      </c>
      <c r="K27" s="128" t="e">
        <f>J27/#REF!*100</f>
        <v>#REF!</v>
      </c>
      <c r="L27" s="128">
        <f t="shared" si="8"/>
        <v>221.158261510586</v>
      </c>
      <c r="M27" s="162"/>
      <c r="N27" s="169" t="e">
        <f>I27+#REF!+#REF!</f>
        <v>#REF!</v>
      </c>
      <c r="O27" s="157">
        <f t="shared" si="2"/>
        <v>229.64252119327895</v>
      </c>
      <c r="P27" s="128">
        <f t="shared" si="3"/>
        <v>79.32641524648523</v>
      </c>
      <c r="Q27" s="129">
        <f t="shared" si="4"/>
        <v>58.959707096571876</v>
      </c>
    </row>
    <row r="28" spans="1:17" ht="12.75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162"/>
      <c r="N28" s="162"/>
      <c r="O28" s="170"/>
      <c r="P28" s="128"/>
      <c r="Q28" s="129"/>
    </row>
    <row r="29" spans="1:17" ht="12.75">
      <c r="A29" s="213" t="s">
        <v>257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128"/>
      <c r="Q29" s="129"/>
    </row>
    <row r="30" spans="1:17" ht="12.75">
      <c r="A30" s="108" t="s">
        <v>218</v>
      </c>
      <c r="B30" s="108"/>
      <c r="C30" s="109" t="s">
        <v>219</v>
      </c>
      <c r="D30" s="128">
        <f aca="true" t="shared" si="10" ref="D30:I30">D31+D32+D34+D36+D33+D35+D38</f>
        <v>16146.5</v>
      </c>
      <c r="E30" s="128">
        <f>E31+E32+E34+E36+E33+E35+E38</f>
        <v>12109.8</v>
      </c>
      <c r="F30" s="128">
        <f t="shared" si="10"/>
        <v>4036.6</v>
      </c>
      <c r="G30" s="128">
        <f t="shared" si="10"/>
        <v>4036.6</v>
      </c>
      <c r="H30" s="128">
        <f t="shared" si="10"/>
        <v>4036.6</v>
      </c>
      <c r="I30" s="128">
        <f t="shared" si="10"/>
        <v>4036.7</v>
      </c>
      <c r="J30" s="128">
        <f>J31+J32+J34+J36+J33+J35+J38+J37</f>
        <v>8604.6</v>
      </c>
      <c r="K30" s="128" t="e">
        <f>J30/#REF!*100</f>
        <v>#REF!</v>
      </c>
      <c r="L30" s="128">
        <f aca="true" t="shared" si="11" ref="L30:L37">J30/H30*100</f>
        <v>213.1645444185701</v>
      </c>
      <c r="M30" s="162"/>
      <c r="N30" s="162"/>
      <c r="O30" s="128">
        <f t="shared" si="2"/>
        <v>213.15926375504745</v>
      </c>
      <c r="P30" s="128">
        <f t="shared" si="3"/>
        <v>71.05484813952337</v>
      </c>
      <c r="Q30" s="129">
        <f t="shared" si="4"/>
        <v>53.29080605704023</v>
      </c>
    </row>
    <row r="31" spans="1:17" ht="12.75">
      <c r="A31" s="112" t="s">
        <v>220</v>
      </c>
      <c r="B31" s="112"/>
      <c r="C31" s="130" t="s">
        <v>221</v>
      </c>
      <c r="D31" s="163">
        <f aca="true" t="shared" si="12" ref="D31:D36">F31+G31+H31+I31</f>
        <v>14100</v>
      </c>
      <c r="E31" s="159">
        <f>F31+G31+H31</f>
        <v>10575</v>
      </c>
      <c r="F31" s="159">
        <v>3525</v>
      </c>
      <c r="G31" s="159">
        <v>3525</v>
      </c>
      <c r="H31" s="164">
        <v>3525</v>
      </c>
      <c r="I31" s="165">
        <v>3525</v>
      </c>
      <c r="J31" s="161">
        <v>7201</v>
      </c>
      <c r="K31" s="160" t="e">
        <f>J31/#REF!*100</f>
        <v>#REF!</v>
      </c>
      <c r="L31" s="160">
        <f t="shared" si="11"/>
        <v>204.2836879432624</v>
      </c>
      <c r="M31" s="162"/>
      <c r="N31" s="162"/>
      <c r="O31" s="164">
        <f t="shared" si="2"/>
        <v>204.2836879432624</v>
      </c>
      <c r="P31" s="160">
        <f>J31*100/E31</f>
        <v>68.09456264775413</v>
      </c>
      <c r="Q31" s="165">
        <f t="shared" si="4"/>
        <v>51.0709219858156</v>
      </c>
    </row>
    <row r="32" spans="1:17" ht="12.75">
      <c r="A32" s="112" t="s">
        <v>226</v>
      </c>
      <c r="B32" s="112"/>
      <c r="C32" s="111" t="s">
        <v>227</v>
      </c>
      <c r="D32" s="163">
        <f t="shared" si="12"/>
        <v>290</v>
      </c>
      <c r="E32" s="159">
        <f aca="true" t="shared" si="13" ref="E32:E38">F32+G32+H32</f>
        <v>217.5</v>
      </c>
      <c r="F32" s="163">
        <v>72.5</v>
      </c>
      <c r="G32" s="163">
        <v>72.5</v>
      </c>
      <c r="H32" s="164">
        <v>72.5</v>
      </c>
      <c r="I32" s="165">
        <v>72.5</v>
      </c>
      <c r="J32" s="165">
        <v>120.5</v>
      </c>
      <c r="K32" s="160" t="e">
        <f>J32/#REF!*100</f>
        <v>#REF!</v>
      </c>
      <c r="L32" s="160">
        <f t="shared" si="11"/>
        <v>166.20689655172413</v>
      </c>
      <c r="M32" s="162"/>
      <c r="N32" s="162"/>
      <c r="O32" s="164">
        <f t="shared" si="2"/>
        <v>166.20689655172413</v>
      </c>
      <c r="P32" s="160">
        <f t="shared" si="3"/>
        <v>55.40229885057471</v>
      </c>
      <c r="Q32" s="165">
        <f t="shared" si="4"/>
        <v>41.55172413793103</v>
      </c>
    </row>
    <row r="33" spans="1:17" ht="12.75">
      <c r="A33" s="112" t="s">
        <v>228</v>
      </c>
      <c r="B33" s="112"/>
      <c r="C33" s="111" t="s">
        <v>229</v>
      </c>
      <c r="D33" s="163">
        <f t="shared" si="12"/>
        <v>24</v>
      </c>
      <c r="E33" s="159">
        <f t="shared" si="13"/>
        <v>18</v>
      </c>
      <c r="F33" s="163">
        <v>6</v>
      </c>
      <c r="G33" s="163">
        <v>6</v>
      </c>
      <c r="H33" s="164">
        <v>6</v>
      </c>
      <c r="I33" s="165">
        <v>6</v>
      </c>
      <c r="J33" s="165">
        <v>17.2</v>
      </c>
      <c r="K33" s="160" t="e">
        <f>J33/#REF!*100</f>
        <v>#REF!</v>
      </c>
      <c r="L33" s="160">
        <f t="shared" si="11"/>
        <v>286.6666666666667</v>
      </c>
      <c r="M33" s="162"/>
      <c r="N33" s="162"/>
      <c r="O33" s="164">
        <f t="shared" si="2"/>
        <v>286.6666666666667</v>
      </c>
      <c r="P33" s="160">
        <f t="shared" si="3"/>
        <v>95.55555555555556</v>
      </c>
      <c r="Q33" s="165">
        <f t="shared" si="4"/>
        <v>71.66666666666667</v>
      </c>
    </row>
    <row r="34" spans="1:17" ht="24">
      <c r="A34" s="113" t="s">
        <v>232</v>
      </c>
      <c r="B34" s="113"/>
      <c r="C34" s="111" t="s">
        <v>233</v>
      </c>
      <c r="D34" s="163">
        <f t="shared" si="12"/>
        <v>1670</v>
      </c>
      <c r="E34" s="159">
        <f t="shared" si="13"/>
        <v>1252.5</v>
      </c>
      <c r="F34" s="163">
        <v>417.5</v>
      </c>
      <c r="G34" s="163">
        <v>417.5</v>
      </c>
      <c r="H34" s="164">
        <v>417.5</v>
      </c>
      <c r="I34" s="165">
        <v>417.5</v>
      </c>
      <c r="J34" s="165">
        <v>1161.6</v>
      </c>
      <c r="K34" s="160" t="e">
        <f>J34/#REF!*100</f>
        <v>#REF!</v>
      </c>
      <c r="L34" s="160">
        <f t="shared" si="11"/>
        <v>278.22754491017963</v>
      </c>
      <c r="M34" s="162"/>
      <c r="N34" s="162"/>
      <c r="O34" s="164">
        <f t="shared" si="2"/>
        <v>278.22754491017963</v>
      </c>
      <c r="P34" s="160">
        <f t="shared" si="3"/>
        <v>92.74251497005987</v>
      </c>
      <c r="Q34" s="165">
        <f t="shared" si="4"/>
        <v>69.55688622754491</v>
      </c>
    </row>
    <row r="35" spans="1:17" ht="24">
      <c r="A35" s="115" t="s">
        <v>236</v>
      </c>
      <c r="B35" s="115"/>
      <c r="C35" s="111" t="s">
        <v>237</v>
      </c>
      <c r="D35" s="163">
        <f t="shared" si="12"/>
        <v>0</v>
      </c>
      <c r="E35" s="159">
        <f t="shared" si="13"/>
        <v>0</v>
      </c>
      <c r="F35" s="163"/>
      <c r="G35" s="163"/>
      <c r="H35" s="164"/>
      <c r="I35" s="165"/>
      <c r="J35" s="165"/>
      <c r="K35" s="160"/>
      <c r="L35" s="160"/>
      <c r="M35" s="162"/>
      <c r="N35" s="162"/>
      <c r="O35" s="164"/>
      <c r="P35" s="160" t="e">
        <f t="shared" si="3"/>
        <v>#DIV/0!</v>
      </c>
      <c r="Q35" s="165" t="e">
        <f t="shared" si="4"/>
        <v>#DIV/0!</v>
      </c>
    </row>
    <row r="36" spans="1:17" ht="24">
      <c r="A36" s="114" t="s">
        <v>238</v>
      </c>
      <c r="B36" s="114"/>
      <c r="C36" s="111" t="s">
        <v>239</v>
      </c>
      <c r="D36" s="163">
        <f t="shared" si="12"/>
        <v>62.5</v>
      </c>
      <c r="E36" s="159">
        <f t="shared" si="13"/>
        <v>46.8</v>
      </c>
      <c r="F36" s="163">
        <v>15.6</v>
      </c>
      <c r="G36" s="163">
        <v>15.6</v>
      </c>
      <c r="H36" s="164">
        <v>15.6</v>
      </c>
      <c r="I36" s="165">
        <v>15.7</v>
      </c>
      <c r="J36" s="165">
        <v>63.3</v>
      </c>
      <c r="K36" s="160" t="e">
        <f>J36/#REF!*100</f>
        <v>#REF!</v>
      </c>
      <c r="L36" s="160">
        <f t="shared" si="11"/>
        <v>405.7692307692308</v>
      </c>
      <c r="M36" s="162"/>
      <c r="N36" s="162"/>
      <c r="O36" s="164">
        <f t="shared" si="2"/>
        <v>403.1847133757962</v>
      </c>
      <c r="P36" s="160">
        <f t="shared" si="3"/>
        <v>135.25641025641028</v>
      </c>
      <c r="Q36" s="165">
        <f t="shared" si="4"/>
        <v>101.28</v>
      </c>
    </row>
    <row r="37" spans="1:17" ht="12.75">
      <c r="A37" s="110" t="s">
        <v>242</v>
      </c>
      <c r="B37" s="110"/>
      <c r="C37" s="111" t="s">
        <v>243</v>
      </c>
      <c r="D37" s="163">
        <v>0</v>
      </c>
      <c r="E37" s="159">
        <f>F37+G37</f>
        <v>0</v>
      </c>
      <c r="F37" s="163">
        <v>0</v>
      </c>
      <c r="G37" s="163">
        <v>0</v>
      </c>
      <c r="H37" s="164">
        <v>0</v>
      </c>
      <c r="I37" s="165">
        <v>0</v>
      </c>
      <c r="J37" s="165">
        <v>26.6</v>
      </c>
      <c r="K37" s="160" t="e">
        <f>J37/#REF!*100</f>
        <v>#REF!</v>
      </c>
      <c r="L37" s="160" t="e">
        <f t="shared" si="11"/>
        <v>#DIV/0!</v>
      </c>
      <c r="M37" s="162"/>
      <c r="N37" s="162"/>
      <c r="O37" s="164" t="e">
        <f>J37*100/I37</f>
        <v>#DIV/0!</v>
      </c>
      <c r="P37" s="160"/>
      <c r="Q37" s="165"/>
    </row>
    <row r="38" spans="1:17" ht="12.75">
      <c r="A38" s="116" t="s">
        <v>244</v>
      </c>
      <c r="B38" s="117"/>
      <c r="C38" s="118" t="s">
        <v>245</v>
      </c>
      <c r="D38" s="111"/>
      <c r="E38" s="159">
        <f t="shared" si="13"/>
        <v>0</v>
      </c>
      <c r="F38" s="163"/>
      <c r="G38" s="163"/>
      <c r="H38" s="164"/>
      <c r="I38" s="165"/>
      <c r="J38" s="165">
        <v>14.4</v>
      </c>
      <c r="K38" s="160"/>
      <c r="L38" s="160"/>
      <c r="M38" s="162"/>
      <c r="N38" s="162"/>
      <c r="O38" s="164" t="e">
        <f t="shared" si="2"/>
        <v>#DIV/0!</v>
      </c>
      <c r="P38" s="128"/>
      <c r="Q38" s="129"/>
    </row>
    <row r="39" spans="1:17" ht="12.75">
      <c r="A39" s="108" t="s">
        <v>246</v>
      </c>
      <c r="B39" s="108"/>
      <c r="C39" s="119" t="s">
        <v>247</v>
      </c>
      <c r="D39" s="166">
        <f>D40+D41</f>
        <v>21028.7</v>
      </c>
      <c r="E39" s="166">
        <f aca="true" t="shared" si="14" ref="E39:J39">E40+E41</f>
        <v>16326.1</v>
      </c>
      <c r="F39" s="166">
        <f t="shared" si="14"/>
        <v>4702.5</v>
      </c>
      <c r="G39" s="166">
        <f t="shared" si="14"/>
        <v>5205.7</v>
      </c>
      <c r="H39" s="166">
        <f t="shared" si="14"/>
        <v>6417.9</v>
      </c>
      <c r="I39" s="166">
        <f t="shared" si="14"/>
        <v>4702.6</v>
      </c>
      <c r="J39" s="166">
        <f t="shared" si="14"/>
        <v>11310.2</v>
      </c>
      <c r="K39" s="166" t="e">
        <f>K40</f>
        <v>#REF!</v>
      </c>
      <c r="L39" s="128">
        <f>J39/H39*100</f>
        <v>176.22898455881207</v>
      </c>
      <c r="M39" s="162"/>
      <c r="N39" s="162"/>
      <c r="O39" s="157">
        <f t="shared" si="2"/>
        <v>240.50950538000254</v>
      </c>
      <c r="P39" s="128">
        <f t="shared" si="3"/>
        <v>69.27680217565738</v>
      </c>
      <c r="Q39" s="129">
        <f t="shared" si="4"/>
        <v>53.78458963226448</v>
      </c>
    </row>
    <row r="40" spans="1:17" ht="24">
      <c r="A40" s="120" t="s">
        <v>248</v>
      </c>
      <c r="B40" s="112"/>
      <c r="C40" s="121" t="s">
        <v>249</v>
      </c>
      <c r="D40" s="163">
        <f>F40+G40+H40+I40</f>
        <v>21028.7</v>
      </c>
      <c r="E40" s="159">
        <f>F40+G40+H40</f>
        <v>16326.1</v>
      </c>
      <c r="F40" s="171">
        <v>4702.5</v>
      </c>
      <c r="G40" s="171">
        <f>4702.5+148.2+355</f>
        <v>5205.7</v>
      </c>
      <c r="H40" s="164">
        <f>4702.5+8.4+1707</f>
        <v>6417.9</v>
      </c>
      <c r="I40" s="171">
        <v>4702.6</v>
      </c>
      <c r="J40" s="165">
        <v>11310.2</v>
      </c>
      <c r="K40" s="160" t="e">
        <f>J40/#REF!*100</f>
        <v>#REF!</v>
      </c>
      <c r="L40" s="160">
        <f>J40/H40*100</f>
        <v>176.22898455881207</v>
      </c>
      <c r="M40" s="162"/>
      <c r="N40" s="162"/>
      <c r="O40" s="164">
        <f t="shared" si="2"/>
        <v>240.50950538000254</v>
      </c>
      <c r="P40" s="160">
        <f t="shared" si="3"/>
        <v>69.27680217565738</v>
      </c>
      <c r="Q40" s="165">
        <f t="shared" si="4"/>
        <v>53.78458963226448</v>
      </c>
    </row>
    <row r="41" spans="1:17" ht="12.75">
      <c r="A41" s="120" t="s">
        <v>250</v>
      </c>
      <c r="B41" s="120"/>
      <c r="C41" s="122" t="s">
        <v>251</v>
      </c>
      <c r="D41" s="163">
        <f>F41+G41+H41+I41</f>
        <v>0</v>
      </c>
      <c r="E41" s="159">
        <f>F41+G41</f>
        <v>0</v>
      </c>
      <c r="F41" s="171"/>
      <c r="G41" s="171"/>
      <c r="H41" s="164"/>
      <c r="I41" s="171"/>
      <c r="J41" s="165"/>
      <c r="K41" s="160"/>
      <c r="L41" s="160"/>
      <c r="M41" s="162"/>
      <c r="N41" s="162"/>
      <c r="O41" s="164"/>
      <c r="P41" s="160"/>
      <c r="Q41" s="165"/>
    </row>
    <row r="42" spans="1:17" ht="12.75">
      <c r="A42" s="110"/>
      <c r="B42" s="126"/>
      <c r="C42" s="127" t="s">
        <v>256</v>
      </c>
      <c r="D42" s="129">
        <f aca="true" t="shared" si="15" ref="D42:I42">D39+D30</f>
        <v>37175.2</v>
      </c>
      <c r="E42" s="129">
        <f t="shared" si="15"/>
        <v>28435.9</v>
      </c>
      <c r="F42" s="129">
        <f t="shared" si="15"/>
        <v>8739.1</v>
      </c>
      <c r="G42" s="129">
        <f t="shared" si="15"/>
        <v>9242.3</v>
      </c>
      <c r="H42" s="129">
        <f t="shared" si="15"/>
        <v>10454.5</v>
      </c>
      <c r="I42" s="129">
        <f t="shared" si="15"/>
        <v>8739.3</v>
      </c>
      <c r="J42" s="129">
        <f>J39+J30</f>
        <v>19914.800000000003</v>
      </c>
      <c r="K42" s="128" t="e">
        <f>J42/#REF!*100</f>
        <v>#REF!</v>
      </c>
      <c r="L42" s="128">
        <f>J42/H42*100</f>
        <v>190.4902195226936</v>
      </c>
      <c r="M42" s="162"/>
      <c r="N42" s="169" t="e">
        <f>I42+#REF!+#REF!</f>
        <v>#REF!</v>
      </c>
      <c r="O42" s="157">
        <f t="shared" si="2"/>
        <v>227.87637453800653</v>
      </c>
      <c r="P42" s="128">
        <f t="shared" si="3"/>
        <v>70.0340063089264</v>
      </c>
      <c r="Q42" s="129">
        <f t="shared" si="4"/>
        <v>53.570122016828435</v>
      </c>
    </row>
    <row r="43" spans="1:17" ht="12.75">
      <c r="A43" s="131"/>
      <c r="B43" s="132"/>
      <c r="C43" s="217"/>
      <c r="D43" s="217"/>
      <c r="E43" s="217"/>
      <c r="F43" s="217"/>
      <c r="G43" s="217"/>
      <c r="H43" s="217"/>
      <c r="I43" s="217"/>
      <c r="J43" s="217"/>
      <c r="K43" s="217"/>
      <c r="L43" s="218"/>
      <c r="M43" s="162"/>
      <c r="N43" s="162"/>
      <c r="O43" s="170"/>
      <c r="P43" s="128"/>
      <c r="Q43" s="129"/>
    </row>
    <row r="44" spans="1:17" ht="12.75">
      <c r="A44" s="223" t="s">
        <v>258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128"/>
      <c r="Q44" s="129"/>
    </row>
    <row r="45" spans="1:17" ht="12.75">
      <c r="A45" s="108" t="s">
        <v>218</v>
      </c>
      <c r="B45" s="108"/>
      <c r="C45" s="109" t="s">
        <v>219</v>
      </c>
      <c r="D45" s="128">
        <f aca="true" t="shared" si="16" ref="D45:J45">D46+D48+D50+D51+D52+D53+D49+D47</f>
        <v>17658.3</v>
      </c>
      <c r="E45" s="128">
        <f t="shared" si="16"/>
        <v>13378.800000000001</v>
      </c>
      <c r="F45" s="128">
        <f t="shared" si="16"/>
        <v>4108.400000000001</v>
      </c>
      <c r="G45" s="128">
        <f t="shared" si="16"/>
        <v>4983.7</v>
      </c>
      <c r="H45" s="128">
        <f t="shared" si="16"/>
        <v>4286.7</v>
      </c>
      <c r="I45" s="128">
        <f t="shared" si="16"/>
        <v>4279.5</v>
      </c>
      <c r="J45" s="128">
        <f t="shared" si="16"/>
        <v>9064.7</v>
      </c>
      <c r="K45" s="128" t="e">
        <f>J45/#REF!*100</f>
        <v>#REF!</v>
      </c>
      <c r="L45" s="128">
        <f>J45/H45*100</f>
        <v>211.4610306296219</v>
      </c>
      <c r="M45" s="162"/>
      <c r="N45" s="162"/>
      <c r="O45" s="128">
        <f t="shared" si="2"/>
        <v>211.81680102815753</v>
      </c>
      <c r="P45" s="128">
        <f t="shared" si="3"/>
        <v>67.75420815020779</v>
      </c>
      <c r="Q45" s="129">
        <f t="shared" si="4"/>
        <v>51.33393361761892</v>
      </c>
    </row>
    <row r="46" spans="1:17" ht="12.75">
      <c r="A46" s="110" t="s">
        <v>220</v>
      </c>
      <c r="B46" s="112"/>
      <c r="C46" s="130" t="s">
        <v>221</v>
      </c>
      <c r="D46" s="163">
        <f aca="true" t="shared" si="17" ref="D46:D57">F46+G46+H46+I46</f>
        <v>14175</v>
      </c>
      <c r="E46" s="159">
        <f>F46+G46+H46</f>
        <v>10592.6</v>
      </c>
      <c r="F46" s="163">
        <v>3412.4</v>
      </c>
      <c r="G46" s="163">
        <v>3590.1</v>
      </c>
      <c r="H46" s="164">
        <v>3590.1</v>
      </c>
      <c r="I46" s="165">
        <v>3582.4</v>
      </c>
      <c r="J46" s="161">
        <v>7154.8</v>
      </c>
      <c r="K46" s="160" t="e">
        <f>J46/#REF!*100</f>
        <v>#REF!</v>
      </c>
      <c r="L46" s="160">
        <f>J46/H46*100</f>
        <v>199.29249881618898</v>
      </c>
      <c r="M46" s="162"/>
      <c r="N46" s="162"/>
      <c r="O46" s="164">
        <f t="shared" si="2"/>
        <v>199.7208575256811</v>
      </c>
      <c r="P46" s="160">
        <f t="shared" si="3"/>
        <v>67.54526745086191</v>
      </c>
      <c r="Q46" s="165">
        <f t="shared" si="4"/>
        <v>50.47477954144621</v>
      </c>
    </row>
    <row r="47" spans="1:17" ht="12.75">
      <c r="A47" s="112" t="s">
        <v>224</v>
      </c>
      <c r="B47" s="112"/>
      <c r="C47" s="111" t="s">
        <v>225</v>
      </c>
      <c r="D47" s="163">
        <f t="shared" si="17"/>
        <v>19.499999999999996</v>
      </c>
      <c r="E47" s="159">
        <f aca="true" t="shared" si="18" ref="E47:E53">F47+G47+H47</f>
        <v>17.099999999999998</v>
      </c>
      <c r="F47" s="163">
        <v>2.3</v>
      </c>
      <c r="G47" s="163">
        <v>12.4</v>
      </c>
      <c r="H47" s="164">
        <v>2.4</v>
      </c>
      <c r="I47" s="165">
        <v>2.4</v>
      </c>
      <c r="J47" s="161">
        <v>18.6</v>
      </c>
      <c r="K47" s="160" t="e">
        <f>J47/#REF!*100</f>
        <v>#REF!</v>
      </c>
      <c r="L47" s="160">
        <f>J47/H47*100</f>
        <v>775.0000000000001</v>
      </c>
      <c r="M47" s="162"/>
      <c r="N47" s="162"/>
      <c r="O47" s="164">
        <f t="shared" si="2"/>
        <v>775.0000000000001</v>
      </c>
      <c r="P47" s="160">
        <f t="shared" si="3"/>
        <v>108.77192982456143</v>
      </c>
      <c r="Q47" s="165">
        <f t="shared" si="4"/>
        <v>95.38461538461542</v>
      </c>
    </row>
    <row r="48" spans="1:17" ht="12.75">
      <c r="A48" s="112" t="s">
        <v>226</v>
      </c>
      <c r="B48" s="112"/>
      <c r="C48" s="111" t="s">
        <v>227</v>
      </c>
      <c r="D48" s="163">
        <f t="shared" si="17"/>
        <v>2024</v>
      </c>
      <c r="E48" s="159">
        <f t="shared" si="18"/>
        <v>1515</v>
      </c>
      <c r="F48" s="163">
        <v>508</v>
      </c>
      <c r="G48" s="163">
        <f>508.5-10</f>
        <v>498.5</v>
      </c>
      <c r="H48" s="164">
        <v>508.5</v>
      </c>
      <c r="I48" s="165">
        <v>509</v>
      </c>
      <c r="J48" s="165">
        <v>757.2</v>
      </c>
      <c r="K48" s="160" t="e">
        <f>J48/#REF!*100</f>
        <v>#REF!</v>
      </c>
      <c r="L48" s="160">
        <f>J48/H48*100</f>
        <v>148.90855457227138</v>
      </c>
      <c r="M48" s="162"/>
      <c r="N48" s="162"/>
      <c r="O48" s="164">
        <f t="shared" si="2"/>
        <v>148.762278978389</v>
      </c>
      <c r="P48" s="160">
        <f t="shared" si="3"/>
        <v>49.98019801980198</v>
      </c>
      <c r="Q48" s="165">
        <f t="shared" si="4"/>
        <v>37.41106719367589</v>
      </c>
    </row>
    <row r="49" spans="1:17" ht="12.75">
      <c r="A49" s="112" t="s">
        <v>228</v>
      </c>
      <c r="B49" s="112"/>
      <c r="C49" s="111" t="s">
        <v>229</v>
      </c>
      <c r="D49" s="163">
        <f t="shared" si="17"/>
        <v>0</v>
      </c>
      <c r="E49" s="159">
        <f t="shared" si="18"/>
        <v>0</v>
      </c>
      <c r="F49" s="163"/>
      <c r="G49" s="163"/>
      <c r="H49" s="164"/>
      <c r="I49" s="165"/>
      <c r="J49" s="165"/>
      <c r="K49" s="160"/>
      <c r="L49" s="160"/>
      <c r="M49" s="162"/>
      <c r="N49" s="162"/>
      <c r="O49" s="164" t="e">
        <f t="shared" si="2"/>
        <v>#DIV/0!</v>
      </c>
      <c r="P49" s="160" t="e">
        <f t="shared" si="3"/>
        <v>#DIV/0!</v>
      </c>
      <c r="Q49" s="165" t="e">
        <f t="shared" si="4"/>
        <v>#DIV/0!</v>
      </c>
    </row>
    <row r="50" spans="1:17" ht="24">
      <c r="A50" s="113" t="s">
        <v>232</v>
      </c>
      <c r="B50" s="113"/>
      <c r="C50" s="111" t="s">
        <v>233</v>
      </c>
      <c r="D50" s="163">
        <f t="shared" si="17"/>
        <v>939.8</v>
      </c>
      <c r="E50" s="159">
        <f t="shared" si="18"/>
        <v>791.5999999999999</v>
      </c>
      <c r="F50" s="163">
        <f>105+43.2</f>
        <v>148.2</v>
      </c>
      <c r="G50" s="163">
        <f>105+390.2</f>
        <v>495.2</v>
      </c>
      <c r="H50" s="164">
        <f>105+43.2</f>
        <v>148.2</v>
      </c>
      <c r="I50" s="165">
        <f>105+43.2</f>
        <v>148.2</v>
      </c>
      <c r="J50" s="165">
        <v>452</v>
      </c>
      <c r="K50" s="160" t="e">
        <f>J50/#REF!*100</f>
        <v>#REF!</v>
      </c>
      <c r="L50" s="160">
        <f>J50/H50*100</f>
        <v>304.99325236167346</v>
      </c>
      <c r="M50" s="162"/>
      <c r="N50" s="162"/>
      <c r="O50" s="164">
        <f t="shared" si="2"/>
        <v>304.99325236167346</v>
      </c>
      <c r="P50" s="160">
        <f t="shared" si="3"/>
        <v>57.099545224861046</v>
      </c>
      <c r="Q50" s="165">
        <f t="shared" si="4"/>
        <v>48.09533943392211</v>
      </c>
    </row>
    <row r="51" spans="1:17" ht="24">
      <c r="A51" s="115" t="s">
        <v>238</v>
      </c>
      <c r="B51" s="115"/>
      <c r="C51" s="111" t="s">
        <v>239</v>
      </c>
      <c r="D51" s="163">
        <f t="shared" si="17"/>
        <v>500</v>
      </c>
      <c r="E51" s="159">
        <f t="shared" si="18"/>
        <v>462.5</v>
      </c>
      <c r="F51" s="163">
        <v>37.5</v>
      </c>
      <c r="G51" s="163">
        <f>37.5+350</f>
        <v>387.5</v>
      </c>
      <c r="H51" s="164">
        <v>37.5</v>
      </c>
      <c r="I51" s="165">
        <v>37.5</v>
      </c>
      <c r="J51" s="165">
        <v>681.9</v>
      </c>
      <c r="K51" s="160" t="e">
        <f>J51/#REF!*100</f>
        <v>#REF!</v>
      </c>
      <c r="L51" s="160">
        <f>J51/H51*100</f>
        <v>1818.4</v>
      </c>
      <c r="M51" s="162"/>
      <c r="N51" s="162"/>
      <c r="O51" s="164">
        <f t="shared" si="2"/>
        <v>1818.4</v>
      </c>
      <c r="P51" s="160">
        <f t="shared" si="3"/>
        <v>147.43783783783783</v>
      </c>
      <c r="Q51" s="165">
        <f t="shared" si="4"/>
        <v>136.38</v>
      </c>
    </row>
    <row r="52" spans="1:17" ht="12.75">
      <c r="A52" s="110" t="s">
        <v>242</v>
      </c>
      <c r="B52" s="110"/>
      <c r="C52" s="111" t="s">
        <v>243</v>
      </c>
      <c r="D52" s="163">
        <f t="shared" si="17"/>
        <v>0</v>
      </c>
      <c r="E52" s="159">
        <f t="shared" si="18"/>
        <v>0</v>
      </c>
      <c r="F52" s="163"/>
      <c r="G52" s="163"/>
      <c r="H52" s="164"/>
      <c r="I52" s="165"/>
      <c r="J52" s="165"/>
      <c r="K52" s="160" t="e">
        <f>J52/#REF!*100</f>
        <v>#REF!</v>
      </c>
      <c r="L52" s="160"/>
      <c r="M52" s="162"/>
      <c r="N52" s="162"/>
      <c r="O52" s="164" t="e">
        <f t="shared" si="2"/>
        <v>#DIV/0!</v>
      </c>
      <c r="P52" s="160"/>
      <c r="Q52" s="165"/>
    </row>
    <row r="53" spans="1:17" ht="12.75">
      <c r="A53" s="133" t="s">
        <v>244</v>
      </c>
      <c r="B53" s="117"/>
      <c r="C53" s="118" t="s">
        <v>245</v>
      </c>
      <c r="D53" s="163">
        <f t="shared" si="17"/>
        <v>0</v>
      </c>
      <c r="E53" s="159">
        <f t="shared" si="18"/>
        <v>0</v>
      </c>
      <c r="F53" s="163"/>
      <c r="G53" s="163"/>
      <c r="H53" s="164"/>
      <c r="I53" s="165"/>
      <c r="J53" s="165">
        <v>0.2</v>
      </c>
      <c r="K53" s="160"/>
      <c r="L53" s="160"/>
      <c r="M53" s="162"/>
      <c r="N53" s="162"/>
      <c r="O53" s="164" t="e">
        <f t="shared" si="2"/>
        <v>#DIV/0!</v>
      </c>
      <c r="P53" s="160"/>
      <c r="Q53" s="165"/>
    </row>
    <row r="54" spans="1:17" ht="12.75">
      <c r="A54" s="134" t="s">
        <v>246</v>
      </c>
      <c r="B54" s="134"/>
      <c r="C54" s="119" t="s">
        <v>247</v>
      </c>
      <c r="D54" s="166">
        <f>D55+D57+D56</f>
        <v>28997.300000000003</v>
      </c>
      <c r="E54" s="166">
        <f aca="true" t="shared" si="19" ref="E54:O54">E55+E57+E56</f>
        <v>23541.4</v>
      </c>
      <c r="F54" s="166">
        <f t="shared" si="19"/>
        <v>6474</v>
      </c>
      <c r="G54" s="166">
        <f t="shared" si="19"/>
        <v>7350</v>
      </c>
      <c r="H54" s="166">
        <f t="shared" si="19"/>
        <v>9717.4</v>
      </c>
      <c r="I54" s="166">
        <f t="shared" si="19"/>
        <v>5455.9</v>
      </c>
      <c r="J54" s="166">
        <f t="shared" si="19"/>
        <v>15063.4</v>
      </c>
      <c r="K54" s="166" t="e">
        <f t="shared" si="19"/>
        <v>#REF!</v>
      </c>
      <c r="L54" s="166">
        <f t="shared" si="19"/>
        <v>150.89838845781793</v>
      </c>
      <c r="M54" s="166">
        <f t="shared" si="19"/>
        <v>0.1</v>
      </c>
      <c r="N54" s="166">
        <f t="shared" si="19"/>
        <v>0</v>
      </c>
      <c r="O54" s="166" t="e">
        <f t="shared" si="19"/>
        <v>#DIV/0!</v>
      </c>
      <c r="P54" s="128">
        <f t="shared" si="3"/>
        <v>63.986848700587046</v>
      </c>
      <c r="Q54" s="129">
        <f t="shared" si="4"/>
        <v>51.947595120925044</v>
      </c>
    </row>
    <row r="55" spans="1:17" ht="24">
      <c r="A55" s="120" t="s">
        <v>248</v>
      </c>
      <c r="B55" s="112"/>
      <c r="C55" s="121" t="s">
        <v>249</v>
      </c>
      <c r="D55" s="163">
        <f t="shared" si="17"/>
        <v>28597.300000000003</v>
      </c>
      <c r="E55" s="159">
        <f>F55+G55+H55</f>
        <v>23141.4</v>
      </c>
      <c r="F55" s="171">
        <f>5455.9+658.1+360</f>
        <v>6474</v>
      </c>
      <c r="G55" s="171">
        <f>5533.3+1416.7</f>
        <v>6950</v>
      </c>
      <c r="H55" s="164">
        <f>5455.9+3054.5+1207</f>
        <v>9717.4</v>
      </c>
      <c r="I55" s="164">
        <v>5455.9</v>
      </c>
      <c r="J55" s="165">
        <v>14663.4</v>
      </c>
      <c r="K55" s="160" t="e">
        <f>J55/#REF!*100</f>
        <v>#REF!</v>
      </c>
      <c r="L55" s="160">
        <f>J55/H55*100</f>
        <v>150.89838845781793</v>
      </c>
      <c r="M55" s="162">
        <v>0.1</v>
      </c>
      <c r="N55" s="162"/>
      <c r="O55" s="164">
        <f t="shared" si="2"/>
        <v>268.76225737275246</v>
      </c>
      <c r="P55" s="160">
        <f t="shared" si="3"/>
        <v>63.36435997822085</v>
      </c>
      <c r="Q55" s="165">
        <f t="shared" si="4"/>
        <v>51.27547006185898</v>
      </c>
    </row>
    <row r="56" spans="1:17" ht="12.75">
      <c r="A56" s="120" t="s">
        <v>250</v>
      </c>
      <c r="B56" s="120"/>
      <c r="C56" s="122" t="s">
        <v>251</v>
      </c>
      <c r="D56" s="163">
        <f>F56+G56+H56+I56</f>
        <v>400</v>
      </c>
      <c r="E56" s="159">
        <f>F56+G56+H56</f>
        <v>400</v>
      </c>
      <c r="F56" s="171"/>
      <c r="G56" s="171">
        <v>400</v>
      </c>
      <c r="H56" s="164"/>
      <c r="I56" s="170"/>
      <c r="J56" s="165">
        <v>400</v>
      </c>
      <c r="K56" s="160"/>
      <c r="L56" s="160"/>
      <c r="M56" s="162"/>
      <c r="N56" s="162"/>
      <c r="O56" s="164"/>
      <c r="P56" s="160">
        <f t="shared" si="3"/>
        <v>100</v>
      </c>
      <c r="Q56" s="165">
        <f t="shared" si="4"/>
        <v>100</v>
      </c>
    </row>
    <row r="57" spans="1:17" ht="36">
      <c r="A57" s="120" t="s">
        <v>254</v>
      </c>
      <c r="B57" s="124"/>
      <c r="C57" s="125" t="s">
        <v>255</v>
      </c>
      <c r="D57" s="163">
        <f t="shared" si="17"/>
        <v>0</v>
      </c>
      <c r="E57" s="163">
        <f>F57</f>
        <v>0</v>
      </c>
      <c r="F57" s="172"/>
      <c r="G57" s="172"/>
      <c r="H57" s="164"/>
      <c r="I57" s="170"/>
      <c r="J57" s="165"/>
      <c r="K57" s="160" t="e">
        <f>J57/#REF!*100</f>
        <v>#REF!</v>
      </c>
      <c r="L57" s="160"/>
      <c r="M57" s="162"/>
      <c r="N57" s="162"/>
      <c r="O57" s="164" t="e">
        <f t="shared" si="2"/>
        <v>#DIV/0!</v>
      </c>
      <c r="P57" s="160"/>
      <c r="Q57" s="165"/>
    </row>
    <row r="58" spans="1:17" ht="12.75">
      <c r="A58" s="113"/>
      <c r="B58" s="135"/>
      <c r="C58" s="136" t="s">
        <v>256</v>
      </c>
      <c r="D58" s="173">
        <f aca="true" t="shared" si="20" ref="D58:J58">D54+D45</f>
        <v>46655.600000000006</v>
      </c>
      <c r="E58" s="173">
        <f t="shared" si="20"/>
        <v>36920.200000000004</v>
      </c>
      <c r="F58" s="173">
        <f t="shared" si="20"/>
        <v>10582.400000000001</v>
      </c>
      <c r="G58" s="173">
        <f t="shared" si="20"/>
        <v>12333.7</v>
      </c>
      <c r="H58" s="173">
        <f t="shared" si="20"/>
        <v>14004.099999999999</v>
      </c>
      <c r="I58" s="173">
        <f t="shared" si="20"/>
        <v>9735.4</v>
      </c>
      <c r="J58" s="173">
        <f t="shared" si="20"/>
        <v>24128.1</v>
      </c>
      <c r="K58" s="128" t="e">
        <f>J58/#REF!*100</f>
        <v>#REF!</v>
      </c>
      <c r="L58" s="128">
        <f>J58/H58*100</f>
        <v>172.29311415942473</v>
      </c>
      <c r="M58" s="162"/>
      <c r="N58" s="169" t="e">
        <f>I58+#REF!+#REF!</f>
        <v>#REF!</v>
      </c>
      <c r="O58" s="157">
        <f t="shared" si="2"/>
        <v>247.83881504612035</v>
      </c>
      <c r="P58" s="128">
        <f t="shared" si="3"/>
        <v>65.3520295122995</v>
      </c>
      <c r="Q58" s="129">
        <f t="shared" si="4"/>
        <v>51.715335350954646</v>
      </c>
    </row>
    <row r="59" spans="1:17" ht="12.7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8"/>
      <c r="M59" s="162"/>
      <c r="N59" s="162"/>
      <c r="O59" s="170"/>
      <c r="P59" s="128"/>
      <c r="Q59" s="129"/>
    </row>
    <row r="60" spans="1:17" ht="12.75">
      <c r="A60" s="223" t="s">
        <v>259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/>
      <c r="P60" s="128"/>
      <c r="Q60" s="129"/>
    </row>
    <row r="61" spans="1:17" ht="12.75">
      <c r="A61" s="134" t="s">
        <v>218</v>
      </c>
      <c r="B61" s="134"/>
      <c r="C61" s="137" t="s">
        <v>219</v>
      </c>
      <c r="D61" s="157">
        <f aca="true" t="shared" si="21" ref="D61:J61">D62+D64+D66+D68+D65+D70+D69+D63+D67</f>
        <v>30741</v>
      </c>
      <c r="E61" s="157">
        <f t="shared" si="21"/>
        <v>21577.3</v>
      </c>
      <c r="F61" s="157">
        <f t="shared" si="21"/>
        <v>6165.3</v>
      </c>
      <c r="G61" s="157">
        <f t="shared" si="21"/>
        <v>7287.2</v>
      </c>
      <c r="H61" s="157">
        <f t="shared" si="21"/>
        <v>8124.8</v>
      </c>
      <c r="I61" s="157">
        <f t="shared" si="21"/>
        <v>9163.7</v>
      </c>
      <c r="J61" s="157">
        <f t="shared" si="21"/>
        <v>19616.6</v>
      </c>
      <c r="K61" s="157" t="e">
        <f>J61/#REF!*100</f>
        <v>#REF!</v>
      </c>
      <c r="L61" s="157">
        <f aca="true" t="shared" si="22" ref="L61:L68">J61/H61*100</f>
        <v>241.44102008664828</v>
      </c>
      <c r="M61" s="158"/>
      <c r="N61" s="158"/>
      <c r="O61" s="157">
        <f t="shared" si="2"/>
        <v>214.06855309536536</v>
      </c>
      <c r="P61" s="128">
        <f t="shared" si="3"/>
        <v>90.91313556376376</v>
      </c>
      <c r="Q61" s="129">
        <f t="shared" si="4"/>
        <v>63.81249796688461</v>
      </c>
    </row>
    <row r="62" spans="1:17" ht="12.75">
      <c r="A62" s="112" t="s">
        <v>220</v>
      </c>
      <c r="B62" s="112"/>
      <c r="C62" s="130" t="s">
        <v>221</v>
      </c>
      <c r="D62" s="163">
        <f>F62+G62+H62+I62</f>
        <v>17850</v>
      </c>
      <c r="E62" s="159">
        <f>F62+G62+H62</f>
        <v>11726.9</v>
      </c>
      <c r="F62" s="174">
        <v>3164.3</v>
      </c>
      <c r="G62" s="174">
        <v>4691.2</v>
      </c>
      <c r="H62" s="160">
        <v>3871.4</v>
      </c>
      <c r="I62" s="160">
        <v>6123.1</v>
      </c>
      <c r="J62" s="160">
        <v>11457.3</v>
      </c>
      <c r="K62" s="160" t="e">
        <f>J62/#REF!*100</f>
        <v>#REF!</v>
      </c>
      <c r="L62" s="160">
        <f t="shared" si="22"/>
        <v>295.94720256238054</v>
      </c>
      <c r="M62" s="162"/>
      <c r="N62" s="162"/>
      <c r="O62" s="160">
        <f t="shared" si="2"/>
        <v>187.11600333164571</v>
      </c>
      <c r="P62" s="160">
        <f t="shared" si="3"/>
        <v>97.70101220271343</v>
      </c>
      <c r="Q62" s="165">
        <f t="shared" si="4"/>
        <v>64.18655462184874</v>
      </c>
    </row>
    <row r="63" spans="1:17" ht="12.75">
      <c r="A63" s="112" t="s">
        <v>224</v>
      </c>
      <c r="B63" s="112"/>
      <c r="C63" s="111" t="s">
        <v>225</v>
      </c>
      <c r="D63" s="163">
        <f aca="true" t="shared" si="23" ref="D63:D73">F63+G63+H63+I63</f>
        <v>47</v>
      </c>
      <c r="E63" s="159">
        <f aca="true" t="shared" si="24" ref="E63:E70">F63+G63+H63</f>
        <v>39</v>
      </c>
      <c r="F63" s="171">
        <v>11</v>
      </c>
      <c r="G63" s="171">
        <v>20</v>
      </c>
      <c r="H63" s="164">
        <v>8</v>
      </c>
      <c r="I63" s="164">
        <v>8</v>
      </c>
      <c r="J63" s="164">
        <v>46.7</v>
      </c>
      <c r="K63" s="160" t="e">
        <f>J63/#REF!*100</f>
        <v>#REF!</v>
      </c>
      <c r="L63" s="160">
        <f t="shared" si="22"/>
        <v>583.75</v>
      </c>
      <c r="M63" s="162"/>
      <c r="N63" s="162"/>
      <c r="O63" s="164">
        <f t="shared" si="2"/>
        <v>583.75</v>
      </c>
      <c r="P63" s="160">
        <f t="shared" si="3"/>
        <v>119.74358974358974</v>
      </c>
      <c r="Q63" s="165">
        <f t="shared" si="4"/>
        <v>99.36170212765957</v>
      </c>
    </row>
    <row r="64" spans="1:17" ht="12.75">
      <c r="A64" s="112" t="s">
        <v>226</v>
      </c>
      <c r="B64" s="112"/>
      <c r="C64" s="111" t="s">
        <v>227</v>
      </c>
      <c r="D64" s="163">
        <f t="shared" si="23"/>
        <v>6438</v>
      </c>
      <c r="E64" s="159">
        <f t="shared" si="24"/>
        <v>5477.4</v>
      </c>
      <c r="F64" s="171">
        <v>2671</v>
      </c>
      <c r="G64" s="171">
        <v>491</v>
      </c>
      <c r="H64" s="164">
        <v>2315.4</v>
      </c>
      <c r="I64" s="164">
        <v>960.6</v>
      </c>
      <c r="J64" s="164">
        <v>4158.2</v>
      </c>
      <c r="K64" s="160" t="e">
        <f>J64/#REF!*100</f>
        <v>#REF!</v>
      </c>
      <c r="L64" s="160">
        <f t="shared" si="22"/>
        <v>179.58883994126282</v>
      </c>
      <c r="M64" s="162"/>
      <c r="N64" s="162"/>
      <c r="O64" s="164">
        <f t="shared" si="2"/>
        <v>432.87528627940867</v>
      </c>
      <c r="P64" s="160">
        <f t="shared" si="3"/>
        <v>75.91558038485414</v>
      </c>
      <c r="Q64" s="165">
        <f t="shared" si="4"/>
        <v>64.58838148493321</v>
      </c>
    </row>
    <row r="65" spans="1:17" ht="12.75">
      <c r="A65" s="112" t="s">
        <v>228</v>
      </c>
      <c r="B65" s="112"/>
      <c r="C65" s="111" t="s">
        <v>229</v>
      </c>
      <c r="D65" s="163">
        <f t="shared" si="23"/>
        <v>0</v>
      </c>
      <c r="E65" s="159">
        <f t="shared" si="24"/>
        <v>0</v>
      </c>
      <c r="F65" s="171"/>
      <c r="G65" s="171"/>
      <c r="H65" s="164"/>
      <c r="I65" s="164"/>
      <c r="J65" s="164">
        <v>15.8</v>
      </c>
      <c r="K65" s="160"/>
      <c r="L65" s="160" t="e">
        <f t="shared" si="22"/>
        <v>#DIV/0!</v>
      </c>
      <c r="M65" s="162"/>
      <c r="N65" s="162"/>
      <c r="O65" s="164" t="e">
        <f t="shared" si="2"/>
        <v>#DIV/0!</v>
      </c>
      <c r="P65" s="160"/>
      <c r="Q65" s="165"/>
    </row>
    <row r="66" spans="1:17" ht="24">
      <c r="A66" s="113" t="s">
        <v>232</v>
      </c>
      <c r="B66" s="113"/>
      <c r="C66" s="111" t="s">
        <v>233</v>
      </c>
      <c r="D66" s="163">
        <f t="shared" si="23"/>
        <v>6030</v>
      </c>
      <c r="E66" s="159">
        <f t="shared" si="24"/>
        <v>4019</v>
      </c>
      <c r="F66" s="171">
        <v>259</v>
      </c>
      <c r="G66" s="171">
        <v>1895</v>
      </c>
      <c r="H66" s="164">
        <v>1865</v>
      </c>
      <c r="I66" s="164">
        <v>2011</v>
      </c>
      <c r="J66" s="164">
        <v>3387.9</v>
      </c>
      <c r="K66" s="160" t="e">
        <f>J66/#REF!*100</f>
        <v>#REF!</v>
      </c>
      <c r="L66" s="160">
        <f t="shared" si="22"/>
        <v>181.656836461126</v>
      </c>
      <c r="M66" s="162"/>
      <c r="N66" s="162"/>
      <c r="O66" s="164">
        <f t="shared" si="2"/>
        <v>168.46842366981602</v>
      </c>
      <c r="P66" s="160">
        <f t="shared" si="3"/>
        <v>84.29708882806668</v>
      </c>
      <c r="Q66" s="165">
        <f t="shared" si="4"/>
        <v>56.18407960199005</v>
      </c>
    </row>
    <row r="67" spans="1:17" ht="24">
      <c r="A67" s="115" t="s">
        <v>236</v>
      </c>
      <c r="B67" s="115"/>
      <c r="C67" s="111" t="s">
        <v>237</v>
      </c>
      <c r="D67" s="163">
        <f t="shared" si="23"/>
        <v>0</v>
      </c>
      <c r="E67" s="159">
        <f t="shared" si="24"/>
        <v>0</v>
      </c>
      <c r="F67" s="171"/>
      <c r="G67" s="171"/>
      <c r="H67" s="164"/>
      <c r="I67" s="164"/>
      <c r="J67" s="164"/>
      <c r="K67" s="160" t="e">
        <f>J67/#REF!*100</f>
        <v>#REF!</v>
      </c>
      <c r="L67" s="160"/>
      <c r="M67" s="162"/>
      <c r="N67" s="162"/>
      <c r="O67" s="164" t="e">
        <f t="shared" si="2"/>
        <v>#DIV/0!</v>
      </c>
      <c r="P67" s="160"/>
      <c r="Q67" s="165"/>
    </row>
    <row r="68" spans="1:17" ht="24">
      <c r="A68" s="114" t="s">
        <v>238</v>
      </c>
      <c r="B68" s="114"/>
      <c r="C68" s="111" t="s">
        <v>239</v>
      </c>
      <c r="D68" s="163">
        <f t="shared" si="23"/>
        <v>376</v>
      </c>
      <c r="E68" s="159">
        <f t="shared" si="24"/>
        <v>315</v>
      </c>
      <c r="F68" s="171">
        <v>60</v>
      </c>
      <c r="G68" s="171">
        <v>190</v>
      </c>
      <c r="H68" s="164">
        <v>65</v>
      </c>
      <c r="I68" s="164">
        <v>61</v>
      </c>
      <c r="J68" s="164">
        <v>549.6</v>
      </c>
      <c r="K68" s="160" t="e">
        <f>J68/#REF!*100</f>
        <v>#REF!</v>
      </c>
      <c r="L68" s="160">
        <f t="shared" si="22"/>
        <v>845.5384615384617</v>
      </c>
      <c r="M68" s="162"/>
      <c r="N68" s="162"/>
      <c r="O68" s="164">
        <f t="shared" si="2"/>
        <v>900.983606557377</v>
      </c>
      <c r="P68" s="160">
        <f t="shared" si="3"/>
        <v>174.47619047619048</v>
      </c>
      <c r="Q68" s="165">
        <f t="shared" si="4"/>
        <v>146.17021276595744</v>
      </c>
    </row>
    <row r="69" spans="1:17" ht="12.75">
      <c r="A69" s="110" t="s">
        <v>242</v>
      </c>
      <c r="B69" s="110"/>
      <c r="C69" s="111" t="s">
        <v>243</v>
      </c>
      <c r="D69" s="163">
        <f t="shared" si="23"/>
        <v>0</v>
      </c>
      <c r="E69" s="159">
        <f t="shared" si="24"/>
        <v>0</v>
      </c>
      <c r="F69" s="171"/>
      <c r="G69" s="171"/>
      <c r="H69" s="164"/>
      <c r="I69" s="164"/>
      <c r="J69" s="164">
        <v>1.1</v>
      </c>
      <c r="K69" s="160"/>
      <c r="L69" s="160"/>
      <c r="M69" s="162"/>
      <c r="N69" s="162"/>
      <c r="O69" s="164" t="e">
        <f t="shared" si="2"/>
        <v>#DIV/0!</v>
      </c>
      <c r="P69" s="160"/>
      <c r="Q69" s="165"/>
    </row>
    <row r="70" spans="1:17" ht="12.75">
      <c r="A70" s="116" t="s">
        <v>244</v>
      </c>
      <c r="B70" s="117"/>
      <c r="C70" s="118" t="s">
        <v>245</v>
      </c>
      <c r="D70" s="163">
        <f t="shared" si="23"/>
        <v>0</v>
      </c>
      <c r="E70" s="159">
        <f t="shared" si="24"/>
        <v>0</v>
      </c>
      <c r="F70" s="171"/>
      <c r="G70" s="171"/>
      <c r="H70" s="164"/>
      <c r="I70" s="164"/>
      <c r="J70" s="164"/>
      <c r="K70" s="160"/>
      <c r="L70" s="160"/>
      <c r="M70" s="162"/>
      <c r="N70" s="162"/>
      <c r="O70" s="164" t="e">
        <f t="shared" si="2"/>
        <v>#DIV/0!</v>
      </c>
      <c r="P70" s="160"/>
      <c r="Q70" s="165"/>
    </row>
    <row r="71" spans="1:17" ht="12.75">
      <c r="A71" s="108" t="s">
        <v>246</v>
      </c>
      <c r="B71" s="108"/>
      <c r="C71" s="119" t="s">
        <v>247</v>
      </c>
      <c r="D71" s="166">
        <f aca="true" t="shared" si="25" ref="D71:J71">D72+D73</f>
        <v>62394.399999999994</v>
      </c>
      <c r="E71" s="166">
        <f t="shared" si="25"/>
        <v>51411.2</v>
      </c>
      <c r="F71" s="166">
        <f t="shared" si="25"/>
        <v>10844.1</v>
      </c>
      <c r="G71" s="166">
        <f t="shared" si="25"/>
        <v>15707.3</v>
      </c>
      <c r="H71" s="166">
        <f t="shared" si="25"/>
        <v>24859.8</v>
      </c>
      <c r="I71" s="166">
        <f t="shared" si="25"/>
        <v>10983.2</v>
      </c>
      <c r="J71" s="166">
        <f t="shared" si="25"/>
        <v>29679</v>
      </c>
      <c r="K71" s="128" t="e">
        <f>J71/#REF!*100</f>
        <v>#REF!</v>
      </c>
      <c r="L71" s="128">
        <f>J71/H71*100</f>
        <v>119.38551396230059</v>
      </c>
      <c r="M71" s="162"/>
      <c r="N71" s="162"/>
      <c r="O71" s="157">
        <f t="shared" si="2"/>
        <v>270.2217932842887</v>
      </c>
      <c r="P71" s="128">
        <f t="shared" si="3"/>
        <v>57.728666127225196</v>
      </c>
      <c r="Q71" s="129">
        <f t="shared" si="4"/>
        <v>47.56676881258575</v>
      </c>
    </row>
    <row r="72" spans="1:17" ht="24">
      <c r="A72" s="120" t="s">
        <v>248</v>
      </c>
      <c r="B72" s="112"/>
      <c r="C72" s="121" t="s">
        <v>249</v>
      </c>
      <c r="D72" s="163">
        <f t="shared" si="23"/>
        <v>62139.59999999999</v>
      </c>
      <c r="E72" s="159">
        <f>F72+G72+H72</f>
        <v>51156.399999999994</v>
      </c>
      <c r="F72" s="171">
        <f>10767.7+76.4</f>
        <v>10844.1</v>
      </c>
      <c r="G72" s="171">
        <f>12203.6-24.1+3273</f>
        <v>15452.5</v>
      </c>
      <c r="H72" s="164">
        <f>9356+8368.8+7135</f>
        <v>24859.8</v>
      </c>
      <c r="I72" s="165">
        <v>10983.2</v>
      </c>
      <c r="J72" s="165">
        <v>29304.2</v>
      </c>
      <c r="K72" s="160" t="e">
        <f>J72/#REF!*100</f>
        <v>#REF!</v>
      </c>
      <c r="L72" s="160">
        <f>J72/H72*100</f>
        <v>117.87785903345964</v>
      </c>
      <c r="M72" s="162"/>
      <c r="N72" s="162"/>
      <c r="O72" s="164">
        <f t="shared" si="2"/>
        <v>266.80930876247356</v>
      </c>
      <c r="P72" s="160">
        <f t="shared" si="3"/>
        <v>57.28354614476391</v>
      </c>
      <c r="Q72" s="165">
        <f t="shared" si="4"/>
        <v>47.15865567206742</v>
      </c>
    </row>
    <row r="73" spans="1:17" ht="12.75">
      <c r="A73" s="120" t="s">
        <v>250</v>
      </c>
      <c r="B73" s="120"/>
      <c r="C73" s="122" t="s">
        <v>251</v>
      </c>
      <c r="D73" s="163">
        <f t="shared" si="23"/>
        <v>254.8</v>
      </c>
      <c r="E73" s="159">
        <f>F73+G73+H73</f>
        <v>254.8</v>
      </c>
      <c r="F73" s="172"/>
      <c r="G73" s="172">
        <v>254.8</v>
      </c>
      <c r="H73" s="164"/>
      <c r="I73" s="165"/>
      <c r="J73" s="165">
        <v>374.8</v>
      </c>
      <c r="K73" s="160" t="e">
        <f>J73/#REF!*100</f>
        <v>#REF!</v>
      </c>
      <c r="L73" s="160"/>
      <c r="M73" s="162"/>
      <c r="N73" s="162"/>
      <c r="O73" s="164" t="e">
        <f t="shared" si="2"/>
        <v>#DIV/0!</v>
      </c>
      <c r="P73" s="160">
        <f>J73*100/E73</f>
        <v>147.09576138147565</v>
      </c>
      <c r="Q73" s="165">
        <f>J73*100/D73</f>
        <v>147.09576138147565</v>
      </c>
    </row>
    <row r="74" spans="1:17" ht="12.75">
      <c r="A74" s="110"/>
      <c r="B74" s="126"/>
      <c r="C74" s="127" t="s">
        <v>256</v>
      </c>
      <c r="D74" s="129">
        <f aca="true" t="shared" si="26" ref="D74:K74">D71+D61</f>
        <v>93135.4</v>
      </c>
      <c r="E74" s="129">
        <f t="shared" si="26"/>
        <v>72988.5</v>
      </c>
      <c r="F74" s="129">
        <f t="shared" si="26"/>
        <v>17009.4</v>
      </c>
      <c r="G74" s="129">
        <f t="shared" si="26"/>
        <v>22994.5</v>
      </c>
      <c r="H74" s="129">
        <f t="shared" si="26"/>
        <v>32984.6</v>
      </c>
      <c r="I74" s="129">
        <f t="shared" si="26"/>
        <v>20146.9</v>
      </c>
      <c r="J74" s="129">
        <f t="shared" si="26"/>
        <v>49295.6</v>
      </c>
      <c r="K74" s="129" t="e">
        <f t="shared" si="26"/>
        <v>#REF!</v>
      </c>
      <c r="L74" s="128">
        <f>J74/H74*100</f>
        <v>149.45034955706603</v>
      </c>
      <c r="M74" s="162"/>
      <c r="N74" s="169" t="e">
        <f>I74+#REF!+#REF!</f>
        <v>#REF!</v>
      </c>
      <c r="O74" s="157">
        <f t="shared" si="2"/>
        <v>244.6808193816418</v>
      </c>
      <c r="P74" s="128">
        <f t="shared" si="3"/>
        <v>67.53885886132747</v>
      </c>
      <c r="Q74" s="129">
        <f t="shared" si="4"/>
        <v>52.92896149047516</v>
      </c>
    </row>
    <row r="75" spans="1:17" ht="12.75">
      <c r="A75" s="256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8"/>
      <c r="M75" s="162"/>
      <c r="N75" s="162"/>
      <c r="O75" s="170"/>
      <c r="P75" s="128"/>
      <c r="Q75" s="129"/>
    </row>
    <row r="76" spans="1:17" ht="12.75">
      <c r="A76" s="223" t="s">
        <v>260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5"/>
      <c r="P76" s="128"/>
      <c r="Q76" s="129"/>
    </row>
    <row r="77" spans="1:17" ht="12.75">
      <c r="A77" s="108" t="s">
        <v>218</v>
      </c>
      <c r="B77" s="108"/>
      <c r="C77" s="109" t="s">
        <v>219</v>
      </c>
      <c r="D77" s="128">
        <f>D78+D79+D80+D81+D82+D83+D84+D85+D86</f>
        <v>23510</v>
      </c>
      <c r="E77" s="128">
        <f>E78+E79+E80+E81+E82+E83+E84+E85+E86</f>
        <v>16312.1</v>
      </c>
      <c r="F77" s="128">
        <f>F78+F79+F80+F81+F82+F83+F84+F85+F86</f>
        <v>4665.7</v>
      </c>
      <c r="G77" s="128">
        <f>G78+G79+G80+G81+G82+G83+G84+G85+G86</f>
        <v>6358.9</v>
      </c>
      <c r="H77" s="128">
        <f>H78+H79+H80+H81+H82+H83+H84+H85+H86</f>
        <v>5287.500000000001</v>
      </c>
      <c r="I77" s="128">
        <f>I78+I79+I80+I81+I82+I83+I84+I85+I86+I87</f>
        <v>7197.9</v>
      </c>
      <c r="J77" s="128">
        <f>J78+J79+J80+J81+J82+J83+J84+J85+J86+J87</f>
        <v>14135.3</v>
      </c>
      <c r="K77" s="128" t="e">
        <f>J77/#REF!*100</f>
        <v>#REF!</v>
      </c>
      <c r="L77" s="128">
        <f>J77/H77*100</f>
        <v>267.33427895981083</v>
      </c>
      <c r="M77" s="162"/>
      <c r="N77" s="162"/>
      <c r="O77" s="128">
        <f t="shared" si="2"/>
        <v>196.38088887036497</v>
      </c>
      <c r="P77" s="128">
        <f aca="true" t="shared" si="27" ref="P77:P140">J77*100/E77</f>
        <v>86.65530495766946</v>
      </c>
      <c r="Q77" s="129">
        <f aca="true" t="shared" si="28" ref="Q77:Q140">J77*100/D77</f>
        <v>60.12462781794981</v>
      </c>
    </row>
    <row r="78" spans="1:17" ht="12.75">
      <c r="A78" s="110" t="s">
        <v>220</v>
      </c>
      <c r="B78" s="110"/>
      <c r="C78" s="111" t="s">
        <v>221</v>
      </c>
      <c r="D78" s="163">
        <f>F78+G78+H78+I78</f>
        <v>15496</v>
      </c>
      <c r="E78" s="159">
        <f>F78+G78+H78</f>
        <v>10850</v>
      </c>
      <c r="F78" s="171">
        <v>3500</v>
      </c>
      <c r="G78" s="171">
        <v>4100</v>
      </c>
      <c r="H78" s="164">
        <v>3250</v>
      </c>
      <c r="I78" s="164">
        <v>4646</v>
      </c>
      <c r="J78" s="165">
        <v>8780.8</v>
      </c>
      <c r="K78" s="160" t="e">
        <f>J78/#REF!*100</f>
        <v>#REF!</v>
      </c>
      <c r="L78" s="160">
        <f>J78/H78*100</f>
        <v>270.17846153846153</v>
      </c>
      <c r="M78" s="162"/>
      <c r="N78" s="162"/>
      <c r="O78" s="164">
        <f aca="true" t="shared" si="29" ref="O78:O144">J78*100/I78</f>
        <v>188.99698665518724</v>
      </c>
      <c r="P78" s="160">
        <f t="shared" si="27"/>
        <v>80.92903225806451</v>
      </c>
      <c r="Q78" s="165">
        <f t="shared" si="28"/>
        <v>56.66494579246256</v>
      </c>
    </row>
    <row r="79" spans="1:17" ht="12.75">
      <c r="A79" s="112" t="s">
        <v>224</v>
      </c>
      <c r="B79" s="112"/>
      <c r="C79" s="111" t="s">
        <v>225</v>
      </c>
      <c r="D79" s="163">
        <f aca="true" t="shared" si="30" ref="D79:D86">F79+G79+H79+I79</f>
        <v>0.5</v>
      </c>
      <c r="E79" s="159">
        <f aca="true" t="shared" si="31" ref="E79:E86">F79+G79+H79</f>
        <v>0.5</v>
      </c>
      <c r="F79" s="171"/>
      <c r="G79" s="171">
        <v>0.5</v>
      </c>
      <c r="H79" s="164"/>
      <c r="I79" s="164"/>
      <c r="J79" s="165">
        <v>0.5</v>
      </c>
      <c r="K79" s="160"/>
      <c r="L79" s="160"/>
      <c r="M79" s="162"/>
      <c r="N79" s="162"/>
      <c r="O79" s="164" t="e">
        <f t="shared" si="29"/>
        <v>#DIV/0!</v>
      </c>
      <c r="P79" s="160">
        <f>J79*100/E79</f>
        <v>100</v>
      </c>
      <c r="Q79" s="165">
        <f>J79*100/D79</f>
        <v>100</v>
      </c>
    </row>
    <row r="80" spans="1:17" ht="12.75">
      <c r="A80" s="112" t="s">
        <v>226</v>
      </c>
      <c r="B80" s="112"/>
      <c r="C80" s="111" t="s">
        <v>227</v>
      </c>
      <c r="D80" s="163">
        <f t="shared" si="30"/>
        <v>1432</v>
      </c>
      <c r="E80" s="159">
        <f t="shared" si="31"/>
        <v>841.1</v>
      </c>
      <c r="F80" s="171">
        <v>234.9</v>
      </c>
      <c r="G80" s="171">
        <v>215.4</v>
      </c>
      <c r="H80" s="164">
        <v>390.8</v>
      </c>
      <c r="I80" s="164">
        <v>590.9</v>
      </c>
      <c r="J80" s="165">
        <v>628.6</v>
      </c>
      <c r="K80" s="160" t="e">
        <f>J80/#REF!*100</f>
        <v>#REF!</v>
      </c>
      <c r="L80" s="160">
        <f>J80/H80*100</f>
        <v>160.84953940634597</v>
      </c>
      <c r="M80" s="162"/>
      <c r="N80" s="162"/>
      <c r="O80" s="164">
        <f t="shared" si="29"/>
        <v>106.38009815535624</v>
      </c>
      <c r="P80" s="160">
        <f t="shared" si="27"/>
        <v>74.73546546189513</v>
      </c>
      <c r="Q80" s="165">
        <f t="shared" si="28"/>
        <v>43.89664804469274</v>
      </c>
    </row>
    <row r="81" spans="1:17" ht="12.75">
      <c r="A81" s="112" t="s">
        <v>228</v>
      </c>
      <c r="B81" s="112"/>
      <c r="C81" s="111" t="s">
        <v>229</v>
      </c>
      <c r="D81" s="163">
        <f t="shared" si="30"/>
        <v>0</v>
      </c>
      <c r="E81" s="159">
        <f t="shared" si="31"/>
        <v>0</v>
      </c>
      <c r="F81" s="171"/>
      <c r="G81" s="171"/>
      <c r="H81" s="164"/>
      <c r="I81" s="164"/>
      <c r="J81" s="165"/>
      <c r="K81" s="160"/>
      <c r="L81" s="160"/>
      <c r="M81" s="162"/>
      <c r="N81" s="162"/>
      <c r="O81" s="164" t="e">
        <f t="shared" si="29"/>
        <v>#DIV/0!</v>
      </c>
      <c r="P81" s="160" t="e">
        <f t="shared" si="27"/>
        <v>#DIV/0!</v>
      </c>
      <c r="Q81" s="165" t="e">
        <f t="shared" si="28"/>
        <v>#DIV/0!</v>
      </c>
    </row>
    <row r="82" spans="1:17" ht="24">
      <c r="A82" s="113" t="s">
        <v>232</v>
      </c>
      <c r="B82" s="113"/>
      <c r="C82" s="111" t="s">
        <v>233</v>
      </c>
      <c r="D82" s="163">
        <f t="shared" si="30"/>
        <v>5848</v>
      </c>
      <c r="E82" s="159">
        <f t="shared" si="31"/>
        <v>4075</v>
      </c>
      <c r="F82" s="171">
        <v>775</v>
      </c>
      <c r="G82" s="171">
        <v>1700</v>
      </c>
      <c r="H82" s="164">
        <v>1600</v>
      </c>
      <c r="I82" s="164">
        <v>1773</v>
      </c>
      <c r="J82" s="165">
        <v>3862</v>
      </c>
      <c r="K82" s="160" t="e">
        <f>J82/#REF!*100</f>
        <v>#REF!</v>
      </c>
      <c r="L82" s="160">
        <f>J82/H82*100</f>
        <v>241.37499999999997</v>
      </c>
      <c r="M82" s="162"/>
      <c r="N82" s="162"/>
      <c r="O82" s="164">
        <f t="shared" si="29"/>
        <v>217.82289904117314</v>
      </c>
      <c r="P82" s="160">
        <f t="shared" si="27"/>
        <v>94.77300613496932</v>
      </c>
      <c r="Q82" s="165">
        <f t="shared" si="28"/>
        <v>66.03967168262653</v>
      </c>
    </row>
    <row r="83" spans="1:17" ht="24">
      <c r="A83" s="115" t="s">
        <v>236</v>
      </c>
      <c r="B83" s="115"/>
      <c r="C83" s="111" t="s">
        <v>237</v>
      </c>
      <c r="D83" s="163">
        <f t="shared" si="30"/>
        <v>479</v>
      </c>
      <c r="E83" s="159">
        <f t="shared" si="31"/>
        <v>291</v>
      </c>
      <c r="F83" s="171">
        <v>144.3</v>
      </c>
      <c r="G83" s="171">
        <v>105.6</v>
      </c>
      <c r="H83" s="164">
        <v>41.1</v>
      </c>
      <c r="I83" s="164">
        <v>188</v>
      </c>
      <c r="J83" s="165">
        <v>301.2</v>
      </c>
      <c r="K83" s="160" t="e">
        <f>J83/#REF!*100</f>
        <v>#REF!</v>
      </c>
      <c r="L83" s="160">
        <f>J83/H83*100</f>
        <v>732.8467153284671</v>
      </c>
      <c r="M83" s="162"/>
      <c r="N83" s="162"/>
      <c r="O83" s="164">
        <f t="shared" si="29"/>
        <v>160.2127659574468</v>
      </c>
      <c r="P83" s="160">
        <f t="shared" si="27"/>
        <v>103.50515463917526</v>
      </c>
      <c r="Q83" s="165">
        <f t="shared" si="28"/>
        <v>62.881002087682674</v>
      </c>
    </row>
    <row r="84" spans="1:17" ht="24">
      <c r="A84" s="114" t="s">
        <v>238</v>
      </c>
      <c r="B84" s="114"/>
      <c r="C84" s="111" t="s">
        <v>239</v>
      </c>
      <c r="D84" s="163">
        <f t="shared" si="30"/>
        <v>254.5</v>
      </c>
      <c r="E84" s="159">
        <f t="shared" si="31"/>
        <v>254.5</v>
      </c>
      <c r="F84" s="171">
        <v>11.5</v>
      </c>
      <c r="G84" s="171">
        <v>237.4</v>
      </c>
      <c r="H84" s="164">
        <v>5.6</v>
      </c>
      <c r="I84" s="164"/>
      <c r="J84" s="165">
        <v>432.8</v>
      </c>
      <c r="K84" s="160" t="e">
        <f>J84/#REF!*100</f>
        <v>#REF!</v>
      </c>
      <c r="L84" s="160">
        <f>J84/H84*100</f>
        <v>7728.571428571429</v>
      </c>
      <c r="M84" s="162"/>
      <c r="N84" s="162"/>
      <c r="O84" s="164" t="e">
        <f t="shared" si="29"/>
        <v>#DIV/0!</v>
      </c>
      <c r="P84" s="160">
        <f t="shared" si="27"/>
        <v>170.05893909626718</v>
      </c>
      <c r="Q84" s="165">
        <f t="shared" si="28"/>
        <v>170.05893909626718</v>
      </c>
    </row>
    <row r="85" spans="1:17" ht="12.75">
      <c r="A85" s="110" t="s">
        <v>242</v>
      </c>
      <c r="B85" s="110"/>
      <c r="C85" s="111" t="s">
        <v>243</v>
      </c>
      <c r="D85" s="163">
        <f t="shared" si="30"/>
        <v>0</v>
      </c>
      <c r="E85" s="159">
        <f t="shared" si="31"/>
        <v>0</v>
      </c>
      <c r="F85" s="171"/>
      <c r="G85" s="171"/>
      <c r="H85" s="164"/>
      <c r="I85" s="164"/>
      <c r="J85" s="165"/>
      <c r="K85" s="128"/>
      <c r="L85" s="128"/>
      <c r="M85" s="162"/>
      <c r="N85" s="162"/>
      <c r="O85" s="164" t="e">
        <f t="shared" si="29"/>
        <v>#DIV/0!</v>
      </c>
      <c r="P85" s="160"/>
      <c r="Q85" s="165"/>
    </row>
    <row r="86" spans="1:17" ht="12.75">
      <c r="A86" s="116" t="s">
        <v>244</v>
      </c>
      <c r="B86" s="117"/>
      <c r="C86" s="118" t="s">
        <v>245</v>
      </c>
      <c r="D86" s="163">
        <f t="shared" si="30"/>
        <v>0</v>
      </c>
      <c r="E86" s="159">
        <f t="shared" si="31"/>
        <v>0</v>
      </c>
      <c r="F86" s="171"/>
      <c r="G86" s="171"/>
      <c r="H86" s="164"/>
      <c r="I86" s="164"/>
      <c r="J86" s="165">
        <v>129.4</v>
      </c>
      <c r="K86" s="128"/>
      <c r="L86" s="128"/>
      <c r="M86" s="162"/>
      <c r="N86" s="162"/>
      <c r="O86" s="164" t="e">
        <f t="shared" si="29"/>
        <v>#DIV/0!</v>
      </c>
      <c r="P86" s="160"/>
      <c r="Q86" s="165"/>
    </row>
    <row r="87" spans="1:17" ht="12.75">
      <c r="A87" s="116" t="s">
        <v>261</v>
      </c>
      <c r="B87" s="117"/>
      <c r="C87" s="118" t="s">
        <v>262</v>
      </c>
      <c r="D87" s="118"/>
      <c r="E87" s="118"/>
      <c r="F87" s="171"/>
      <c r="G87" s="171"/>
      <c r="H87" s="164" t="e">
        <f>I87+#REF!+#REF!+#REF!</f>
        <v>#REF!</v>
      </c>
      <c r="I87" s="164"/>
      <c r="J87" s="165"/>
      <c r="K87" s="128"/>
      <c r="L87" s="128"/>
      <c r="M87" s="162"/>
      <c r="N87" s="162"/>
      <c r="O87" s="164" t="e">
        <f t="shared" si="29"/>
        <v>#DIV/0!</v>
      </c>
      <c r="P87" s="128" t="e">
        <f t="shared" si="27"/>
        <v>#DIV/0!</v>
      </c>
      <c r="Q87" s="129" t="e">
        <f t="shared" si="28"/>
        <v>#DIV/0!</v>
      </c>
    </row>
    <row r="88" spans="1:17" ht="12.75">
      <c r="A88" s="108" t="s">
        <v>246</v>
      </c>
      <c r="B88" s="108"/>
      <c r="C88" s="119" t="s">
        <v>247</v>
      </c>
      <c r="D88" s="166">
        <f aca="true" t="shared" si="32" ref="D88:J88">D89+D90</f>
        <v>73902</v>
      </c>
      <c r="E88" s="175">
        <f t="shared" si="32"/>
        <v>60716.9</v>
      </c>
      <c r="F88" s="166">
        <f t="shared" si="32"/>
        <v>12882.8</v>
      </c>
      <c r="G88" s="166">
        <f t="shared" si="32"/>
        <v>24578</v>
      </c>
      <c r="H88" s="166">
        <f t="shared" si="32"/>
        <v>23256.1</v>
      </c>
      <c r="I88" s="166">
        <f t="shared" si="32"/>
        <v>13185.1</v>
      </c>
      <c r="J88" s="166">
        <f t="shared" si="32"/>
        <v>42513.1</v>
      </c>
      <c r="K88" s="128" t="e">
        <f>J88/#REF!*100</f>
        <v>#REF!</v>
      </c>
      <c r="L88" s="128">
        <f>J88/H88*100</f>
        <v>182.80408150979744</v>
      </c>
      <c r="M88" s="162"/>
      <c r="N88" s="162"/>
      <c r="O88" s="157">
        <f t="shared" si="29"/>
        <v>322.43289774063146</v>
      </c>
      <c r="P88" s="128">
        <f t="shared" si="27"/>
        <v>70.01856155370251</v>
      </c>
      <c r="Q88" s="129">
        <f t="shared" si="28"/>
        <v>57.52631863819653</v>
      </c>
    </row>
    <row r="89" spans="1:17" ht="24">
      <c r="A89" s="120" t="s">
        <v>248</v>
      </c>
      <c r="B89" s="112"/>
      <c r="C89" s="121" t="s">
        <v>249</v>
      </c>
      <c r="D89" s="163">
        <f>F89+G89+H89+I89</f>
        <v>72576.1</v>
      </c>
      <c r="E89" s="159">
        <f>F89+G89+H89</f>
        <v>59391</v>
      </c>
      <c r="F89" s="171">
        <v>12882.8</v>
      </c>
      <c r="G89" s="171">
        <f>20394.2+239.3+2744.5</f>
        <v>23378</v>
      </c>
      <c r="H89" s="164">
        <f>16819+146.6+6164.6</f>
        <v>23130.199999999997</v>
      </c>
      <c r="I89" s="164">
        <v>13185.1</v>
      </c>
      <c r="J89" s="165">
        <v>41313.1</v>
      </c>
      <c r="K89" s="160" t="e">
        <f>J89/#REF!*100</f>
        <v>#REF!</v>
      </c>
      <c r="L89" s="160">
        <f>J89/H89*100</f>
        <v>178.61107988690114</v>
      </c>
      <c r="M89" s="162"/>
      <c r="N89" s="162"/>
      <c r="O89" s="164">
        <f t="shared" si="29"/>
        <v>313.33171534535194</v>
      </c>
      <c r="P89" s="160">
        <f t="shared" si="27"/>
        <v>69.5612129783974</v>
      </c>
      <c r="Q89" s="165">
        <f t="shared" si="28"/>
        <v>56.92383580820683</v>
      </c>
    </row>
    <row r="90" spans="1:17" ht="12.75">
      <c r="A90" s="120" t="s">
        <v>250</v>
      </c>
      <c r="B90" s="120"/>
      <c r="C90" s="122" t="s">
        <v>251</v>
      </c>
      <c r="D90" s="163">
        <f>F90+G90+H90+I90</f>
        <v>1325.9</v>
      </c>
      <c r="E90" s="159">
        <f>F90+G90+H90</f>
        <v>1325.9</v>
      </c>
      <c r="F90" s="176"/>
      <c r="G90" s="176">
        <v>1200</v>
      </c>
      <c r="H90" s="164">
        <v>125.9</v>
      </c>
      <c r="I90" s="164"/>
      <c r="J90" s="165">
        <v>1200</v>
      </c>
      <c r="K90" s="160" t="e">
        <f>J90/#REF!*100</f>
        <v>#REF!</v>
      </c>
      <c r="L90" s="160"/>
      <c r="M90" s="162"/>
      <c r="N90" s="162"/>
      <c r="O90" s="164" t="e">
        <f t="shared" si="29"/>
        <v>#DIV/0!</v>
      </c>
      <c r="P90" s="160">
        <f>J90*100/E90</f>
        <v>90.50456293838147</v>
      </c>
      <c r="Q90" s="165">
        <f>J90*100/D90</f>
        <v>90.50456293838147</v>
      </c>
    </row>
    <row r="91" spans="1:17" ht="12.75">
      <c r="A91" s="110"/>
      <c r="B91" s="126"/>
      <c r="C91" s="127" t="s">
        <v>256</v>
      </c>
      <c r="D91" s="129">
        <f aca="true" t="shared" si="33" ref="D91:J91">D88+D77</f>
        <v>97412</v>
      </c>
      <c r="E91" s="129">
        <f t="shared" si="33"/>
        <v>77029</v>
      </c>
      <c r="F91" s="129">
        <f t="shared" si="33"/>
        <v>17548.5</v>
      </c>
      <c r="G91" s="129">
        <f t="shared" si="33"/>
        <v>30936.9</v>
      </c>
      <c r="H91" s="129">
        <f t="shared" si="33"/>
        <v>28543.6</v>
      </c>
      <c r="I91" s="129">
        <f t="shared" si="33"/>
        <v>20383</v>
      </c>
      <c r="J91" s="129">
        <f t="shared" si="33"/>
        <v>56648.399999999994</v>
      </c>
      <c r="K91" s="128" t="e">
        <f>J91/#REF!*100</f>
        <v>#REF!</v>
      </c>
      <c r="L91" s="128">
        <f>J91/H91*100</f>
        <v>198.4627026724029</v>
      </c>
      <c r="M91" s="162"/>
      <c r="N91" s="169" t="e">
        <f>I91+#REF!+#REF!</f>
        <v>#REF!</v>
      </c>
      <c r="O91" s="157">
        <f t="shared" si="29"/>
        <v>277.9198351567482</v>
      </c>
      <c r="P91" s="128">
        <f t="shared" si="27"/>
        <v>73.54165314362122</v>
      </c>
      <c r="Q91" s="129">
        <f t="shared" si="28"/>
        <v>58.153410257463136</v>
      </c>
    </row>
    <row r="92" spans="1:17" ht="12.75">
      <c r="A92" s="256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8"/>
      <c r="M92" s="162"/>
      <c r="N92" s="162"/>
      <c r="O92" s="170"/>
      <c r="P92" s="128"/>
      <c r="Q92" s="129"/>
    </row>
    <row r="93" spans="1:17" ht="12.75">
      <c r="A93" s="223" t="s">
        <v>263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5"/>
      <c r="P93" s="128"/>
      <c r="Q93" s="129"/>
    </row>
    <row r="94" spans="1:17" ht="12.75">
      <c r="A94" s="108" t="s">
        <v>218</v>
      </c>
      <c r="B94" s="108"/>
      <c r="C94" s="109" t="s">
        <v>219</v>
      </c>
      <c r="D94" s="128">
        <f>D95+D97+D101+D98+D99+D102+D100+D96</f>
        <v>3333</v>
      </c>
      <c r="E94" s="128">
        <f aca="true" t="shared" si="34" ref="E94:J94">E95+E97+E101+E98+E99+E102+E100+E96</f>
        <v>2497.3999999999996</v>
      </c>
      <c r="F94" s="128">
        <f t="shared" si="34"/>
        <v>828.5000000000001</v>
      </c>
      <c r="G94" s="128">
        <f t="shared" si="34"/>
        <v>834.5999999999999</v>
      </c>
      <c r="H94" s="128">
        <f t="shared" si="34"/>
        <v>834.3000000000001</v>
      </c>
      <c r="I94" s="128">
        <f t="shared" si="34"/>
        <v>835.5999999999999</v>
      </c>
      <c r="J94" s="128">
        <f t="shared" si="34"/>
        <v>1686.0000000000002</v>
      </c>
      <c r="K94" s="128">
        <f>K95+K97+K101+K98+K99+K102+K100+K96+K96</f>
        <v>0</v>
      </c>
      <c r="L94" s="128" t="e">
        <f>L95+L97+L101+L98+L99+L102+L100+L96+L96</f>
        <v>#DIV/0!</v>
      </c>
      <c r="M94" s="128">
        <f>M95+M97+M101+M98+M99+M102+M100+M96+M96</f>
        <v>0</v>
      </c>
      <c r="N94" s="128">
        <f>N95+N97+N101+N98+N99+N102+N100+N96+N96</f>
        <v>0</v>
      </c>
      <c r="O94" s="128" t="e">
        <f>O95+O97+O101+O98+O99+O102+O100+O96+O96</f>
        <v>#DIV/0!</v>
      </c>
      <c r="P94" s="128">
        <f t="shared" si="27"/>
        <v>67.51021061904383</v>
      </c>
      <c r="Q94" s="129">
        <f t="shared" si="28"/>
        <v>50.5850585058506</v>
      </c>
    </row>
    <row r="95" spans="1:17" ht="12.75">
      <c r="A95" s="110" t="s">
        <v>220</v>
      </c>
      <c r="B95" s="110"/>
      <c r="C95" s="111" t="s">
        <v>221</v>
      </c>
      <c r="D95" s="163">
        <f>F95+G95+H95+I95</f>
        <v>3255</v>
      </c>
      <c r="E95" s="159">
        <f>F95+G95+H95</f>
        <v>2441.2</v>
      </c>
      <c r="F95" s="171">
        <v>813.7</v>
      </c>
      <c r="G95" s="171">
        <v>813.8</v>
      </c>
      <c r="H95" s="164">
        <v>813.7</v>
      </c>
      <c r="I95" s="165">
        <v>813.8</v>
      </c>
      <c r="J95" s="165">
        <v>1647.7</v>
      </c>
      <c r="K95" s="160"/>
      <c r="L95" s="160">
        <f>J95/H95*100</f>
        <v>202.49477694481993</v>
      </c>
      <c r="M95" s="169"/>
      <c r="N95" s="162"/>
      <c r="O95" s="164">
        <f t="shared" si="29"/>
        <v>202.4698943229295</v>
      </c>
      <c r="P95" s="160">
        <f t="shared" si="27"/>
        <v>67.49549401933476</v>
      </c>
      <c r="Q95" s="165">
        <f t="shared" si="28"/>
        <v>50.62058371735791</v>
      </c>
    </row>
    <row r="96" spans="1:17" ht="12.75">
      <c r="A96" s="112" t="s">
        <v>224</v>
      </c>
      <c r="B96" s="112"/>
      <c r="C96" s="111" t="s">
        <v>225</v>
      </c>
      <c r="D96" s="163"/>
      <c r="E96" s="159">
        <f aca="true" t="shared" si="35" ref="E96:E102">F96+G96+H96</f>
        <v>0</v>
      </c>
      <c r="F96" s="171"/>
      <c r="G96" s="171"/>
      <c r="H96" s="164"/>
      <c r="I96" s="165"/>
      <c r="J96" s="165">
        <v>3.7</v>
      </c>
      <c r="K96" s="160"/>
      <c r="L96" s="160"/>
      <c r="M96" s="169"/>
      <c r="N96" s="162"/>
      <c r="O96" s="164"/>
      <c r="P96" s="160"/>
      <c r="Q96" s="165"/>
    </row>
    <row r="97" spans="1:17" ht="12.75">
      <c r="A97" s="112" t="s">
        <v>226</v>
      </c>
      <c r="B97" s="112"/>
      <c r="C97" s="111" t="s">
        <v>227</v>
      </c>
      <c r="D97" s="163">
        <f aca="true" t="shared" si="36" ref="D97:D105">F97+G97+H97+I97</f>
        <v>40</v>
      </c>
      <c r="E97" s="159">
        <f t="shared" si="35"/>
        <v>29</v>
      </c>
      <c r="F97" s="171">
        <v>7.1</v>
      </c>
      <c r="G97" s="171">
        <v>11</v>
      </c>
      <c r="H97" s="164">
        <v>10.9</v>
      </c>
      <c r="I97" s="165">
        <v>11</v>
      </c>
      <c r="J97" s="165">
        <v>10.7</v>
      </c>
      <c r="K97" s="160"/>
      <c r="L97" s="160">
        <f aca="true" t="shared" si="37" ref="L97:L104">J97/H97*100</f>
        <v>98.16513761467888</v>
      </c>
      <c r="M97" s="169"/>
      <c r="N97" s="162"/>
      <c r="O97" s="164">
        <f t="shared" si="29"/>
        <v>97.27272727272727</v>
      </c>
      <c r="P97" s="160">
        <f t="shared" si="27"/>
        <v>36.89655172413793</v>
      </c>
      <c r="Q97" s="165">
        <f t="shared" si="28"/>
        <v>26.75</v>
      </c>
    </row>
    <row r="98" spans="1:17" ht="12.75">
      <c r="A98" s="112" t="s">
        <v>228</v>
      </c>
      <c r="B98" s="112"/>
      <c r="C98" s="111" t="s">
        <v>229</v>
      </c>
      <c r="D98" s="163">
        <f t="shared" si="36"/>
        <v>10</v>
      </c>
      <c r="E98" s="159">
        <f t="shared" si="35"/>
        <v>7</v>
      </c>
      <c r="F98" s="171">
        <v>1</v>
      </c>
      <c r="G98" s="171">
        <v>3</v>
      </c>
      <c r="H98" s="164">
        <v>3</v>
      </c>
      <c r="I98" s="165">
        <v>3</v>
      </c>
      <c r="J98" s="165">
        <v>5.7</v>
      </c>
      <c r="K98" s="160"/>
      <c r="L98" s="160">
        <f t="shared" si="37"/>
        <v>190</v>
      </c>
      <c r="M98" s="162"/>
      <c r="N98" s="162"/>
      <c r="O98" s="164">
        <f t="shared" si="29"/>
        <v>190</v>
      </c>
      <c r="P98" s="160">
        <f t="shared" si="27"/>
        <v>81.42857142857143</v>
      </c>
      <c r="Q98" s="165">
        <f t="shared" si="28"/>
        <v>57</v>
      </c>
    </row>
    <row r="99" spans="1:17" ht="24">
      <c r="A99" s="113" t="s">
        <v>232</v>
      </c>
      <c r="B99" s="113"/>
      <c r="C99" s="111" t="s">
        <v>233</v>
      </c>
      <c r="D99" s="163"/>
      <c r="E99" s="159">
        <f t="shared" si="35"/>
        <v>0</v>
      </c>
      <c r="F99" s="171"/>
      <c r="G99" s="171"/>
      <c r="H99" s="164"/>
      <c r="I99" s="165"/>
      <c r="J99" s="165">
        <v>1.7</v>
      </c>
      <c r="K99" s="160"/>
      <c r="L99" s="160" t="e">
        <f t="shared" si="37"/>
        <v>#DIV/0!</v>
      </c>
      <c r="M99" s="162"/>
      <c r="N99" s="162"/>
      <c r="O99" s="164" t="e">
        <f t="shared" si="29"/>
        <v>#DIV/0!</v>
      </c>
      <c r="P99" s="160"/>
      <c r="Q99" s="165"/>
    </row>
    <row r="100" spans="1:17" ht="24">
      <c r="A100" s="115" t="s">
        <v>236</v>
      </c>
      <c r="B100" s="115"/>
      <c r="C100" s="111" t="s">
        <v>237</v>
      </c>
      <c r="D100" s="163">
        <f t="shared" si="36"/>
        <v>27</v>
      </c>
      <c r="E100" s="159">
        <f t="shared" si="35"/>
        <v>20.2</v>
      </c>
      <c r="F100" s="171">
        <v>6.7</v>
      </c>
      <c r="G100" s="171">
        <v>6.8</v>
      </c>
      <c r="H100" s="164">
        <v>6.7</v>
      </c>
      <c r="I100" s="165">
        <v>6.8</v>
      </c>
      <c r="J100" s="165">
        <v>14.2</v>
      </c>
      <c r="K100" s="160"/>
      <c r="L100" s="160">
        <f t="shared" si="37"/>
        <v>211.94029850746267</v>
      </c>
      <c r="M100" s="162"/>
      <c r="N100" s="162"/>
      <c r="O100" s="164">
        <f t="shared" si="29"/>
        <v>208.82352941176472</v>
      </c>
      <c r="P100" s="160">
        <f t="shared" si="27"/>
        <v>70.2970297029703</v>
      </c>
      <c r="Q100" s="165">
        <f t="shared" si="28"/>
        <v>52.592592592592595</v>
      </c>
    </row>
    <row r="101" spans="1:17" ht="24">
      <c r="A101" s="115" t="s">
        <v>238</v>
      </c>
      <c r="B101" s="115"/>
      <c r="C101" s="111" t="s">
        <v>239</v>
      </c>
      <c r="D101" s="163">
        <f t="shared" si="36"/>
        <v>1</v>
      </c>
      <c r="E101" s="159">
        <f t="shared" si="35"/>
        <v>0</v>
      </c>
      <c r="F101" s="171"/>
      <c r="G101" s="171"/>
      <c r="H101" s="164"/>
      <c r="I101" s="165">
        <v>1</v>
      </c>
      <c r="J101" s="165"/>
      <c r="K101" s="160"/>
      <c r="L101" s="160" t="e">
        <f t="shared" si="37"/>
        <v>#DIV/0!</v>
      </c>
      <c r="M101" s="162"/>
      <c r="N101" s="162"/>
      <c r="O101" s="164">
        <f t="shared" si="29"/>
        <v>0</v>
      </c>
      <c r="P101" s="160"/>
      <c r="Q101" s="165">
        <f t="shared" si="28"/>
        <v>0</v>
      </c>
    </row>
    <row r="102" spans="1:17" ht="12.75">
      <c r="A102" s="115" t="s">
        <v>244</v>
      </c>
      <c r="B102" s="138"/>
      <c r="C102" s="118" t="s">
        <v>245</v>
      </c>
      <c r="D102" s="163">
        <f t="shared" si="36"/>
        <v>0</v>
      </c>
      <c r="E102" s="159">
        <f t="shared" si="35"/>
        <v>0</v>
      </c>
      <c r="F102" s="171"/>
      <c r="G102" s="171"/>
      <c r="H102" s="164"/>
      <c r="I102" s="165"/>
      <c r="J102" s="165">
        <v>2.3</v>
      </c>
      <c r="K102" s="128"/>
      <c r="L102" s="160" t="e">
        <f t="shared" si="37"/>
        <v>#DIV/0!</v>
      </c>
      <c r="M102" s="162"/>
      <c r="N102" s="162"/>
      <c r="O102" s="164" t="e">
        <f t="shared" si="29"/>
        <v>#DIV/0!</v>
      </c>
      <c r="P102" s="128"/>
      <c r="Q102" s="129"/>
    </row>
    <row r="103" spans="1:17" ht="12.75">
      <c r="A103" s="134" t="s">
        <v>246</v>
      </c>
      <c r="B103" s="134"/>
      <c r="C103" s="119" t="s">
        <v>247</v>
      </c>
      <c r="D103" s="166">
        <f aca="true" t="shared" si="38" ref="D103:K103">D104+D105</f>
        <v>25020.4</v>
      </c>
      <c r="E103" s="166">
        <f t="shared" si="38"/>
        <v>20195.2</v>
      </c>
      <c r="F103" s="166">
        <f t="shared" si="38"/>
        <v>5280</v>
      </c>
      <c r="G103" s="166">
        <f t="shared" si="38"/>
        <v>9889.4</v>
      </c>
      <c r="H103" s="166">
        <f t="shared" si="38"/>
        <v>5025.8</v>
      </c>
      <c r="I103" s="166">
        <f t="shared" si="38"/>
        <v>4825.2</v>
      </c>
      <c r="J103" s="166">
        <f t="shared" si="38"/>
        <v>18407.9</v>
      </c>
      <c r="K103" s="166">
        <f t="shared" si="38"/>
        <v>0</v>
      </c>
      <c r="L103" s="128">
        <f>J103/H103*100</f>
        <v>366.2680568267739</v>
      </c>
      <c r="M103" s="162"/>
      <c r="N103" s="162"/>
      <c r="O103" s="157">
        <f t="shared" si="29"/>
        <v>381.4950675619664</v>
      </c>
      <c r="P103" s="128">
        <f t="shared" si="27"/>
        <v>91.14987719854224</v>
      </c>
      <c r="Q103" s="129">
        <f t="shared" si="28"/>
        <v>73.5715656024684</v>
      </c>
    </row>
    <row r="104" spans="1:17" ht="24">
      <c r="A104" s="120" t="s">
        <v>248</v>
      </c>
      <c r="B104" s="112"/>
      <c r="C104" s="121" t="s">
        <v>249</v>
      </c>
      <c r="D104" s="163">
        <f t="shared" si="36"/>
        <v>24570.5</v>
      </c>
      <c r="E104" s="159">
        <f>F104+G104+H104</f>
        <v>19745.3</v>
      </c>
      <c r="F104" s="171">
        <f>5015.2+157.5+107.3</f>
        <v>5280</v>
      </c>
      <c r="G104" s="171">
        <f>4825.1+349.8+4264.6</f>
        <v>9439.5</v>
      </c>
      <c r="H104" s="164">
        <f>4825.1+22.2+178.5</f>
        <v>5025.8</v>
      </c>
      <c r="I104" s="165">
        <v>4825.2</v>
      </c>
      <c r="J104" s="165">
        <v>17958</v>
      </c>
      <c r="K104" s="160"/>
      <c r="L104" s="160">
        <f t="shared" si="37"/>
        <v>357.316248159497</v>
      </c>
      <c r="M104" s="162"/>
      <c r="N104" s="162"/>
      <c r="O104" s="164">
        <f t="shared" si="29"/>
        <v>372.1711017159911</v>
      </c>
      <c r="P104" s="160">
        <f t="shared" si="27"/>
        <v>90.94822565369986</v>
      </c>
      <c r="Q104" s="165">
        <f t="shared" si="28"/>
        <v>73.08764575405466</v>
      </c>
    </row>
    <row r="105" spans="1:17" ht="12.75">
      <c r="A105" s="120" t="s">
        <v>250</v>
      </c>
      <c r="B105" s="120"/>
      <c r="C105" s="122" t="s">
        <v>251</v>
      </c>
      <c r="D105" s="163">
        <f t="shared" si="36"/>
        <v>449.9</v>
      </c>
      <c r="E105" s="159">
        <f>F105+G105+H105</f>
        <v>449.9</v>
      </c>
      <c r="F105" s="176"/>
      <c r="G105" s="176">
        <v>449.9</v>
      </c>
      <c r="H105" s="164"/>
      <c r="I105" s="165"/>
      <c r="J105" s="165">
        <v>449.9</v>
      </c>
      <c r="K105" s="160"/>
      <c r="L105" s="160"/>
      <c r="M105" s="162"/>
      <c r="N105" s="162"/>
      <c r="O105" s="164" t="e">
        <f t="shared" si="29"/>
        <v>#DIV/0!</v>
      </c>
      <c r="P105" s="160">
        <f t="shared" si="27"/>
        <v>100</v>
      </c>
      <c r="Q105" s="165">
        <f t="shared" si="28"/>
        <v>100</v>
      </c>
    </row>
    <row r="106" spans="1:17" ht="12.75">
      <c r="A106" s="110"/>
      <c r="B106" s="126"/>
      <c r="C106" s="127" t="s">
        <v>256</v>
      </c>
      <c r="D106" s="129">
        <f aca="true" t="shared" si="39" ref="D106:K106">D103+D94</f>
        <v>28353.4</v>
      </c>
      <c r="E106" s="157">
        <f t="shared" si="39"/>
        <v>22692.6</v>
      </c>
      <c r="F106" s="157">
        <f t="shared" si="39"/>
        <v>6108.5</v>
      </c>
      <c r="G106" s="157">
        <f>G103+G94</f>
        <v>10724</v>
      </c>
      <c r="H106" s="129">
        <f t="shared" si="39"/>
        <v>5860.1</v>
      </c>
      <c r="I106" s="129">
        <f t="shared" si="39"/>
        <v>5660.799999999999</v>
      </c>
      <c r="J106" s="129">
        <f t="shared" si="39"/>
        <v>20093.9</v>
      </c>
      <c r="K106" s="129">
        <f t="shared" si="39"/>
        <v>0</v>
      </c>
      <c r="L106" s="128">
        <f>J106/H106*100</f>
        <v>342.8934659818092</v>
      </c>
      <c r="M106" s="162"/>
      <c r="N106" s="169" t="e">
        <f>I106+#REF!+#REF!</f>
        <v>#REF!</v>
      </c>
      <c r="O106" s="157">
        <f t="shared" si="29"/>
        <v>354.96572922555123</v>
      </c>
      <c r="P106" s="128">
        <f t="shared" si="27"/>
        <v>88.54824920899325</v>
      </c>
      <c r="Q106" s="129">
        <f t="shared" si="28"/>
        <v>70.86945480965247</v>
      </c>
    </row>
    <row r="107" spans="1:17" ht="12.75">
      <c r="A107" s="256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8"/>
      <c r="M107" s="162"/>
      <c r="N107" s="162"/>
      <c r="O107" s="170"/>
      <c r="P107" s="128"/>
      <c r="Q107" s="129"/>
    </row>
    <row r="108" spans="1:17" ht="12.75">
      <c r="A108" s="223" t="s">
        <v>264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5"/>
      <c r="P108" s="128"/>
      <c r="Q108" s="129"/>
    </row>
    <row r="109" spans="1:17" ht="12.75">
      <c r="A109" s="108" t="s">
        <v>218</v>
      </c>
      <c r="B109" s="108"/>
      <c r="C109" s="109" t="s">
        <v>219</v>
      </c>
      <c r="D109" s="128">
        <f>D110+D112+D116+D113+D114+D117+D115+D118+D111</f>
        <v>2573.1</v>
      </c>
      <c r="E109" s="128">
        <f aca="true" t="shared" si="40" ref="E109:J109">E110+E112+E116+E113+E114+E117+E115+E118+E111</f>
        <v>2051.8</v>
      </c>
      <c r="F109" s="128">
        <f t="shared" si="40"/>
        <v>306.6</v>
      </c>
      <c r="G109" s="128">
        <f t="shared" si="40"/>
        <v>1378.3000000000002</v>
      </c>
      <c r="H109" s="128">
        <f t="shared" si="40"/>
        <v>366.90000000000003</v>
      </c>
      <c r="I109" s="128">
        <f t="shared" si="40"/>
        <v>521.3</v>
      </c>
      <c r="J109" s="128">
        <f t="shared" si="40"/>
        <v>1902</v>
      </c>
      <c r="K109" s="128" t="e">
        <f>J109/#REF!*100</f>
        <v>#REF!</v>
      </c>
      <c r="L109" s="128">
        <f aca="true" t="shared" si="41" ref="L109:L116">J109/H109*100</f>
        <v>518.397383483238</v>
      </c>
      <c r="M109" s="162"/>
      <c r="N109" s="162"/>
      <c r="O109" s="128">
        <f t="shared" si="29"/>
        <v>364.85708804910803</v>
      </c>
      <c r="P109" s="128">
        <f t="shared" si="27"/>
        <v>92.69909347889657</v>
      </c>
      <c r="Q109" s="129">
        <f t="shared" si="28"/>
        <v>73.9186195639501</v>
      </c>
    </row>
    <row r="110" spans="1:17" ht="12.75">
      <c r="A110" s="110" t="s">
        <v>220</v>
      </c>
      <c r="B110" s="110"/>
      <c r="C110" s="111" t="s">
        <v>221</v>
      </c>
      <c r="D110" s="163">
        <f>F110+G110+H110+I110</f>
        <v>2240</v>
      </c>
      <c r="E110" s="159">
        <f>F110+G110+H110</f>
        <v>1793.1000000000001</v>
      </c>
      <c r="F110" s="163">
        <v>235.4</v>
      </c>
      <c r="G110" s="163">
        <v>1265</v>
      </c>
      <c r="H110" s="165">
        <v>292.7</v>
      </c>
      <c r="I110" s="165">
        <v>446.9</v>
      </c>
      <c r="J110" s="165">
        <v>1788.7</v>
      </c>
      <c r="K110" s="160" t="e">
        <f>J110/#REF!*100</f>
        <v>#REF!</v>
      </c>
      <c r="L110" s="160">
        <f t="shared" si="41"/>
        <v>611.103518961394</v>
      </c>
      <c r="M110" s="162"/>
      <c r="N110" s="162"/>
      <c r="O110" s="164">
        <f t="shared" si="29"/>
        <v>400.24614007607966</v>
      </c>
      <c r="P110" s="160">
        <f t="shared" si="27"/>
        <v>99.75461491272098</v>
      </c>
      <c r="Q110" s="165">
        <f t="shared" si="28"/>
        <v>79.85267857142857</v>
      </c>
    </row>
    <row r="111" spans="1:17" ht="12.75">
      <c r="A111" s="112" t="s">
        <v>224</v>
      </c>
      <c r="B111" s="112"/>
      <c r="C111" s="111" t="s">
        <v>225</v>
      </c>
      <c r="D111" s="163">
        <f>F111+G111+H111+I111</f>
        <v>0</v>
      </c>
      <c r="E111" s="159">
        <f aca="true" t="shared" si="42" ref="E111:E118">F111+G111+H111</f>
        <v>0</v>
      </c>
      <c r="F111" s="163"/>
      <c r="G111" s="163"/>
      <c r="H111" s="165"/>
      <c r="I111" s="165"/>
      <c r="J111" s="165"/>
      <c r="K111" s="160"/>
      <c r="L111" s="160"/>
      <c r="M111" s="162"/>
      <c r="N111" s="162"/>
      <c r="O111" s="164"/>
      <c r="P111" s="160"/>
      <c r="Q111" s="165"/>
    </row>
    <row r="112" spans="1:17" ht="12.75">
      <c r="A112" s="112" t="s">
        <v>226</v>
      </c>
      <c r="B112" s="112"/>
      <c r="C112" s="111" t="s">
        <v>227</v>
      </c>
      <c r="D112" s="163">
        <f aca="true" t="shared" si="43" ref="D112:D120">F112+G112+H112+I112</f>
        <v>63</v>
      </c>
      <c r="E112" s="159">
        <f t="shared" si="42"/>
        <v>51</v>
      </c>
      <c r="F112" s="163">
        <v>9</v>
      </c>
      <c r="G112" s="163">
        <v>30</v>
      </c>
      <c r="H112" s="165">
        <v>12</v>
      </c>
      <c r="I112" s="165">
        <v>12</v>
      </c>
      <c r="J112" s="165">
        <v>34.5</v>
      </c>
      <c r="K112" s="160" t="e">
        <f>J112/#REF!*100</f>
        <v>#REF!</v>
      </c>
      <c r="L112" s="160">
        <f t="shared" si="41"/>
        <v>287.5</v>
      </c>
      <c r="M112" s="162"/>
      <c r="N112" s="162"/>
      <c r="O112" s="164">
        <f t="shared" si="29"/>
        <v>287.5</v>
      </c>
      <c r="P112" s="160">
        <f t="shared" si="27"/>
        <v>67.6470588235294</v>
      </c>
      <c r="Q112" s="165">
        <f t="shared" si="28"/>
        <v>54.76190476190476</v>
      </c>
    </row>
    <row r="113" spans="1:17" ht="12.75">
      <c r="A113" s="112" t="s">
        <v>228</v>
      </c>
      <c r="B113" s="112"/>
      <c r="C113" s="111" t="s">
        <v>229</v>
      </c>
      <c r="D113" s="163">
        <f t="shared" si="43"/>
        <v>31</v>
      </c>
      <c r="E113" s="159">
        <f t="shared" si="42"/>
        <v>23.5</v>
      </c>
      <c r="F113" s="163">
        <v>7.5</v>
      </c>
      <c r="G113" s="163">
        <v>8.4</v>
      </c>
      <c r="H113" s="165">
        <v>7.6</v>
      </c>
      <c r="I113" s="165">
        <v>7.5</v>
      </c>
      <c r="J113" s="165">
        <v>20.1</v>
      </c>
      <c r="K113" s="160" t="e">
        <f>J113/#REF!*100</f>
        <v>#REF!</v>
      </c>
      <c r="L113" s="160">
        <f t="shared" si="41"/>
        <v>264.4736842105263</v>
      </c>
      <c r="M113" s="162"/>
      <c r="N113" s="162"/>
      <c r="O113" s="164">
        <f t="shared" si="29"/>
        <v>268.00000000000006</v>
      </c>
      <c r="P113" s="160">
        <f t="shared" si="27"/>
        <v>85.53191489361703</v>
      </c>
      <c r="Q113" s="165">
        <f t="shared" si="28"/>
        <v>64.83870967741936</v>
      </c>
    </row>
    <row r="114" spans="1:17" ht="24">
      <c r="A114" s="113" t="s">
        <v>232</v>
      </c>
      <c r="B114" s="113"/>
      <c r="C114" s="111" t="s">
        <v>233</v>
      </c>
      <c r="D114" s="163">
        <f t="shared" si="43"/>
        <v>149.1</v>
      </c>
      <c r="E114" s="159">
        <f t="shared" si="42"/>
        <v>116.69999999999999</v>
      </c>
      <c r="F114" s="163">
        <v>32.2</v>
      </c>
      <c r="G114" s="163">
        <v>52.4</v>
      </c>
      <c r="H114" s="165">
        <v>32.1</v>
      </c>
      <c r="I114" s="165">
        <v>32.4</v>
      </c>
      <c r="J114" s="165">
        <v>20.9</v>
      </c>
      <c r="K114" s="160" t="e">
        <f>J114/#REF!*100</f>
        <v>#REF!</v>
      </c>
      <c r="L114" s="160">
        <f t="shared" si="41"/>
        <v>65.10903426791276</v>
      </c>
      <c r="M114" s="162"/>
      <c r="N114" s="162"/>
      <c r="O114" s="164">
        <f t="shared" si="29"/>
        <v>64.50617283950618</v>
      </c>
      <c r="P114" s="160">
        <f t="shared" si="27"/>
        <v>17.90916880891174</v>
      </c>
      <c r="Q114" s="165">
        <f t="shared" si="28"/>
        <v>14.017437961099933</v>
      </c>
    </row>
    <row r="115" spans="1:17" ht="24">
      <c r="A115" s="115" t="s">
        <v>236</v>
      </c>
      <c r="B115" s="115"/>
      <c r="C115" s="111" t="s">
        <v>237</v>
      </c>
      <c r="D115" s="163">
        <f t="shared" si="43"/>
        <v>90</v>
      </c>
      <c r="E115" s="159">
        <f t="shared" si="42"/>
        <v>67.5</v>
      </c>
      <c r="F115" s="163">
        <v>22.5</v>
      </c>
      <c r="G115" s="163">
        <v>22.5</v>
      </c>
      <c r="H115" s="165">
        <v>22.5</v>
      </c>
      <c r="I115" s="165">
        <v>22.5</v>
      </c>
      <c r="J115" s="165">
        <v>37.8</v>
      </c>
      <c r="K115" s="160" t="e">
        <f>J115/#REF!*100</f>
        <v>#REF!</v>
      </c>
      <c r="L115" s="160">
        <f t="shared" si="41"/>
        <v>168</v>
      </c>
      <c r="M115" s="162"/>
      <c r="N115" s="162"/>
      <c r="O115" s="164">
        <f t="shared" si="29"/>
        <v>167.99999999999997</v>
      </c>
      <c r="P115" s="160">
        <f t="shared" si="27"/>
        <v>55.99999999999999</v>
      </c>
      <c r="Q115" s="165">
        <f t="shared" si="28"/>
        <v>41.99999999999999</v>
      </c>
    </row>
    <row r="116" spans="1:17" ht="24">
      <c r="A116" s="114" t="s">
        <v>238</v>
      </c>
      <c r="B116" s="114"/>
      <c r="C116" s="111" t="s">
        <v>239</v>
      </c>
      <c r="D116" s="163">
        <f t="shared" si="43"/>
        <v>0</v>
      </c>
      <c r="E116" s="159">
        <f t="shared" si="42"/>
        <v>0</v>
      </c>
      <c r="F116" s="163"/>
      <c r="G116" s="163"/>
      <c r="H116" s="165"/>
      <c r="I116" s="165"/>
      <c r="J116" s="165"/>
      <c r="K116" s="160" t="e">
        <f>J116/#REF!*100</f>
        <v>#REF!</v>
      </c>
      <c r="L116" s="160" t="e">
        <f t="shared" si="41"/>
        <v>#DIV/0!</v>
      </c>
      <c r="M116" s="162"/>
      <c r="N116" s="162"/>
      <c r="O116" s="164" t="e">
        <f t="shared" si="29"/>
        <v>#DIV/0!</v>
      </c>
      <c r="P116" s="160"/>
      <c r="Q116" s="165"/>
    </row>
    <row r="117" spans="1:17" ht="12.75">
      <c r="A117" s="110" t="s">
        <v>242</v>
      </c>
      <c r="B117" s="110"/>
      <c r="C117" s="111" t="s">
        <v>243</v>
      </c>
      <c r="D117" s="163">
        <f t="shared" si="43"/>
        <v>0</v>
      </c>
      <c r="E117" s="159">
        <f t="shared" si="42"/>
        <v>0</v>
      </c>
      <c r="F117" s="163"/>
      <c r="G117" s="163"/>
      <c r="H117" s="165"/>
      <c r="I117" s="165"/>
      <c r="J117" s="165"/>
      <c r="K117" s="160"/>
      <c r="L117" s="160"/>
      <c r="M117" s="162"/>
      <c r="N117" s="162"/>
      <c r="O117" s="164" t="e">
        <f t="shared" si="29"/>
        <v>#DIV/0!</v>
      </c>
      <c r="P117" s="128" t="e">
        <f t="shared" si="27"/>
        <v>#DIV/0!</v>
      </c>
      <c r="Q117" s="129" t="e">
        <f t="shared" si="28"/>
        <v>#DIV/0!</v>
      </c>
    </row>
    <row r="118" spans="1:17" ht="12.75">
      <c r="A118" s="114" t="s">
        <v>244</v>
      </c>
      <c r="B118" s="138"/>
      <c r="C118" s="118" t="s">
        <v>245</v>
      </c>
      <c r="D118" s="163">
        <f t="shared" si="43"/>
        <v>0</v>
      </c>
      <c r="E118" s="159">
        <f t="shared" si="42"/>
        <v>0</v>
      </c>
      <c r="F118" s="163"/>
      <c r="G118" s="163"/>
      <c r="H118" s="165"/>
      <c r="I118" s="165"/>
      <c r="J118" s="165"/>
      <c r="K118" s="160"/>
      <c r="L118" s="160"/>
      <c r="M118" s="162"/>
      <c r="N118" s="162"/>
      <c r="O118" s="164" t="e">
        <f t="shared" si="29"/>
        <v>#DIV/0!</v>
      </c>
      <c r="P118" s="128"/>
      <c r="Q118" s="129"/>
    </row>
    <row r="119" spans="1:17" ht="12.75">
      <c r="A119" s="108" t="s">
        <v>246</v>
      </c>
      <c r="B119" s="108"/>
      <c r="C119" s="119" t="s">
        <v>247</v>
      </c>
      <c r="D119" s="166">
        <f aca="true" t="shared" si="44" ref="D119:K119">D120</f>
        <v>28608.8</v>
      </c>
      <c r="E119" s="177">
        <f t="shared" si="44"/>
        <v>22502.3</v>
      </c>
      <c r="F119" s="177">
        <f t="shared" si="44"/>
        <v>4130.1</v>
      </c>
      <c r="G119" s="177">
        <f t="shared" si="44"/>
        <v>8470.3</v>
      </c>
      <c r="H119" s="177">
        <f t="shared" si="44"/>
        <v>9901.9</v>
      </c>
      <c r="I119" s="166">
        <f t="shared" si="44"/>
        <v>6106.5</v>
      </c>
      <c r="J119" s="166">
        <f t="shared" si="44"/>
        <v>16138.3</v>
      </c>
      <c r="K119" s="166" t="e">
        <f t="shared" si="44"/>
        <v>#REF!</v>
      </c>
      <c r="L119" s="128">
        <f>J119/H119*100</f>
        <v>162.98185196780415</v>
      </c>
      <c r="M119" s="162"/>
      <c r="N119" s="162"/>
      <c r="O119" s="157">
        <f t="shared" si="29"/>
        <v>264.2806845164988</v>
      </c>
      <c r="P119" s="128">
        <f t="shared" si="27"/>
        <v>71.71844655879622</v>
      </c>
      <c r="Q119" s="129">
        <f t="shared" si="28"/>
        <v>56.41026537289226</v>
      </c>
    </row>
    <row r="120" spans="1:17" ht="24">
      <c r="A120" s="120" t="s">
        <v>248</v>
      </c>
      <c r="B120" s="112"/>
      <c r="C120" s="121" t="s">
        <v>249</v>
      </c>
      <c r="D120" s="163">
        <f t="shared" si="43"/>
        <v>28608.8</v>
      </c>
      <c r="E120" s="159">
        <f>F120+G120+H120</f>
        <v>22502.3</v>
      </c>
      <c r="F120" s="163">
        <f>3823.7+27.9+278.5</f>
        <v>4130.1</v>
      </c>
      <c r="G120" s="163">
        <f>7079.4+700+71.3+619.6</f>
        <v>8470.3</v>
      </c>
      <c r="H120" s="165">
        <f>7725.2+193+1983.7</f>
        <v>9901.9</v>
      </c>
      <c r="I120" s="165">
        <v>6106.5</v>
      </c>
      <c r="J120" s="165">
        <v>16138.3</v>
      </c>
      <c r="K120" s="160" t="e">
        <f>J120/#REF!*100</f>
        <v>#REF!</v>
      </c>
      <c r="L120" s="160">
        <f>J120/H120*100</f>
        <v>162.98185196780415</v>
      </c>
      <c r="M120" s="162"/>
      <c r="N120" s="162"/>
      <c r="O120" s="164">
        <f t="shared" si="29"/>
        <v>264.2806845164988</v>
      </c>
      <c r="P120" s="160">
        <f t="shared" si="27"/>
        <v>71.71844655879622</v>
      </c>
      <c r="Q120" s="165">
        <f t="shared" si="28"/>
        <v>56.41026537289226</v>
      </c>
    </row>
    <row r="121" spans="1:17" ht="12.75">
      <c r="A121" s="110"/>
      <c r="B121" s="126"/>
      <c r="C121" s="127" t="s">
        <v>256</v>
      </c>
      <c r="D121" s="129">
        <f aca="true" t="shared" si="45" ref="D121:J121">D119+D109</f>
        <v>31181.899999999998</v>
      </c>
      <c r="E121" s="129">
        <f t="shared" si="45"/>
        <v>24554.1</v>
      </c>
      <c r="F121" s="129">
        <f t="shared" si="45"/>
        <v>4436.700000000001</v>
      </c>
      <c r="G121" s="129">
        <f t="shared" si="45"/>
        <v>9848.599999999999</v>
      </c>
      <c r="H121" s="129">
        <f t="shared" si="45"/>
        <v>10268.8</v>
      </c>
      <c r="I121" s="129">
        <f t="shared" si="45"/>
        <v>6627.8</v>
      </c>
      <c r="J121" s="129">
        <f t="shared" si="45"/>
        <v>18040.3</v>
      </c>
      <c r="K121" s="128" t="e">
        <f>J121/#REF!*100</f>
        <v>#REF!</v>
      </c>
      <c r="L121" s="128">
        <f>J121/H121*100</f>
        <v>175.68070271112498</v>
      </c>
      <c r="M121" s="162"/>
      <c r="N121" s="169" t="e">
        <f>I121+#REF!+#REF!</f>
        <v>#REF!</v>
      </c>
      <c r="O121" s="157">
        <f t="shared" si="29"/>
        <v>272.1913757204502</v>
      </c>
      <c r="P121" s="128">
        <f t="shared" si="27"/>
        <v>73.47164017414607</v>
      </c>
      <c r="Q121" s="129">
        <f t="shared" si="28"/>
        <v>57.85503769815182</v>
      </c>
    </row>
    <row r="122" spans="1:17" ht="12.75">
      <c r="A122" s="256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8"/>
      <c r="M122" s="162"/>
      <c r="N122" s="162"/>
      <c r="O122" s="170"/>
      <c r="P122" s="128"/>
      <c r="Q122" s="129"/>
    </row>
    <row r="123" spans="1:17" ht="12.75">
      <c r="A123" s="223" t="s">
        <v>265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5"/>
      <c r="P123" s="128"/>
      <c r="Q123" s="129"/>
    </row>
    <row r="124" spans="1:17" ht="12.75">
      <c r="A124" s="108" t="s">
        <v>218</v>
      </c>
      <c r="B124" s="108"/>
      <c r="C124" s="109" t="s">
        <v>219</v>
      </c>
      <c r="D124" s="128">
        <f aca="true" t="shared" si="46" ref="D124:J124">D125+D126+D127+D128+D130+D132+D129+D131</f>
        <v>2310.5</v>
      </c>
      <c r="E124" s="128">
        <f t="shared" si="46"/>
        <v>1716.8000000000002</v>
      </c>
      <c r="F124" s="128">
        <f t="shared" si="46"/>
        <v>567.2</v>
      </c>
      <c r="G124" s="128">
        <f t="shared" si="46"/>
        <v>573.2</v>
      </c>
      <c r="H124" s="128">
        <f t="shared" si="46"/>
        <v>576.4</v>
      </c>
      <c r="I124" s="128">
        <f t="shared" si="46"/>
        <v>593.7</v>
      </c>
      <c r="J124" s="128">
        <f t="shared" si="46"/>
        <v>1643</v>
      </c>
      <c r="K124" s="128" t="e">
        <f>J124/#REF!*100</f>
        <v>#REF!</v>
      </c>
      <c r="L124" s="128">
        <f aca="true" t="shared" si="47" ref="L124:L130">J124/H124*100</f>
        <v>285.04510756419154</v>
      </c>
      <c r="M124" s="162"/>
      <c r="N124" s="162"/>
      <c r="O124" s="128">
        <f t="shared" si="29"/>
        <v>276.7390938184268</v>
      </c>
      <c r="P124" s="128">
        <f t="shared" si="27"/>
        <v>95.70130475302888</v>
      </c>
      <c r="Q124" s="129">
        <f t="shared" si="28"/>
        <v>71.11014931832936</v>
      </c>
    </row>
    <row r="125" spans="1:17" ht="12.75">
      <c r="A125" s="110" t="s">
        <v>220</v>
      </c>
      <c r="B125" s="110"/>
      <c r="C125" s="111" t="s">
        <v>221</v>
      </c>
      <c r="D125" s="163">
        <f>F125+G125+H125+I125</f>
        <v>1922.5000000000002</v>
      </c>
      <c r="E125" s="159">
        <f>F125+G125+H125</f>
        <v>1441.8000000000002</v>
      </c>
      <c r="F125" s="171">
        <v>480.6</v>
      </c>
      <c r="G125" s="171">
        <v>480.6</v>
      </c>
      <c r="H125" s="164">
        <v>480.6</v>
      </c>
      <c r="I125" s="165">
        <v>480.7</v>
      </c>
      <c r="J125" s="165">
        <v>1421.6</v>
      </c>
      <c r="K125" s="160" t="e">
        <f>J125/#REF!*100</f>
        <v>#REF!</v>
      </c>
      <c r="L125" s="160">
        <f t="shared" si="47"/>
        <v>295.7969205160216</v>
      </c>
      <c r="M125" s="162"/>
      <c r="N125" s="162"/>
      <c r="O125" s="164">
        <f t="shared" si="29"/>
        <v>295.735385895569</v>
      </c>
      <c r="P125" s="160">
        <f t="shared" si="27"/>
        <v>98.59897350534054</v>
      </c>
      <c r="Q125" s="165">
        <f t="shared" si="28"/>
        <v>73.94538361508452</v>
      </c>
    </row>
    <row r="126" spans="1:17" ht="12.75">
      <c r="A126" s="112" t="s">
        <v>226</v>
      </c>
      <c r="B126" s="112"/>
      <c r="C126" s="111" t="s">
        <v>227</v>
      </c>
      <c r="D126" s="163">
        <f aca="true" t="shared" si="48" ref="D126:D135">F126+G126+H126+I126</f>
        <v>196</v>
      </c>
      <c r="E126" s="159">
        <f aca="true" t="shared" si="49" ref="E126:E135">F126+G126+H126</f>
        <v>136.2</v>
      </c>
      <c r="F126" s="171">
        <v>43</v>
      </c>
      <c r="G126" s="171">
        <v>47.9</v>
      </c>
      <c r="H126" s="164">
        <v>45.3</v>
      </c>
      <c r="I126" s="165">
        <v>59.8</v>
      </c>
      <c r="J126" s="165">
        <v>89.2</v>
      </c>
      <c r="K126" s="160" t="e">
        <f>J126/#REF!*100</f>
        <v>#REF!</v>
      </c>
      <c r="L126" s="160">
        <f t="shared" si="47"/>
        <v>196.9094922737307</v>
      </c>
      <c r="M126" s="162"/>
      <c r="N126" s="162"/>
      <c r="O126" s="164">
        <f t="shared" si="29"/>
        <v>149.16387959866222</v>
      </c>
      <c r="P126" s="160">
        <f t="shared" si="27"/>
        <v>65.49192364170338</v>
      </c>
      <c r="Q126" s="165">
        <f t="shared" si="28"/>
        <v>45.51020408163265</v>
      </c>
    </row>
    <row r="127" spans="1:17" ht="12.75">
      <c r="A127" s="112" t="s">
        <v>228</v>
      </c>
      <c r="B127" s="112"/>
      <c r="C127" s="111" t="s">
        <v>229</v>
      </c>
      <c r="D127" s="163">
        <f t="shared" si="48"/>
        <v>40</v>
      </c>
      <c r="E127" s="159">
        <f t="shared" si="49"/>
        <v>24.8</v>
      </c>
      <c r="F127" s="171">
        <v>6</v>
      </c>
      <c r="G127" s="171">
        <v>6</v>
      </c>
      <c r="H127" s="164">
        <v>12.8</v>
      </c>
      <c r="I127" s="165">
        <v>15.2</v>
      </c>
      <c r="J127" s="165">
        <v>43.3</v>
      </c>
      <c r="K127" s="160" t="e">
        <f>J127/#REF!*100</f>
        <v>#REF!</v>
      </c>
      <c r="L127" s="160">
        <f t="shared" si="47"/>
        <v>338.28124999999994</v>
      </c>
      <c r="M127" s="162"/>
      <c r="N127" s="162"/>
      <c r="O127" s="164">
        <f t="shared" si="29"/>
        <v>284.8684210526316</v>
      </c>
      <c r="P127" s="160">
        <f t="shared" si="27"/>
        <v>174.59677419354838</v>
      </c>
      <c r="Q127" s="165">
        <f t="shared" si="28"/>
        <v>108.25</v>
      </c>
    </row>
    <row r="128" spans="1:17" ht="24">
      <c r="A128" s="113" t="s">
        <v>232</v>
      </c>
      <c r="B128" s="113"/>
      <c r="C128" s="111" t="s">
        <v>233</v>
      </c>
      <c r="D128" s="163">
        <f t="shared" si="48"/>
        <v>72</v>
      </c>
      <c r="E128" s="159">
        <f t="shared" si="49"/>
        <v>54</v>
      </c>
      <c r="F128" s="171">
        <v>18</v>
      </c>
      <c r="G128" s="171">
        <v>18</v>
      </c>
      <c r="H128" s="164">
        <v>18</v>
      </c>
      <c r="I128" s="165">
        <v>18</v>
      </c>
      <c r="J128" s="165">
        <v>54.2</v>
      </c>
      <c r="K128" s="160" t="e">
        <f>J128/#REF!*100</f>
        <v>#REF!</v>
      </c>
      <c r="L128" s="160">
        <f t="shared" si="47"/>
        <v>301.1111111111111</v>
      </c>
      <c r="M128" s="162"/>
      <c r="N128" s="162"/>
      <c r="O128" s="164">
        <f t="shared" si="29"/>
        <v>301.1111111111111</v>
      </c>
      <c r="P128" s="160">
        <f t="shared" si="27"/>
        <v>100.37037037037037</v>
      </c>
      <c r="Q128" s="165">
        <f t="shared" si="28"/>
        <v>75.27777777777777</v>
      </c>
    </row>
    <row r="129" spans="1:17" ht="24">
      <c r="A129" s="115" t="s">
        <v>236</v>
      </c>
      <c r="B129" s="115"/>
      <c r="C129" s="111" t="s">
        <v>237</v>
      </c>
      <c r="D129" s="163">
        <f t="shared" si="48"/>
        <v>80</v>
      </c>
      <c r="E129" s="159">
        <f t="shared" si="49"/>
        <v>60</v>
      </c>
      <c r="F129" s="171">
        <v>19.6</v>
      </c>
      <c r="G129" s="171">
        <v>20.7</v>
      </c>
      <c r="H129" s="164">
        <v>19.7</v>
      </c>
      <c r="I129" s="165">
        <v>20</v>
      </c>
      <c r="J129" s="165">
        <v>34.7</v>
      </c>
      <c r="K129" s="160" t="e">
        <f>J129/#REF!*100</f>
        <v>#REF!</v>
      </c>
      <c r="L129" s="160">
        <f t="shared" si="47"/>
        <v>176.14213197969545</v>
      </c>
      <c r="M129" s="162"/>
      <c r="N129" s="162"/>
      <c r="O129" s="164">
        <f t="shared" si="29"/>
        <v>173.50000000000003</v>
      </c>
      <c r="P129" s="160">
        <f t="shared" si="27"/>
        <v>57.83333333333334</v>
      </c>
      <c r="Q129" s="165">
        <f t="shared" si="28"/>
        <v>43.37500000000001</v>
      </c>
    </row>
    <row r="130" spans="1:17" ht="24">
      <c r="A130" s="115" t="s">
        <v>238</v>
      </c>
      <c r="B130" s="115"/>
      <c r="C130" s="111" t="s">
        <v>239</v>
      </c>
      <c r="D130" s="163">
        <f t="shared" si="48"/>
        <v>0</v>
      </c>
      <c r="E130" s="159">
        <f t="shared" si="49"/>
        <v>0</v>
      </c>
      <c r="F130" s="171"/>
      <c r="G130" s="171"/>
      <c r="H130" s="164"/>
      <c r="I130" s="165"/>
      <c r="J130" s="165"/>
      <c r="K130" s="160" t="e">
        <f>J130/#REF!*100</f>
        <v>#REF!</v>
      </c>
      <c r="L130" s="160" t="e">
        <f t="shared" si="47"/>
        <v>#DIV/0!</v>
      </c>
      <c r="M130" s="162"/>
      <c r="N130" s="162"/>
      <c r="O130" s="164" t="e">
        <f t="shared" si="29"/>
        <v>#DIV/0!</v>
      </c>
      <c r="P130" s="160"/>
      <c r="Q130" s="165"/>
    </row>
    <row r="131" spans="1:17" ht="12.75">
      <c r="A131" s="110" t="s">
        <v>242</v>
      </c>
      <c r="B131" s="110"/>
      <c r="C131" s="111" t="s">
        <v>243</v>
      </c>
      <c r="D131" s="163">
        <f t="shared" si="48"/>
        <v>0</v>
      </c>
      <c r="E131" s="159">
        <f t="shared" si="49"/>
        <v>0</v>
      </c>
      <c r="F131" s="171"/>
      <c r="G131" s="171"/>
      <c r="H131" s="164"/>
      <c r="I131" s="165"/>
      <c r="J131" s="165"/>
      <c r="K131" s="160"/>
      <c r="L131" s="160"/>
      <c r="M131" s="162"/>
      <c r="N131" s="162"/>
      <c r="O131" s="164"/>
      <c r="P131" s="160"/>
      <c r="Q131" s="165"/>
    </row>
    <row r="132" spans="1:17" ht="12.75">
      <c r="A132" s="115" t="s">
        <v>244</v>
      </c>
      <c r="B132" s="138"/>
      <c r="C132" s="118" t="s">
        <v>245</v>
      </c>
      <c r="D132" s="163">
        <f t="shared" si="48"/>
        <v>0</v>
      </c>
      <c r="E132" s="159">
        <f t="shared" si="49"/>
        <v>0</v>
      </c>
      <c r="F132" s="171">
        <v>0</v>
      </c>
      <c r="G132" s="171"/>
      <c r="H132" s="164"/>
      <c r="I132" s="165"/>
      <c r="J132" s="164"/>
      <c r="K132" s="160"/>
      <c r="L132" s="160"/>
      <c r="M132" s="162"/>
      <c r="N132" s="162"/>
      <c r="O132" s="164"/>
      <c r="P132" s="160"/>
      <c r="Q132" s="165"/>
    </row>
    <row r="133" spans="1:17" ht="12.75">
      <c r="A133" s="134" t="s">
        <v>246</v>
      </c>
      <c r="B133" s="134"/>
      <c r="C133" s="119" t="s">
        <v>247</v>
      </c>
      <c r="D133" s="166">
        <f aca="true" t="shared" si="50" ref="D133:J133">D134+D135</f>
        <v>46955.5</v>
      </c>
      <c r="E133" s="166">
        <f t="shared" si="50"/>
        <v>36281.3</v>
      </c>
      <c r="F133" s="166">
        <f t="shared" si="50"/>
        <v>13626.2</v>
      </c>
      <c r="G133" s="166">
        <f t="shared" si="50"/>
        <v>10701</v>
      </c>
      <c r="H133" s="166">
        <f t="shared" si="50"/>
        <v>11954.100000000002</v>
      </c>
      <c r="I133" s="166">
        <f t="shared" si="50"/>
        <v>10674.2</v>
      </c>
      <c r="J133" s="166">
        <f t="shared" si="50"/>
        <v>26710.2</v>
      </c>
      <c r="K133" s="128" t="e">
        <f>J133/#REF!*100</f>
        <v>#REF!</v>
      </c>
      <c r="L133" s="128">
        <f>J133/H133*100</f>
        <v>223.43965668682708</v>
      </c>
      <c r="M133" s="162"/>
      <c r="N133" s="162"/>
      <c r="O133" s="157">
        <f t="shared" si="29"/>
        <v>250.2313990744037</v>
      </c>
      <c r="P133" s="128">
        <f t="shared" si="27"/>
        <v>73.61974350422945</v>
      </c>
      <c r="Q133" s="129">
        <f t="shared" si="28"/>
        <v>56.88407108858387</v>
      </c>
    </row>
    <row r="134" spans="1:17" ht="24">
      <c r="A134" s="120" t="s">
        <v>248</v>
      </c>
      <c r="B134" s="112"/>
      <c r="C134" s="121" t="s">
        <v>249</v>
      </c>
      <c r="D134" s="163">
        <f t="shared" si="48"/>
        <v>46555.5</v>
      </c>
      <c r="E134" s="159">
        <f t="shared" si="49"/>
        <v>35881.3</v>
      </c>
      <c r="F134" s="171">
        <f>11113.2+83.6+2263.9+165.5</f>
        <v>13626.2</v>
      </c>
      <c r="G134" s="171">
        <f>10674.2+10+16.8</f>
        <v>10701</v>
      </c>
      <c r="H134" s="164">
        <f>10674.2+113.2+766.7</f>
        <v>11554.100000000002</v>
      </c>
      <c r="I134" s="165">
        <v>10674.2</v>
      </c>
      <c r="J134" s="165">
        <v>26283.3</v>
      </c>
      <c r="K134" s="160" t="e">
        <f>J134/#REF!*100</f>
        <v>#REF!</v>
      </c>
      <c r="L134" s="160">
        <f>J134/H134*100</f>
        <v>227.4802883824789</v>
      </c>
      <c r="M134" s="162"/>
      <c r="N134" s="162"/>
      <c r="O134" s="164">
        <f t="shared" si="29"/>
        <v>246.23203612448705</v>
      </c>
      <c r="P134" s="160">
        <f t="shared" si="27"/>
        <v>73.25069047108103</v>
      </c>
      <c r="Q134" s="165">
        <f t="shared" si="28"/>
        <v>56.455843026065665</v>
      </c>
    </row>
    <row r="135" spans="1:17" ht="12.75">
      <c r="A135" s="120" t="s">
        <v>250</v>
      </c>
      <c r="B135" s="120"/>
      <c r="C135" s="122" t="s">
        <v>251</v>
      </c>
      <c r="D135" s="163">
        <f t="shared" si="48"/>
        <v>400</v>
      </c>
      <c r="E135" s="159">
        <f t="shared" si="49"/>
        <v>400</v>
      </c>
      <c r="F135" s="176"/>
      <c r="G135" s="176"/>
      <c r="H135" s="164">
        <v>400</v>
      </c>
      <c r="I135" s="165"/>
      <c r="J135" s="165">
        <v>426.9</v>
      </c>
      <c r="K135" s="160"/>
      <c r="L135" s="160"/>
      <c r="M135" s="162"/>
      <c r="N135" s="162"/>
      <c r="O135" s="164" t="e">
        <f t="shared" si="29"/>
        <v>#DIV/0!</v>
      </c>
      <c r="P135" s="160">
        <f>J135*100/E135</f>
        <v>106.725</v>
      </c>
      <c r="Q135" s="165">
        <f>J135*100/D135</f>
        <v>106.725</v>
      </c>
    </row>
    <row r="136" spans="1:17" ht="12.75">
      <c r="A136" s="110"/>
      <c r="B136" s="126"/>
      <c r="C136" s="127" t="s">
        <v>256</v>
      </c>
      <c r="D136" s="129">
        <f aca="true" t="shared" si="51" ref="D136:J136">D133+D124</f>
        <v>49266</v>
      </c>
      <c r="E136" s="129">
        <f t="shared" si="51"/>
        <v>37998.100000000006</v>
      </c>
      <c r="F136" s="157">
        <f t="shared" si="51"/>
        <v>14193.400000000001</v>
      </c>
      <c r="G136" s="157">
        <f t="shared" si="51"/>
        <v>11274.2</v>
      </c>
      <c r="H136" s="157">
        <f t="shared" si="51"/>
        <v>12530.500000000002</v>
      </c>
      <c r="I136" s="129">
        <f t="shared" si="51"/>
        <v>11267.900000000001</v>
      </c>
      <c r="J136" s="129">
        <f t="shared" si="51"/>
        <v>28353.2</v>
      </c>
      <c r="K136" s="128" t="e">
        <f>J136/#REF!*100</f>
        <v>#REF!</v>
      </c>
      <c r="L136" s="128">
        <f>J136/H136*100</f>
        <v>226.27349267786596</v>
      </c>
      <c r="M136" s="162"/>
      <c r="N136" s="169" t="e">
        <f>I136+#REF!+#REF!</f>
        <v>#REF!</v>
      </c>
      <c r="O136" s="157">
        <f t="shared" si="29"/>
        <v>251.62807621650882</v>
      </c>
      <c r="P136" s="128">
        <f t="shared" si="27"/>
        <v>74.61741508128037</v>
      </c>
      <c r="Q136" s="129">
        <f t="shared" si="28"/>
        <v>57.55125238501198</v>
      </c>
    </row>
    <row r="137" spans="1:17" ht="12.75">
      <c r="A137" s="259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1"/>
      <c r="M137" s="162"/>
      <c r="N137" s="162"/>
      <c r="O137" s="170"/>
      <c r="P137" s="128"/>
      <c r="Q137" s="129"/>
    </row>
    <row r="138" spans="1:17" ht="12.75">
      <c r="A138" s="223" t="s">
        <v>266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5"/>
      <c r="P138" s="128"/>
      <c r="Q138" s="129"/>
    </row>
    <row r="139" spans="1:17" ht="12.75">
      <c r="A139" s="108" t="s">
        <v>218</v>
      </c>
      <c r="B139" s="108"/>
      <c r="C139" s="109" t="s">
        <v>219</v>
      </c>
      <c r="D139" s="128">
        <f aca="true" t="shared" si="52" ref="D139:J139">D140+D142+D144+D146+D143+D147+D145+D148+D141</f>
        <v>14260.000000000002</v>
      </c>
      <c r="E139" s="128">
        <f t="shared" si="52"/>
        <v>10322.2</v>
      </c>
      <c r="F139" s="128">
        <f t="shared" si="52"/>
        <v>2819.4</v>
      </c>
      <c r="G139" s="128">
        <f t="shared" si="52"/>
        <v>3757.4</v>
      </c>
      <c r="H139" s="128">
        <f t="shared" si="52"/>
        <v>3745.4</v>
      </c>
      <c r="I139" s="128">
        <f t="shared" si="52"/>
        <v>3937.7999999999997</v>
      </c>
      <c r="J139" s="128">
        <f t="shared" si="52"/>
        <v>7763.500000000001</v>
      </c>
      <c r="K139" s="128" t="e">
        <f>J139/#REF!*100</f>
        <v>#REF!</v>
      </c>
      <c r="L139" s="128">
        <f>J139/H139*100</f>
        <v>207.2809312756982</v>
      </c>
      <c r="M139" s="162"/>
      <c r="N139" s="162"/>
      <c r="O139" s="128">
        <f t="shared" si="29"/>
        <v>197.1532327695668</v>
      </c>
      <c r="P139" s="128">
        <f t="shared" si="27"/>
        <v>75.21167968068823</v>
      </c>
      <c r="Q139" s="129">
        <f t="shared" si="28"/>
        <v>54.442496493688644</v>
      </c>
    </row>
    <row r="140" spans="1:17" ht="12.75">
      <c r="A140" s="110" t="s">
        <v>220</v>
      </c>
      <c r="B140" s="110"/>
      <c r="C140" s="111" t="s">
        <v>221</v>
      </c>
      <c r="D140" s="171">
        <f>F140+G140+H140+I140</f>
        <v>12839.7</v>
      </c>
      <c r="E140" s="159">
        <f>F140+G140+H140</f>
        <v>9490</v>
      </c>
      <c r="F140" s="171">
        <v>2590</v>
      </c>
      <c r="G140" s="171">
        <v>3500</v>
      </c>
      <c r="H140" s="164">
        <v>3400</v>
      </c>
      <c r="I140" s="165">
        <v>3349.7</v>
      </c>
      <c r="J140" s="165">
        <v>7300.1</v>
      </c>
      <c r="K140" s="160" t="e">
        <f>J140/#REF!*100</f>
        <v>#REF!</v>
      </c>
      <c r="L140" s="160">
        <f>J140/H140*100</f>
        <v>214.70882352941177</v>
      </c>
      <c r="M140" s="162"/>
      <c r="N140" s="162"/>
      <c r="O140" s="164">
        <f t="shared" si="29"/>
        <v>217.9329492193331</v>
      </c>
      <c r="P140" s="160">
        <f t="shared" si="27"/>
        <v>76.92413066385669</v>
      </c>
      <c r="Q140" s="165">
        <f t="shared" si="28"/>
        <v>56.855689774683206</v>
      </c>
    </row>
    <row r="141" spans="1:17" ht="12.75">
      <c r="A141" s="112" t="s">
        <v>224</v>
      </c>
      <c r="B141" s="112"/>
      <c r="C141" s="111" t="s">
        <v>225</v>
      </c>
      <c r="D141" s="171">
        <f aca="true" t="shared" si="53" ref="D141:D150">F141+G141+H141+I141</f>
        <v>0</v>
      </c>
      <c r="E141" s="159">
        <f aca="true" t="shared" si="54" ref="E141:E148">F141+G141+H141</f>
        <v>0</v>
      </c>
      <c r="F141" s="171"/>
      <c r="G141" s="171"/>
      <c r="H141" s="164"/>
      <c r="I141" s="165"/>
      <c r="J141" s="165"/>
      <c r="K141" s="160"/>
      <c r="L141" s="160"/>
      <c r="M141" s="162"/>
      <c r="N141" s="162"/>
      <c r="O141" s="164" t="e">
        <f t="shared" si="29"/>
        <v>#DIV/0!</v>
      </c>
      <c r="P141" s="160"/>
      <c r="Q141" s="165"/>
    </row>
    <row r="142" spans="1:17" ht="12.75">
      <c r="A142" s="112" t="s">
        <v>226</v>
      </c>
      <c r="B142" s="112"/>
      <c r="C142" s="111" t="s">
        <v>227</v>
      </c>
      <c r="D142" s="171">
        <f t="shared" si="53"/>
        <v>792</v>
      </c>
      <c r="E142" s="159">
        <f t="shared" si="54"/>
        <v>378</v>
      </c>
      <c r="F142" s="171">
        <v>90</v>
      </c>
      <c r="G142" s="171">
        <v>87</v>
      </c>
      <c r="H142" s="164">
        <v>201</v>
      </c>
      <c r="I142" s="165">
        <v>414</v>
      </c>
      <c r="J142" s="165">
        <v>264.1</v>
      </c>
      <c r="K142" s="160" t="e">
        <f>J142/#REF!*100</f>
        <v>#REF!</v>
      </c>
      <c r="L142" s="160">
        <f>J142/H142*100</f>
        <v>131.39303482587067</v>
      </c>
      <c r="M142" s="162"/>
      <c r="N142" s="162"/>
      <c r="O142" s="164">
        <f t="shared" si="29"/>
        <v>63.79227053140097</v>
      </c>
      <c r="P142" s="160">
        <f aca="true" t="shared" si="55" ref="P142:P207">J142*100/E142</f>
        <v>69.86772486772487</v>
      </c>
      <c r="Q142" s="165">
        <f aca="true" t="shared" si="56" ref="Q142:Q207">J142*100/D142</f>
        <v>33.3459595959596</v>
      </c>
    </row>
    <row r="143" spans="1:17" ht="12.75">
      <c r="A143" s="112" t="s">
        <v>228</v>
      </c>
      <c r="B143" s="112"/>
      <c r="C143" s="111" t="s">
        <v>229</v>
      </c>
      <c r="D143" s="171">
        <f t="shared" si="53"/>
        <v>158.7</v>
      </c>
      <c r="E143" s="159">
        <f t="shared" si="54"/>
        <v>102</v>
      </c>
      <c r="F143" s="171">
        <v>22</v>
      </c>
      <c r="G143" s="171">
        <v>53</v>
      </c>
      <c r="H143" s="164">
        <v>27</v>
      </c>
      <c r="I143" s="165">
        <v>56.7</v>
      </c>
      <c r="J143" s="165">
        <v>106.7</v>
      </c>
      <c r="K143" s="160" t="e">
        <f>J143/#REF!*100</f>
        <v>#REF!</v>
      </c>
      <c r="L143" s="160">
        <f>J143/H143*100</f>
        <v>395.1851851851852</v>
      </c>
      <c r="M143" s="162"/>
      <c r="N143" s="162"/>
      <c r="O143" s="164">
        <f t="shared" si="29"/>
        <v>188.18342151675483</v>
      </c>
      <c r="P143" s="160">
        <f t="shared" si="55"/>
        <v>104.6078431372549</v>
      </c>
      <c r="Q143" s="165">
        <f t="shared" si="56"/>
        <v>67.23377441713926</v>
      </c>
    </row>
    <row r="144" spans="1:17" ht="24">
      <c r="A144" s="113" t="s">
        <v>232</v>
      </c>
      <c r="B144" s="113"/>
      <c r="C144" s="111" t="s">
        <v>233</v>
      </c>
      <c r="D144" s="171">
        <f t="shared" si="53"/>
        <v>469.6</v>
      </c>
      <c r="E144" s="159">
        <f t="shared" si="54"/>
        <v>352.20000000000005</v>
      </c>
      <c r="F144" s="171">
        <v>117.4</v>
      </c>
      <c r="G144" s="171">
        <v>117.4</v>
      </c>
      <c r="H144" s="164">
        <v>117.4</v>
      </c>
      <c r="I144" s="165">
        <v>117.4</v>
      </c>
      <c r="J144" s="165">
        <v>82.7</v>
      </c>
      <c r="K144" s="160" t="e">
        <f>J144/#REF!*100</f>
        <v>#REF!</v>
      </c>
      <c r="L144" s="160">
        <f>J144/H144*100</f>
        <v>70.44293015332197</v>
      </c>
      <c r="M144" s="162"/>
      <c r="N144" s="162"/>
      <c r="O144" s="164">
        <f t="shared" si="29"/>
        <v>70.44293015332197</v>
      </c>
      <c r="P144" s="160">
        <f t="shared" si="55"/>
        <v>23.480976717773988</v>
      </c>
      <c r="Q144" s="165">
        <f t="shared" si="56"/>
        <v>17.610732538330492</v>
      </c>
    </row>
    <row r="145" spans="1:17" ht="24">
      <c r="A145" s="115" t="s">
        <v>236</v>
      </c>
      <c r="B145" s="115"/>
      <c r="C145" s="111" t="s">
        <v>237</v>
      </c>
      <c r="D145" s="171">
        <f t="shared" si="53"/>
        <v>0</v>
      </c>
      <c r="E145" s="159">
        <f t="shared" si="54"/>
        <v>0</v>
      </c>
      <c r="F145" s="171"/>
      <c r="G145" s="171"/>
      <c r="H145" s="164"/>
      <c r="I145" s="165"/>
      <c r="J145" s="165"/>
      <c r="K145" s="160"/>
      <c r="L145" s="160"/>
      <c r="M145" s="162"/>
      <c r="N145" s="162"/>
      <c r="O145" s="164" t="e">
        <f aca="true" t="shared" si="57" ref="O145:O211">J145*100/I145</f>
        <v>#DIV/0!</v>
      </c>
      <c r="P145" s="160" t="e">
        <f t="shared" si="55"/>
        <v>#DIV/0!</v>
      </c>
      <c r="Q145" s="165" t="e">
        <f t="shared" si="56"/>
        <v>#DIV/0!</v>
      </c>
    </row>
    <row r="146" spans="1:17" ht="24">
      <c r="A146" s="114" t="s">
        <v>238</v>
      </c>
      <c r="B146" s="114"/>
      <c r="C146" s="111" t="s">
        <v>239</v>
      </c>
      <c r="D146" s="171">
        <f t="shared" si="53"/>
        <v>0</v>
      </c>
      <c r="E146" s="159">
        <f t="shared" si="54"/>
        <v>0</v>
      </c>
      <c r="F146" s="171"/>
      <c r="G146" s="171"/>
      <c r="H146" s="164"/>
      <c r="I146" s="165"/>
      <c r="J146" s="165"/>
      <c r="K146" s="160" t="e">
        <f>J146/#REF!*100</f>
        <v>#REF!</v>
      </c>
      <c r="L146" s="160" t="e">
        <f>J146/H146*100</f>
        <v>#DIV/0!</v>
      </c>
      <c r="M146" s="162"/>
      <c r="N146" s="162"/>
      <c r="O146" s="164" t="e">
        <f t="shared" si="57"/>
        <v>#DIV/0!</v>
      </c>
      <c r="P146" s="160"/>
      <c r="Q146" s="165"/>
    </row>
    <row r="147" spans="1:17" ht="12.75">
      <c r="A147" s="110" t="s">
        <v>242</v>
      </c>
      <c r="B147" s="110"/>
      <c r="C147" s="111" t="s">
        <v>243</v>
      </c>
      <c r="D147" s="171">
        <f t="shared" si="53"/>
        <v>0</v>
      </c>
      <c r="E147" s="159">
        <f t="shared" si="54"/>
        <v>0</v>
      </c>
      <c r="F147" s="171"/>
      <c r="G147" s="171"/>
      <c r="H147" s="164"/>
      <c r="I147" s="165"/>
      <c r="J147" s="165">
        <v>9.1</v>
      </c>
      <c r="K147" s="160" t="e">
        <f>J147/#REF!*100</f>
        <v>#REF!</v>
      </c>
      <c r="L147" s="160"/>
      <c r="M147" s="162"/>
      <c r="N147" s="162"/>
      <c r="O147" s="164" t="e">
        <f t="shared" si="57"/>
        <v>#DIV/0!</v>
      </c>
      <c r="P147" s="160"/>
      <c r="Q147" s="165"/>
    </row>
    <row r="148" spans="1:17" ht="12.75">
      <c r="A148" s="114" t="s">
        <v>244</v>
      </c>
      <c r="B148" s="139"/>
      <c r="C148" s="118" t="s">
        <v>245</v>
      </c>
      <c r="D148" s="171">
        <f t="shared" si="53"/>
        <v>0</v>
      </c>
      <c r="E148" s="159">
        <f t="shared" si="54"/>
        <v>0</v>
      </c>
      <c r="F148" s="171"/>
      <c r="G148" s="171"/>
      <c r="H148" s="164"/>
      <c r="I148" s="165"/>
      <c r="J148" s="165">
        <v>0.8</v>
      </c>
      <c r="K148" s="160"/>
      <c r="L148" s="160"/>
      <c r="M148" s="162"/>
      <c r="N148" s="162"/>
      <c r="O148" s="164" t="e">
        <f t="shared" si="57"/>
        <v>#DIV/0!</v>
      </c>
      <c r="P148" s="128"/>
      <c r="Q148" s="129"/>
    </row>
    <row r="149" spans="1:17" ht="12.75">
      <c r="A149" s="108" t="s">
        <v>246</v>
      </c>
      <c r="B149" s="108"/>
      <c r="C149" s="119" t="s">
        <v>247</v>
      </c>
      <c r="D149" s="166">
        <f>D150+D151</f>
        <v>36230.200000000004</v>
      </c>
      <c r="E149" s="166">
        <f aca="true" t="shared" si="58" ref="E149:J149">E150+E151</f>
        <v>28904.300000000003</v>
      </c>
      <c r="F149" s="166">
        <f t="shared" si="58"/>
        <v>6800.2</v>
      </c>
      <c r="G149" s="166">
        <f t="shared" si="58"/>
        <v>8874</v>
      </c>
      <c r="H149" s="166">
        <f t="shared" si="58"/>
        <v>13230.1</v>
      </c>
      <c r="I149" s="166">
        <f t="shared" si="58"/>
        <v>7325.9</v>
      </c>
      <c r="J149" s="166">
        <f t="shared" si="58"/>
        <v>22082.9</v>
      </c>
      <c r="K149" s="128" t="e">
        <f>J149/#REF!*100</f>
        <v>#REF!</v>
      </c>
      <c r="L149" s="128">
        <f>J149/H149*100</f>
        <v>166.91408228206893</v>
      </c>
      <c r="M149" s="162"/>
      <c r="N149" s="162"/>
      <c r="O149" s="157">
        <f t="shared" si="57"/>
        <v>301.4360010374152</v>
      </c>
      <c r="P149" s="128">
        <f t="shared" si="55"/>
        <v>76.40005120345415</v>
      </c>
      <c r="Q149" s="129">
        <f t="shared" si="56"/>
        <v>60.951637032089245</v>
      </c>
    </row>
    <row r="150" spans="1:17" ht="24">
      <c r="A150" s="120" t="s">
        <v>248</v>
      </c>
      <c r="B150" s="112"/>
      <c r="C150" s="121" t="s">
        <v>249</v>
      </c>
      <c r="D150" s="171">
        <f t="shared" si="53"/>
        <v>36130.200000000004</v>
      </c>
      <c r="E150" s="159">
        <f>F150+G150+H150</f>
        <v>28804.300000000003</v>
      </c>
      <c r="F150" s="171">
        <f>5672.4+951+176.8</f>
        <v>6800.2</v>
      </c>
      <c r="G150" s="171">
        <f>7405-22.1+1391.1</f>
        <v>8774</v>
      </c>
      <c r="H150" s="164">
        <f>7745.3+4311.7+1173.1</f>
        <v>13230.1</v>
      </c>
      <c r="I150" s="165">
        <v>7325.9</v>
      </c>
      <c r="J150" s="165">
        <v>21982.9</v>
      </c>
      <c r="K150" s="160" t="e">
        <f>J150/#REF!*100</f>
        <v>#REF!</v>
      </c>
      <c r="L150" s="160">
        <f>J150/H150*100</f>
        <v>166.15823009652232</v>
      </c>
      <c r="M150" s="162"/>
      <c r="N150" s="162"/>
      <c r="O150" s="164">
        <f t="shared" si="57"/>
        <v>300.07098103987227</v>
      </c>
      <c r="P150" s="160">
        <f t="shared" si="55"/>
        <v>76.31811916970729</v>
      </c>
      <c r="Q150" s="165">
        <f t="shared" si="56"/>
        <v>60.84356023492811</v>
      </c>
    </row>
    <row r="151" spans="1:17" ht="12.75">
      <c r="A151" s="120" t="s">
        <v>250</v>
      </c>
      <c r="B151" s="120"/>
      <c r="C151" s="122" t="s">
        <v>251</v>
      </c>
      <c r="D151" s="171">
        <f>F151+G151+H151+I151</f>
        <v>100</v>
      </c>
      <c r="E151" s="159">
        <f>F151+G151+H151</f>
        <v>100</v>
      </c>
      <c r="F151" s="171"/>
      <c r="G151" s="171">
        <v>100</v>
      </c>
      <c r="H151" s="164"/>
      <c r="I151" s="165"/>
      <c r="J151" s="165">
        <v>100</v>
      </c>
      <c r="K151" s="160"/>
      <c r="L151" s="160"/>
      <c r="M151" s="162"/>
      <c r="N151" s="162"/>
      <c r="O151" s="164"/>
      <c r="P151" s="160">
        <f t="shared" si="55"/>
        <v>100</v>
      </c>
      <c r="Q151" s="165">
        <f>J151*100/D151</f>
        <v>100</v>
      </c>
    </row>
    <row r="152" spans="1:17" ht="12.75">
      <c r="A152" s="110"/>
      <c r="B152" s="126"/>
      <c r="C152" s="127" t="s">
        <v>256</v>
      </c>
      <c r="D152" s="129">
        <f aca="true" t="shared" si="59" ref="D152:J152">D149+D139</f>
        <v>50490.200000000004</v>
      </c>
      <c r="E152" s="129">
        <f t="shared" si="59"/>
        <v>39226.5</v>
      </c>
      <c r="F152" s="129">
        <f t="shared" si="59"/>
        <v>9619.6</v>
      </c>
      <c r="G152" s="129">
        <f t="shared" si="59"/>
        <v>12631.4</v>
      </c>
      <c r="H152" s="129">
        <f t="shared" si="59"/>
        <v>16975.5</v>
      </c>
      <c r="I152" s="129">
        <f t="shared" si="59"/>
        <v>11263.699999999999</v>
      </c>
      <c r="J152" s="129">
        <f t="shared" si="59"/>
        <v>29846.4</v>
      </c>
      <c r="K152" s="128" t="e">
        <f>J152/#REF!*100</f>
        <v>#REF!</v>
      </c>
      <c r="L152" s="128">
        <f>J152/H152*100</f>
        <v>175.82044711495982</v>
      </c>
      <c r="M152" s="162"/>
      <c r="N152" s="169" t="e">
        <f>I152+#REF!+#REF!</f>
        <v>#REF!</v>
      </c>
      <c r="O152" s="157">
        <f t="shared" si="57"/>
        <v>264.97864822394064</v>
      </c>
      <c r="P152" s="128">
        <f t="shared" si="55"/>
        <v>76.08733891629383</v>
      </c>
      <c r="Q152" s="129">
        <f t="shared" si="56"/>
        <v>59.113253661106505</v>
      </c>
    </row>
    <row r="153" spans="1:17" ht="12.75">
      <c r="A153" s="256"/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  <c r="L153" s="258"/>
      <c r="M153" s="162"/>
      <c r="N153" s="162"/>
      <c r="O153" s="170"/>
      <c r="P153" s="128"/>
      <c r="Q153" s="129"/>
    </row>
    <row r="154" spans="1:17" ht="12.75">
      <c r="A154" s="223" t="s">
        <v>267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5"/>
      <c r="P154" s="128"/>
      <c r="Q154" s="129"/>
    </row>
    <row r="155" spans="1:17" ht="12.75">
      <c r="A155" s="108" t="s">
        <v>218</v>
      </c>
      <c r="B155" s="108"/>
      <c r="C155" s="109" t="s">
        <v>219</v>
      </c>
      <c r="D155" s="128">
        <f aca="true" t="shared" si="60" ref="D155:J155">D156+D157+D158+D159+D161+D162+D163+D160</f>
        <v>4028.5</v>
      </c>
      <c r="E155" s="128">
        <f t="shared" si="60"/>
        <v>2808</v>
      </c>
      <c r="F155" s="128">
        <f t="shared" si="60"/>
        <v>751</v>
      </c>
      <c r="G155" s="128">
        <f t="shared" si="60"/>
        <v>1073</v>
      </c>
      <c r="H155" s="128">
        <f t="shared" si="60"/>
        <v>984</v>
      </c>
      <c r="I155" s="128">
        <f t="shared" si="60"/>
        <v>1220.5</v>
      </c>
      <c r="J155" s="128">
        <f t="shared" si="60"/>
        <v>2273.7</v>
      </c>
      <c r="K155" s="128" t="e">
        <f>J155/#REF!*100</f>
        <v>#REF!</v>
      </c>
      <c r="L155" s="128">
        <f aca="true" t="shared" si="61" ref="L155:L161">J155/H155*100</f>
        <v>231.0670731707317</v>
      </c>
      <c r="M155" s="162"/>
      <c r="N155" s="162"/>
      <c r="O155" s="128">
        <f t="shared" si="57"/>
        <v>186.29250307251124</v>
      </c>
      <c r="P155" s="128">
        <f t="shared" si="55"/>
        <v>80.97222222222221</v>
      </c>
      <c r="Q155" s="129">
        <f t="shared" si="56"/>
        <v>56.44036241777336</v>
      </c>
    </row>
    <row r="156" spans="1:17" ht="12.75">
      <c r="A156" s="110" t="s">
        <v>220</v>
      </c>
      <c r="B156" s="110"/>
      <c r="C156" s="111" t="s">
        <v>221</v>
      </c>
      <c r="D156" s="171">
        <f>F156+G156+H156+I156</f>
        <v>3255.5</v>
      </c>
      <c r="E156" s="159">
        <f>F156+G156+H156</f>
        <v>2250</v>
      </c>
      <c r="F156" s="163">
        <v>600</v>
      </c>
      <c r="G156" s="163">
        <v>900</v>
      </c>
      <c r="H156" s="164">
        <v>750</v>
      </c>
      <c r="I156" s="165">
        <v>1005.5</v>
      </c>
      <c r="J156" s="165">
        <v>1804.8</v>
      </c>
      <c r="K156" s="160" t="e">
        <f>J156/#REF!*100</f>
        <v>#REF!</v>
      </c>
      <c r="L156" s="160">
        <f t="shared" si="61"/>
        <v>240.64000000000001</v>
      </c>
      <c r="M156" s="162"/>
      <c r="N156" s="162"/>
      <c r="O156" s="164">
        <f t="shared" si="57"/>
        <v>179.4927896568871</v>
      </c>
      <c r="P156" s="160">
        <f t="shared" si="55"/>
        <v>80.21333333333334</v>
      </c>
      <c r="Q156" s="165">
        <f t="shared" si="56"/>
        <v>55.43848871141146</v>
      </c>
    </row>
    <row r="157" spans="1:17" ht="12.75">
      <c r="A157" s="112" t="s">
        <v>226</v>
      </c>
      <c r="B157" s="112"/>
      <c r="C157" s="111" t="s">
        <v>227</v>
      </c>
      <c r="D157" s="171">
        <f aca="true" t="shared" si="62" ref="D157:D163">F157+G157+H157+I157</f>
        <v>321</v>
      </c>
      <c r="E157" s="159">
        <f aca="true" t="shared" si="63" ref="E157:E163">F157+G157+H157</f>
        <v>233</v>
      </c>
      <c r="F157" s="163">
        <v>46</v>
      </c>
      <c r="G157" s="163">
        <v>63</v>
      </c>
      <c r="H157" s="164">
        <v>124</v>
      </c>
      <c r="I157" s="165">
        <v>88</v>
      </c>
      <c r="J157" s="165">
        <v>162.4</v>
      </c>
      <c r="K157" s="160" t="e">
        <f>J157/#REF!*100</f>
        <v>#REF!</v>
      </c>
      <c r="L157" s="160">
        <f t="shared" si="61"/>
        <v>130.96774193548387</v>
      </c>
      <c r="M157" s="162"/>
      <c r="N157" s="162"/>
      <c r="O157" s="164">
        <f t="shared" si="57"/>
        <v>184.54545454545453</v>
      </c>
      <c r="P157" s="160">
        <f t="shared" si="55"/>
        <v>69.69957081545064</v>
      </c>
      <c r="Q157" s="165">
        <f t="shared" si="56"/>
        <v>50.59190031152648</v>
      </c>
    </row>
    <row r="158" spans="1:17" ht="12.75">
      <c r="A158" s="112" t="s">
        <v>228</v>
      </c>
      <c r="B158" s="112"/>
      <c r="C158" s="111" t="s">
        <v>229</v>
      </c>
      <c r="D158" s="171">
        <f t="shared" si="62"/>
        <v>78</v>
      </c>
      <c r="E158" s="159">
        <f t="shared" si="63"/>
        <v>55</v>
      </c>
      <c r="F158" s="163">
        <v>15</v>
      </c>
      <c r="G158" s="163">
        <v>20</v>
      </c>
      <c r="H158" s="164">
        <v>20</v>
      </c>
      <c r="I158" s="165">
        <v>23</v>
      </c>
      <c r="J158" s="165">
        <v>54.3</v>
      </c>
      <c r="K158" s="160" t="e">
        <f>J158/#REF!*100</f>
        <v>#REF!</v>
      </c>
      <c r="L158" s="160">
        <f t="shared" si="61"/>
        <v>271.5</v>
      </c>
      <c r="M158" s="162"/>
      <c r="N158" s="162"/>
      <c r="O158" s="164">
        <f t="shared" si="57"/>
        <v>236.08695652173913</v>
      </c>
      <c r="P158" s="160">
        <f t="shared" si="55"/>
        <v>98.72727272727273</v>
      </c>
      <c r="Q158" s="165">
        <f t="shared" si="56"/>
        <v>69.61538461538461</v>
      </c>
    </row>
    <row r="159" spans="1:17" ht="24">
      <c r="A159" s="113" t="s">
        <v>232</v>
      </c>
      <c r="B159" s="113"/>
      <c r="C159" s="111" t="s">
        <v>233</v>
      </c>
      <c r="D159" s="171">
        <f t="shared" si="62"/>
        <v>304</v>
      </c>
      <c r="E159" s="159">
        <f t="shared" si="63"/>
        <v>225</v>
      </c>
      <c r="F159" s="163">
        <v>75</v>
      </c>
      <c r="G159" s="163">
        <v>75</v>
      </c>
      <c r="H159" s="164">
        <v>75</v>
      </c>
      <c r="I159" s="165">
        <v>79</v>
      </c>
      <c r="J159" s="165">
        <v>203.1</v>
      </c>
      <c r="K159" s="160" t="e">
        <f>J159/#REF!*100</f>
        <v>#REF!</v>
      </c>
      <c r="L159" s="160">
        <f t="shared" si="61"/>
        <v>270.79999999999995</v>
      </c>
      <c r="M159" s="162"/>
      <c r="N159" s="162"/>
      <c r="O159" s="164">
        <f t="shared" si="57"/>
        <v>257.0886075949367</v>
      </c>
      <c r="P159" s="160">
        <f t="shared" si="55"/>
        <v>90.26666666666667</v>
      </c>
      <c r="Q159" s="165">
        <f t="shared" si="56"/>
        <v>66.8092105263158</v>
      </c>
    </row>
    <row r="160" spans="1:17" ht="24">
      <c r="A160" s="115" t="s">
        <v>236</v>
      </c>
      <c r="B160" s="115"/>
      <c r="C160" s="111" t="s">
        <v>237</v>
      </c>
      <c r="D160" s="171">
        <f t="shared" si="62"/>
        <v>70</v>
      </c>
      <c r="E160" s="159">
        <f t="shared" si="63"/>
        <v>45</v>
      </c>
      <c r="F160" s="163">
        <v>15</v>
      </c>
      <c r="G160" s="163">
        <v>15</v>
      </c>
      <c r="H160" s="164">
        <v>15</v>
      </c>
      <c r="I160" s="165">
        <v>25</v>
      </c>
      <c r="J160" s="165">
        <v>42.5</v>
      </c>
      <c r="K160" s="160" t="e">
        <f>J160/#REF!*100</f>
        <v>#REF!</v>
      </c>
      <c r="L160" s="160">
        <f t="shared" si="61"/>
        <v>283.33333333333337</v>
      </c>
      <c r="M160" s="162"/>
      <c r="N160" s="162"/>
      <c r="O160" s="164">
        <f t="shared" si="57"/>
        <v>170</v>
      </c>
      <c r="P160" s="160">
        <f t="shared" si="55"/>
        <v>94.44444444444444</v>
      </c>
      <c r="Q160" s="165">
        <f t="shared" si="56"/>
        <v>60.714285714285715</v>
      </c>
    </row>
    <row r="161" spans="1:17" ht="24">
      <c r="A161" s="114" t="s">
        <v>238</v>
      </c>
      <c r="B161" s="114"/>
      <c r="C161" s="111" t="s">
        <v>239</v>
      </c>
      <c r="D161" s="171">
        <f t="shared" si="62"/>
        <v>0</v>
      </c>
      <c r="E161" s="159">
        <f t="shared" si="63"/>
        <v>0</v>
      </c>
      <c r="F161" s="163"/>
      <c r="G161" s="163"/>
      <c r="H161" s="164"/>
      <c r="I161" s="165"/>
      <c r="J161" s="165"/>
      <c r="K161" s="160" t="e">
        <f>J161/#REF!*100</f>
        <v>#REF!</v>
      </c>
      <c r="L161" s="160" t="e">
        <f t="shared" si="61"/>
        <v>#DIV/0!</v>
      </c>
      <c r="M161" s="162"/>
      <c r="N161" s="162"/>
      <c r="O161" s="164" t="e">
        <f t="shared" si="57"/>
        <v>#DIV/0!</v>
      </c>
      <c r="P161" s="160"/>
      <c r="Q161" s="165"/>
    </row>
    <row r="162" spans="1:17" ht="12.75">
      <c r="A162" s="110" t="s">
        <v>242</v>
      </c>
      <c r="B162" s="110"/>
      <c r="C162" s="111" t="s">
        <v>243</v>
      </c>
      <c r="D162" s="171">
        <f t="shared" si="62"/>
        <v>0</v>
      </c>
      <c r="E162" s="159">
        <f t="shared" si="63"/>
        <v>0</v>
      </c>
      <c r="F162" s="163"/>
      <c r="G162" s="163"/>
      <c r="H162" s="164"/>
      <c r="I162" s="165"/>
      <c r="J162" s="165"/>
      <c r="K162" s="160"/>
      <c r="L162" s="160"/>
      <c r="M162" s="162"/>
      <c r="N162" s="162"/>
      <c r="O162" s="164" t="e">
        <f t="shared" si="57"/>
        <v>#DIV/0!</v>
      </c>
      <c r="P162" s="128" t="e">
        <f t="shared" si="55"/>
        <v>#DIV/0!</v>
      </c>
      <c r="Q162" s="129" t="e">
        <f t="shared" si="56"/>
        <v>#DIV/0!</v>
      </c>
    </row>
    <row r="163" spans="1:17" ht="12.75">
      <c r="A163" s="133" t="s">
        <v>244</v>
      </c>
      <c r="B163" s="117"/>
      <c r="C163" s="118" t="s">
        <v>245</v>
      </c>
      <c r="D163" s="171">
        <f t="shared" si="62"/>
        <v>0</v>
      </c>
      <c r="E163" s="159">
        <f t="shared" si="63"/>
        <v>0</v>
      </c>
      <c r="F163" s="163"/>
      <c r="G163" s="163"/>
      <c r="H163" s="164"/>
      <c r="I163" s="165"/>
      <c r="J163" s="165">
        <v>6.6</v>
      </c>
      <c r="K163" s="160"/>
      <c r="L163" s="160"/>
      <c r="M163" s="162"/>
      <c r="N163" s="162"/>
      <c r="O163" s="164" t="e">
        <f t="shared" si="57"/>
        <v>#DIV/0!</v>
      </c>
      <c r="P163" s="128"/>
      <c r="Q163" s="129"/>
    </row>
    <row r="164" spans="1:17" ht="12.75">
      <c r="A164" s="108" t="s">
        <v>246</v>
      </c>
      <c r="B164" s="108"/>
      <c r="C164" s="119" t="s">
        <v>247</v>
      </c>
      <c r="D164" s="166">
        <f aca="true" t="shared" si="64" ref="D164:J164">D165+D166</f>
        <v>25984.199999999997</v>
      </c>
      <c r="E164" s="177">
        <f t="shared" si="64"/>
        <v>21278.1</v>
      </c>
      <c r="F164" s="177">
        <f t="shared" si="64"/>
        <v>5136.4</v>
      </c>
      <c r="G164" s="177">
        <f t="shared" si="64"/>
        <v>6730.2</v>
      </c>
      <c r="H164" s="166">
        <f t="shared" si="64"/>
        <v>9411.5</v>
      </c>
      <c r="I164" s="166">
        <f t="shared" si="64"/>
        <v>4706.1</v>
      </c>
      <c r="J164" s="166">
        <f t="shared" si="64"/>
        <v>14867.2</v>
      </c>
      <c r="K164" s="128" t="e">
        <f>J164/#REF!*100</f>
        <v>#REF!</v>
      </c>
      <c r="L164" s="128">
        <f>J164/H164*100</f>
        <v>157.9684428624555</v>
      </c>
      <c r="M164" s="162"/>
      <c r="N164" s="162"/>
      <c r="O164" s="157">
        <f t="shared" si="57"/>
        <v>315.91338900575846</v>
      </c>
      <c r="P164" s="128">
        <f t="shared" si="55"/>
        <v>69.870900127361</v>
      </c>
      <c r="Q164" s="129">
        <f t="shared" si="56"/>
        <v>57.21630837201069</v>
      </c>
    </row>
    <row r="165" spans="1:17" ht="24">
      <c r="A165" s="120" t="s">
        <v>248</v>
      </c>
      <c r="B165" s="112"/>
      <c r="C165" s="121" t="s">
        <v>249</v>
      </c>
      <c r="D165" s="171">
        <f>F165+G165+H165+I165</f>
        <v>25984.199999999997</v>
      </c>
      <c r="E165" s="159">
        <f>F165+G165+H165</f>
        <v>21278.1</v>
      </c>
      <c r="F165" s="163">
        <f>4985.4+151</f>
        <v>5136.4</v>
      </c>
      <c r="G165" s="163">
        <f>6588.8+11.7+129.7</f>
        <v>6730.2</v>
      </c>
      <c r="H165" s="164">
        <f>7362.8+100.3+1948.4</f>
        <v>9411.5</v>
      </c>
      <c r="I165" s="165">
        <v>4706.1</v>
      </c>
      <c r="J165" s="165">
        <v>14867.2</v>
      </c>
      <c r="K165" s="160" t="e">
        <f>J165/#REF!*100</f>
        <v>#REF!</v>
      </c>
      <c r="L165" s="160">
        <f>J165/H165*100</f>
        <v>157.9684428624555</v>
      </c>
      <c r="M165" s="162"/>
      <c r="N165" s="162"/>
      <c r="O165" s="164">
        <f t="shared" si="57"/>
        <v>315.91338900575846</v>
      </c>
      <c r="P165" s="160">
        <f t="shared" si="55"/>
        <v>69.870900127361</v>
      </c>
      <c r="Q165" s="165">
        <f t="shared" si="56"/>
        <v>57.21630837201069</v>
      </c>
    </row>
    <row r="166" spans="1:17" ht="12.75">
      <c r="A166" s="120" t="s">
        <v>250</v>
      </c>
      <c r="B166" s="120"/>
      <c r="C166" s="122" t="s">
        <v>251</v>
      </c>
      <c r="D166" s="171">
        <f>F166+G166+H166+I166</f>
        <v>0</v>
      </c>
      <c r="E166" s="163">
        <f>F166</f>
        <v>0</v>
      </c>
      <c r="F166" s="167"/>
      <c r="G166" s="167"/>
      <c r="H166" s="164"/>
      <c r="I166" s="165"/>
      <c r="J166" s="165"/>
      <c r="K166" s="160" t="e">
        <f>J166/#REF!*100</f>
        <v>#REF!</v>
      </c>
      <c r="L166" s="160"/>
      <c r="M166" s="162"/>
      <c r="N166" s="162"/>
      <c r="O166" s="164" t="e">
        <f t="shared" si="57"/>
        <v>#DIV/0!</v>
      </c>
      <c r="P166" s="160"/>
      <c r="Q166" s="165"/>
    </row>
    <row r="167" spans="1:17" ht="12.75">
      <c r="A167" s="110"/>
      <c r="B167" s="126"/>
      <c r="C167" s="127" t="s">
        <v>256</v>
      </c>
      <c r="D167" s="129">
        <f aca="true" t="shared" si="65" ref="D167:J167">D164+D155</f>
        <v>30012.699999999997</v>
      </c>
      <c r="E167" s="129">
        <f t="shared" si="65"/>
        <v>24086.1</v>
      </c>
      <c r="F167" s="129">
        <f t="shared" si="65"/>
        <v>5887.4</v>
      </c>
      <c r="G167" s="129">
        <f t="shared" si="65"/>
        <v>7803.2</v>
      </c>
      <c r="H167" s="129">
        <f t="shared" si="65"/>
        <v>10395.5</v>
      </c>
      <c r="I167" s="129">
        <f t="shared" si="65"/>
        <v>5926.6</v>
      </c>
      <c r="J167" s="129">
        <f t="shared" si="65"/>
        <v>17140.9</v>
      </c>
      <c r="K167" s="128" t="e">
        <f>J167/#REF!*100</f>
        <v>#REF!</v>
      </c>
      <c r="L167" s="128">
        <f>J167/H167*100</f>
        <v>164.8876917897167</v>
      </c>
      <c r="M167" s="162"/>
      <c r="N167" s="169" t="e">
        <f>I167+#REF!+#REF!</f>
        <v>#REF!</v>
      </c>
      <c r="O167" s="157">
        <f t="shared" si="57"/>
        <v>289.2197887490298</v>
      </c>
      <c r="P167" s="128">
        <f t="shared" si="55"/>
        <v>71.1651118279838</v>
      </c>
      <c r="Q167" s="129">
        <f t="shared" si="56"/>
        <v>57.11215585402181</v>
      </c>
    </row>
    <row r="168" spans="1:17" ht="12.75">
      <c r="A168" s="256"/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8"/>
      <c r="M168" s="162"/>
      <c r="N168" s="162"/>
      <c r="O168" s="170"/>
      <c r="P168" s="128"/>
      <c r="Q168" s="129"/>
    </row>
    <row r="169" spans="1:17" ht="12.75">
      <c r="A169" s="223" t="s">
        <v>268</v>
      </c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5"/>
      <c r="P169" s="128"/>
      <c r="Q169" s="129"/>
    </row>
    <row r="170" spans="1:17" ht="12.75">
      <c r="A170" s="108" t="s">
        <v>218</v>
      </c>
      <c r="B170" s="108"/>
      <c r="C170" s="109" t="s">
        <v>219</v>
      </c>
      <c r="D170" s="128">
        <f aca="true" t="shared" si="66" ref="D170:J170">D171+D172+D173+D174+D175+D177+D179+D178+D176</f>
        <v>15602.3</v>
      </c>
      <c r="E170" s="128">
        <f t="shared" si="66"/>
        <v>10530</v>
      </c>
      <c r="F170" s="128">
        <f t="shared" si="66"/>
        <v>3565</v>
      </c>
      <c r="G170" s="128">
        <f t="shared" si="66"/>
        <v>3785</v>
      </c>
      <c r="H170" s="128">
        <f t="shared" si="66"/>
        <v>3180</v>
      </c>
      <c r="I170" s="128">
        <f t="shared" si="66"/>
        <v>5072.3</v>
      </c>
      <c r="J170" s="128">
        <f t="shared" si="66"/>
        <v>9863.2</v>
      </c>
      <c r="K170" s="128" t="e">
        <f>J170/#REF!*100</f>
        <v>#REF!</v>
      </c>
      <c r="L170" s="128">
        <f>J170/H170*100</f>
        <v>310.16352201257865</v>
      </c>
      <c r="M170" s="162"/>
      <c r="N170" s="162"/>
      <c r="O170" s="128">
        <f t="shared" si="57"/>
        <v>194.45222088598862</v>
      </c>
      <c r="P170" s="128">
        <f t="shared" si="55"/>
        <v>93.66761633428301</v>
      </c>
      <c r="Q170" s="129">
        <f t="shared" si="56"/>
        <v>63.21632067067036</v>
      </c>
    </row>
    <row r="171" spans="1:17" ht="12.75">
      <c r="A171" s="110" t="s">
        <v>220</v>
      </c>
      <c r="B171" s="110"/>
      <c r="C171" s="111" t="s">
        <v>221</v>
      </c>
      <c r="D171" s="171">
        <f>F171+G171+H171+I171</f>
        <v>13755</v>
      </c>
      <c r="E171" s="159">
        <f>F171+G171+H171</f>
        <v>9481</v>
      </c>
      <c r="F171" s="171">
        <v>3262</v>
      </c>
      <c r="G171" s="171">
        <v>3512</v>
      </c>
      <c r="H171" s="164">
        <v>2707</v>
      </c>
      <c r="I171" s="165">
        <v>4274</v>
      </c>
      <c r="J171" s="165">
        <v>8814</v>
      </c>
      <c r="K171" s="160" t="e">
        <f>J171/#REF!*100</f>
        <v>#REF!</v>
      </c>
      <c r="L171" s="160">
        <f>J171/H171*100</f>
        <v>325.60029553010713</v>
      </c>
      <c r="M171" s="162"/>
      <c r="N171" s="162"/>
      <c r="O171" s="164">
        <f t="shared" si="57"/>
        <v>206.22367805334582</v>
      </c>
      <c r="P171" s="160">
        <f t="shared" si="55"/>
        <v>92.96487712266638</v>
      </c>
      <c r="Q171" s="165">
        <f t="shared" si="56"/>
        <v>64.07851690294439</v>
      </c>
    </row>
    <row r="172" spans="1:17" ht="12.75">
      <c r="A172" s="112" t="s">
        <v>224</v>
      </c>
      <c r="B172" s="112"/>
      <c r="C172" s="111" t="s">
        <v>225</v>
      </c>
      <c r="D172" s="171">
        <f aca="true" t="shared" si="67" ref="D172:D181">F172+G172+H172+I172</f>
        <v>0</v>
      </c>
      <c r="E172" s="159">
        <f aca="true" t="shared" si="68" ref="E172:E179">F172+G172+H172</f>
        <v>0</v>
      </c>
      <c r="F172" s="171"/>
      <c r="G172" s="171"/>
      <c r="H172" s="164"/>
      <c r="I172" s="165"/>
      <c r="J172" s="165"/>
      <c r="K172" s="160"/>
      <c r="L172" s="160"/>
      <c r="M172" s="162"/>
      <c r="N172" s="162"/>
      <c r="O172" s="164" t="e">
        <f t="shared" si="57"/>
        <v>#DIV/0!</v>
      </c>
      <c r="P172" s="160"/>
      <c r="Q172" s="165"/>
    </row>
    <row r="173" spans="1:17" ht="12.75">
      <c r="A173" s="112" t="s">
        <v>226</v>
      </c>
      <c r="B173" s="112"/>
      <c r="C173" s="111" t="s">
        <v>227</v>
      </c>
      <c r="D173" s="171">
        <f t="shared" si="67"/>
        <v>1155</v>
      </c>
      <c r="E173" s="159">
        <f t="shared" si="68"/>
        <v>530</v>
      </c>
      <c r="F173" s="171">
        <v>130</v>
      </c>
      <c r="G173" s="171">
        <v>100</v>
      </c>
      <c r="H173" s="164">
        <v>300</v>
      </c>
      <c r="I173" s="165">
        <v>625</v>
      </c>
      <c r="J173" s="165">
        <v>644.1</v>
      </c>
      <c r="K173" s="160" t="e">
        <f>J173/#REF!*100</f>
        <v>#REF!</v>
      </c>
      <c r="L173" s="160">
        <f>J173/H173*100</f>
        <v>214.70000000000002</v>
      </c>
      <c r="M173" s="162"/>
      <c r="N173" s="162"/>
      <c r="O173" s="164">
        <f t="shared" si="57"/>
        <v>103.056</v>
      </c>
      <c r="P173" s="160">
        <f t="shared" si="55"/>
        <v>121.52830188679245</v>
      </c>
      <c r="Q173" s="165">
        <f t="shared" si="56"/>
        <v>55.76623376623377</v>
      </c>
    </row>
    <row r="174" spans="1:17" ht="12.75">
      <c r="A174" s="112" t="s">
        <v>228</v>
      </c>
      <c r="B174" s="112"/>
      <c r="C174" s="111" t="s">
        <v>229</v>
      </c>
      <c r="D174" s="171">
        <f t="shared" si="67"/>
        <v>198.5</v>
      </c>
      <c r="E174" s="159">
        <f t="shared" si="68"/>
        <v>147</v>
      </c>
      <c r="F174" s="171">
        <v>49</v>
      </c>
      <c r="G174" s="171">
        <v>49</v>
      </c>
      <c r="H174" s="164">
        <v>49</v>
      </c>
      <c r="I174" s="165">
        <v>51.5</v>
      </c>
      <c r="J174" s="165">
        <v>68.3</v>
      </c>
      <c r="K174" s="160" t="e">
        <f>J174/#REF!*100</f>
        <v>#REF!</v>
      </c>
      <c r="L174" s="160">
        <f>J174/H174*100</f>
        <v>139.3877551020408</v>
      </c>
      <c r="M174" s="162"/>
      <c r="N174" s="162"/>
      <c r="O174" s="164">
        <f t="shared" si="57"/>
        <v>132.62135922330097</v>
      </c>
      <c r="P174" s="160">
        <f t="shared" si="55"/>
        <v>46.46258503401361</v>
      </c>
      <c r="Q174" s="165">
        <f t="shared" si="56"/>
        <v>34.4080604534005</v>
      </c>
    </row>
    <row r="175" spans="1:17" ht="24">
      <c r="A175" s="113" t="s">
        <v>232</v>
      </c>
      <c r="B175" s="113"/>
      <c r="C175" s="111" t="s">
        <v>233</v>
      </c>
      <c r="D175" s="171">
        <f t="shared" si="67"/>
        <v>383.8</v>
      </c>
      <c r="E175" s="159">
        <f t="shared" si="68"/>
        <v>288</v>
      </c>
      <c r="F175" s="171">
        <v>96</v>
      </c>
      <c r="G175" s="171">
        <v>96</v>
      </c>
      <c r="H175" s="164">
        <v>96</v>
      </c>
      <c r="I175" s="165">
        <v>95.8</v>
      </c>
      <c r="J175" s="165">
        <v>204</v>
      </c>
      <c r="K175" s="160" t="e">
        <f>J175/#REF!*100</f>
        <v>#REF!</v>
      </c>
      <c r="L175" s="160">
        <f>J175/H175*100</f>
        <v>212.5</v>
      </c>
      <c r="M175" s="162"/>
      <c r="N175" s="162"/>
      <c r="O175" s="164">
        <f t="shared" si="57"/>
        <v>212.9436325678497</v>
      </c>
      <c r="P175" s="160">
        <f t="shared" si="55"/>
        <v>70.83333333333333</v>
      </c>
      <c r="Q175" s="165">
        <f t="shared" si="56"/>
        <v>53.15268368942157</v>
      </c>
    </row>
    <row r="176" spans="1:17" ht="24">
      <c r="A176" s="115" t="s">
        <v>236</v>
      </c>
      <c r="B176" s="115"/>
      <c r="C176" s="111" t="s">
        <v>237</v>
      </c>
      <c r="D176" s="171">
        <f t="shared" si="67"/>
        <v>110</v>
      </c>
      <c r="E176" s="159">
        <f t="shared" si="68"/>
        <v>84</v>
      </c>
      <c r="F176" s="171">
        <v>28</v>
      </c>
      <c r="G176" s="171">
        <v>28</v>
      </c>
      <c r="H176" s="164">
        <v>28</v>
      </c>
      <c r="I176" s="165">
        <v>26</v>
      </c>
      <c r="J176" s="165">
        <v>50.7</v>
      </c>
      <c r="K176" s="160" t="e">
        <f>J176/#REF!*100</f>
        <v>#REF!</v>
      </c>
      <c r="L176" s="160">
        <f>J176/H176*100</f>
        <v>181.07142857142858</v>
      </c>
      <c r="M176" s="162"/>
      <c r="N176" s="162"/>
      <c r="O176" s="164">
        <f t="shared" si="57"/>
        <v>195</v>
      </c>
      <c r="P176" s="160">
        <f t="shared" si="55"/>
        <v>60.357142857142854</v>
      </c>
      <c r="Q176" s="165">
        <f t="shared" si="56"/>
        <v>46.09090909090909</v>
      </c>
    </row>
    <row r="177" spans="1:17" ht="24">
      <c r="A177" s="115" t="s">
        <v>238</v>
      </c>
      <c r="B177" s="115"/>
      <c r="C177" s="111" t="s">
        <v>239</v>
      </c>
      <c r="D177" s="171">
        <f t="shared" si="67"/>
        <v>0</v>
      </c>
      <c r="E177" s="159">
        <f t="shared" si="68"/>
        <v>0</v>
      </c>
      <c r="F177" s="171"/>
      <c r="G177" s="171"/>
      <c r="H177" s="164"/>
      <c r="I177" s="165"/>
      <c r="J177" s="165">
        <v>82</v>
      </c>
      <c r="K177" s="160" t="e">
        <f>J177/#REF!*100</f>
        <v>#REF!</v>
      </c>
      <c r="L177" s="160" t="e">
        <f>J177/H177*100</f>
        <v>#DIV/0!</v>
      </c>
      <c r="M177" s="162"/>
      <c r="N177" s="162"/>
      <c r="O177" s="164" t="e">
        <f t="shared" si="57"/>
        <v>#DIV/0!</v>
      </c>
      <c r="P177" s="160"/>
      <c r="Q177" s="165"/>
    </row>
    <row r="178" spans="1:17" ht="12.75">
      <c r="A178" s="110" t="s">
        <v>242</v>
      </c>
      <c r="B178" s="110"/>
      <c r="C178" s="111" t="s">
        <v>243</v>
      </c>
      <c r="D178" s="171">
        <f t="shared" si="67"/>
        <v>0</v>
      </c>
      <c r="E178" s="159">
        <f t="shared" si="68"/>
        <v>0</v>
      </c>
      <c r="F178" s="171"/>
      <c r="G178" s="171"/>
      <c r="H178" s="164"/>
      <c r="I178" s="165"/>
      <c r="J178" s="165"/>
      <c r="K178" s="160" t="e">
        <f>J178/#REF!*100</f>
        <v>#REF!</v>
      </c>
      <c r="L178" s="160"/>
      <c r="M178" s="162"/>
      <c r="N178" s="162"/>
      <c r="O178" s="164" t="e">
        <f t="shared" si="57"/>
        <v>#DIV/0!</v>
      </c>
      <c r="P178" s="160"/>
      <c r="Q178" s="165"/>
    </row>
    <row r="179" spans="1:17" ht="12.75">
      <c r="A179" s="133" t="s">
        <v>244</v>
      </c>
      <c r="B179" s="117"/>
      <c r="C179" s="118" t="s">
        <v>245</v>
      </c>
      <c r="D179" s="171">
        <f t="shared" si="67"/>
        <v>0</v>
      </c>
      <c r="E179" s="159">
        <f t="shared" si="68"/>
        <v>0</v>
      </c>
      <c r="F179" s="178"/>
      <c r="G179" s="178"/>
      <c r="H179" s="164"/>
      <c r="I179" s="165"/>
      <c r="J179" s="165">
        <v>0.1</v>
      </c>
      <c r="K179" s="160" t="e">
        <f>J179/#REF!*100</f>
        <v>#REF!</v>
      </c>
      <c r="L179" s="160"/>
      <c r="M179" s="162"/>
      <c r="N179" s="162"/>
      <c r="O179" s="164" t="e">
        <f t="shared" si="57"/>
        <v>#DIV/0!</v>
      </c>
      <c r="P179" s="128"/>
      <c r="Q179" s="129"/>
    </row>
    <row r="180" spans="1:17" ht="12.75">
      <c r="A180" s="108" t="s">
        <v>246</v>
      </c>
      <c r="B180" s="108"/>
      <c r="C180" s="119" t="s">
        <v>247</v>
      </c>
      <c r="D180" s="157">
        <f aca="true" t="shared" si="69" ref="D180:J180">D181</f>
        <v>57023.2</v>
      </c>
      <c r="E180" s="157">
        <f t="shared" si="69"/>
        <v>47880.4</v>
      </c>
      <c r="F180" s="157">
        <f t="shared" si="69"/>
        <v>10283.8</v>
      </c>
      <c r="G180" s="157">
        <f t="shared" si="69"/>
        <v>15120.7</v>
      </c>
      <c r="H180" s="157">
        <f t="shared" si="69"/>
        <v>22475.9</v>
      </c>
      <c r="I180" s="157">
        <f t="shared" si="69"/>
        <v>9142.8</v>
      </c>
      <c r="J180" s="157">
        <f t="shared" si="69"/>
        <v>31409.4</v>
      </c>
      <c r="K180" s="128" t="e">
        <f>J180/#REF!*100</f>
        <v>#REF!</v>
      </c>
      <c r="L180" s="128">
        <f>J180/H180*100</f>
        <v>139.74701791696884</v>
      </c>
      <c r="M180" s="162"/>
      <c r="N180" s="162"/>
      <c r="O180" s="157">
        <f t="shared" si="57"/>
        <v>343.5424596403728</v>
      </c>
      <c r="P180" s="128">
        <f t="shared" si="55"/>
        <v>65.59970259229246</v>
      </c>
      <c r="Q180" s="129">
        <f t="shared" si="56"/>
        <v>55.081791270921315</v>
      </c>
    </row>
    <row r="181" spans="1:17" ht="24">
      <c r="A181" s="120" t="s">
        <v>248</v>
      </c>
      <c r="B181" s="112"/>
      <c r="C181" s="121" t="s">
        <v>249</v>
      </c>
      <c r="D181" s="171">
        <f t="shared" si="67"/>
        <v>57023.2</v>
      </c>
      <c r="E181" s="159">
        <f>F181+G181+H181</f>
        <v>47880.4</v>
      </c>
      <c r="F181" s="171">
        <v>10283.8</v>
      </c>
      <c r="G181" s="171">
        <v>15120.7</v>
      </c>
      <c r="H181" s="164">
        <v>22475.9</v>
      </c>
      <c r="I181" s="165">
        <v>9142.8</v>
      </c>
      <c r="J181" s="165">
        <v>31409.4</v>
      </c>
      <c r="K181" s="160" t="e">
        <f>J181/#REF!*100</f>
        <v>#REF!</v>
      </c>
      <c r="L181" s="160">
        <f>J181/H181*100</f>
        <v>139.74701791696884</v>
      </c>
      <c r="M181" s="162"/>
      <c r="N181" s="162"/>
      <c r="O181" s="164">
        <f t="shared" si="57"/>
        <v>343.5424596403728</v>
      </c>
      <c r="P181" s="160">
        <f t="shared" si="55"/>
        <v>65.59970259229246</v>
      </c>
      <c r="Q181" s="165">
        <f t="shared" si="56"/>
        <v>55.081791270921315</v>
      </c>
    </row>
    <row r="182" spans="1:17" ht="12.75">
      <c r="A182" s="110"/>
      <c r="B182" s="126"/>
      <c r="C182" s="127" t="s">
        <v>256</v>
      </c>
      <c r="D182" s="129">
        <f aca="true" t="shared" si="70" ref="D182:J182">D180+D170</f>
        <v>72625.5</v>
      </c>
      <c r="E182" s="129">
        <f t="shared" si="70"/>
        <v>58410.4</v>
      </c>
      <c r="F182" s="129">
        <f t="shared" si="70"/>
        <v>13848.8</v>
      </c>
      <c r="G182" s="129">
        <f t="shared" si="70"/>
        <v>18905.7</v>
      </c>
      <c r="H182" s="129">
        <f t="shared" si="70"/>
        <v>25655.9</v>
      </c>
      <c r="I182" s="129">
        <f t="shared" si="70"/>
        <v>14215.099999999999</v>
      </c>
      <c r="J182" s="129">
        <f t="shared" si="70"/>
        <v>41272.600000000006</v>
      </c>
      <c r="K182" s="128" t="e">
        <f>J182/#REF!*100</f>
        <v>#REF!</v>
      </c>
      <c r="L182" s="128">
        <f>J182/H182*100</f>
        <v>160.86981941775576</v>
      </c>
      <c r="M182" s="162"/>
      <c r="N182" s="169" t="e">
        <f>I182+#REF!+#REF!</f>
        <v>#REF!</v>
      </c>
      <c r="O182" s="157">
        <f t="shared" si="57"/>
        <v>290.34336726438795</v>
      </c>
      <c r="P182" s="128">
        <f t="shared" si="55"/>
        <v>70.65967704381413</v>
      </c>
      <c r="Q182" s="129">
        <f t="shared" si="56"/>
        <v>56.82935057245734</v>
      </c>
    </row>
    <row r="183" spans="1:17" ht="12.75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8"/>
      <c r="M183" s="162"/>
      <c r="N183" s="162"/>
      <c r="O183" s="170"/>
      <c r="P183" s="128"/>
      <c r="Q183" s="129"/>
    </row>
    <row r="184" spans="1:17" ht="12.75">
      <c r="A184" s="223" t="s">
        <v>269</v>
      </c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5"/>
      <c r="P184" s="128"/>
      <c r="Q184" s="129"/>
    </row>
    <row r="185" spans="1:17" ht="12.75">
      <c r="A185" s="108" t="s">
        <v>218</v>
      </c>
      <c r="B185" s="108"/>
      <c r="C185" s="109" t="s">
        <v>219</v>
      </c>
      <c r="D185" s="128">
        <f aca="true" t="shared" si="71" ref="D185:J185">D186+D188+D190+D192+D189+D193+D194+D187+D191</f>
        <v>1467</v>
      </c>
      <c r="E185" s="128">
        <f t="shared" si="71"/>
        <v>960</v>
      </c>
      <c r="F185" s="128">
        <f t="shared" si="71"/>
        <v>163</v>
      </c>
      <c r="G185" s="128">
        <f t="shared" si="71"/>
        <v>431</v>
      </c>
      <c r="H185" s="128">
        <f t="shared" si="71"/>
        <v>366</v>
      </c>
      <c r="I185" s="128">
        <f t="shared" si="71"/>
        <v>507</v>
      </c>
      <c r="J185" s="128">
        <f t="shared" si="71"/>
        <v>918</v>
      </c>
      <c r="K185" s="128" t="e">
        <f>J185/#REF!*100</f>
        <v>#REF!</v>
      </c>
      <c r="L185" s="128">
        <f aca="true" t="shared" si="72" ref="L185:L192">J185/H185*100</f>
        <v>250.81967213114754</v>
      </c>
      <c r="M185" s="162"/>
      <c r="N185" s="162"/>
      <c r="O185" s="128">
        <f t="shared" si="57"/>
        <v>181.06508875739644</v>
      </c>
      <c r="P185" s="128">
        <f t="shared" si="55"/>
        <v>95.625</v>
      </c>
      <c r="Q185" s="129">
        <f t="shared" si="56"/>
        <v>62.576687116564415</v>
      </c>
    </row>
    <row r="186" spans="1:17" ht="12.75">
      <c r="A186" s="110" t="s">
        <v>220</v>
      </c>
      <c r="B186" s="110"/>
      <c r="C186" s="111" t="s">
        <v>221</v>
      </c>
      <c r="D186" s="171">
        <f>F186+G186+H186+I186</f>
        <v>1155</v>
      </c>
      <c r="E186" s="159">
        <f>F186+G186+H186</f>
        <v>700</v>
      </c>
      <c r="F186" s="171">
        <v>120</v>
      </c>
      <c r="G186" s="171">
        <v>300</v>
      </c>
      <c r="H186" s="164">
        <v>280</v>
      </c>
      <c r="I186" s="164">
        <v>455</v>
      </c>
      <c r="J186" s="165">
        <v>588.2</v>
      </c>
      <c r="K186" s="160" t="e">
        <f>J186/#REF!*100</f>
        <v>#REF!</v>
      </c>
      <c r="L186" s="160">
        <f t="shared" si="72"/>
        <v>210.0714285714286</v>
      </c>
      <c r="M186" s="162"/>
      <c r="N186" s="162"/>
      <c r="O186" s="164">
        <f t="shared" si="57"/>
        <v>129.27472527472528</v>
      </c>
      <c r="P186" s="160">
        <f t="shared" si="55"/>
        <v>84.02857142857144</v>
      </c>
      <c r="Q186" s="165">
        <f t="shared" si="56"/>
        <v>50.92640692640693</v>
      </c>
    </row>
    <row r="187" spans="1:17" ht="36">
      <c r="A187" s="112" t="s">
        <v>224</v>
      </c>
      <c r="B187" s="140" t="s">
        <v>270</v>
      </c>
      <c r="C187" s="111" t="s">
        <v>225</v>
      </c>
      <c r="D187" s="171">
        <f aca="true" t="shared" si="73" ref="D187:D198">F187+G187+H187+I187</f>
        <v>16</v>
      </c>
      <c r="E187" s="159">
        <f aca="true" t="shared" si="74" ref="E187:E194">F187+G187+H187</f>
        <v>16</v>
      </c>
      <c r="F187" s="171">
        <v>16</v>
      </c>
      <c r="G187" s="171"/>
      <c r="H187" s="164"/>
      <c r="I187" s="164"/>
      <c r="J187" s="165">
        <v>0.4</v>
      </c>
      <c r="K187" s="160" t="e">
        <f>J187/#REF!*100</f>
        <v>#REF!</v>
      </c>
      <c r="L187" s="160"/>
      <c r="M187" s="162"/>
      <c r="N187" s="162"/>
      <c r="O187" s="164" t="e">
        <f t="shared" si="57"/>
        <v>#DIV/0!</v>
      </c>
      <c r="P187" s="160">
        <f t="shared" si="55"/>
        <v>2.5</v>
      </c>
      <c r="Q187" s="165">
        <f t="shared" si="56"/>
        <v>2.5</v>
      </c>
    </row>
    <row r="188" spans="1:17" ht="12.75">
      <c r="A188" s="112" t="s">
        <v>226</v>
      </c>
      <c r="B188" s="112"/>
      <c r="C188" s="111" t="s">
        <v>227</v>
      </c>
      <c r="D188" s="171">
        <f t="shared" si="73"/>
        <v>87</v>
      </c>
      <c r="E188" s="159">
        <f t="shared" si="74"/>
        <v>62</v>
      </c>
      <c r="F188" s="171">
        <v>3</v>
      </c>
      <c r="G188" s="171">
        <v>5</v>
      </c>
      <c r="H188" s="164">
        <v>54</v>
      </c>
      <c r="I188" s="164">
        <v>25</v>
      </c>
      <c r="J188" s="165">
        <v>25.6</v>
      </c>
      <c r="K188" s="160" t="e">
        <f>J188/#REF!*100</f>
        <v>#REF!</v>
      </c>
      <c r="L188" s="160">
        <f t="shared" si="72"/>
        <v>47.40740740740741</v>
      </c>
      <c r="M188" s="162"/>
      <c r="N188" s="162"/>
      <c r="O188" s="164">
        <f t="shared" si="57"/>
        <v>102.4</v>
      </c>
      <c r="P188" s="160">
        <f t="shared" si="55"/>
        <v>41.29032258064516</v>
      </c>
      <c r="Q188" s="165">
        <f t="shared" si="56"/>
        <v>29.42528735632184</v>
      </c>
    </row>
    <row r="189" spans="1:17" ht="12.75">
      <c r="A189" s="112" t="s">
        <v>228</v>
      </c>
      <c r="B189" s="112"/>
      <c r="C189" s="111" t="s">
        <v>229</v>
      </c>
      <c r="D189" s="171">
        <f t="shared" si="73"/>
        <v>35</v>
      </c>
      <c r="E189" s="159">
        <f t="shared" si="74"/>
        <v>28</v>
      </c>
      <c r="F189" s="171">
        <v>4</v>
      </c>
      <c r="G189" s="171">
        <v>12</v>
      </c>
      <c r="H189" s="164">
        <v>12</v>
      </c>
      <c r="I189" s="164">
        <v>7</v>
      </c>
      <c r="J189" s="165">
        <v>22.2</v>
      </c>
      <c r="K189" s="160" t="e">
        <f>J189/#REF!*100</f>
        <v>#REF!</v>
      </c>
      <c r="L189" s="160">
        <f t="shared" si="72"/>
        <v>185</v>
      </c>
      <c r="M189" s="162"/>
      <c r="N189" s="162"/>
      <c r="O189" s="164">
        <f t="shared" si="57"/>
        <v>317.14285714285717</v>
      </c>
      <c r="P189" s="160">
        <f t="shared" si="55"/>
        <v>79.28571428571429</v>
      </c>
      <c r="Q189" s="165">
        <f t="shared" si="56"/>
        <v>63.42857142857143</v>
      </c>
    </row>
    <row r="190" spans="1:17" ht="24">
      <c r="A190" s="113" t="s">
        <v>232</v>
      </c>
      <c r="B190" s="113"/>
      <c r="C190" s="111" t="s">
        <v>233</v>
      </c>
      <c r="D190" s="171">
        <f t="shared" si="73"/>
        <v>80</v>
      </c>
      <c r="E190" s="159">
        <f t="shared" si="74"/>
        <v>60</v>
      </c>
      <c r="F190" s="171">
        <v>20</v>
      </c>
      <c r="G190" s="171">
        <v>20</v>
      </c>
      <c r="H190" s="164">
        <v>20</v>
      </c>
      <c r="I190" s="164">
        <v>20</v>
      </c>
      <c r="J190" s="165">
        <v>137.2</v>
      </c>
      <c r="K190" s="160" t="e">
        <f>J190/#REF!*100</f>
        <v>#REF!</v>
      </c>
      <c r="L190" s="160">
        <f t="shared" si="72"/>
        <v>686</v>
      </c>
      <c r="M190" s="162"/>
      <c r="N190" s="162"/>
      <c r="O190" s="164">
        <f t="shared" si="57"/>
        <v>685.9999999999999</v>
      </c>
      <c r="P190" s="160">
        <f t="shared" si="55"/>
        <v>228.66666666666663</v>
      </c>
      <c r="Q190" s="165">
        <f t="shared" si="56"/>
        <v>171.49999999999997</v>
      </c>
    </row>
    <row r="191" spans="1:17" ht="24">
      <c r="A191" s="115" t="s">
        <v>236</v>
      </c>
      <c r="B191" s="115"/>
      <c r="C191" s="111" t="s">
        <v>237</v>
      </c>
      <c r="D191" s="171">
        <f t="shared" si="73"/>
        <v>94</v>
      </c>
      <c r="E191" s="159">
        <f t="shared" si="74"/>
        <v>94</v>
      </c>
      <c r="F191" s="171"/>
      <c r="G191" s="171">
        <v>94</v>
      </c>
      <c r="H191" s="164"/>
      <c r="I191" s="164"/>
      <c r="J191" s="165">
        <v>94</v>
      </c>
      <c r="K191" s="160"/>
      <c r="L191" s="160"/>
      <c r="M191" s="162"/>
      <c r="N191" s="162"/>
      <c r="O191" s="164"/>
      <c r="P191" s="160">
        <f t="shared" si="55"/>
        <v>100</v>
      </c>
      <c r="Q191" s="165">
        <f t="shared" si="56"/>
        <v>100</v>
      </c>
    </row>
    <row r="192" spans="1:17" ht="24">
      <c r="A192" s="114" t="s">
        <v>238</v>
      </c>
      <c r="B192" s="114"/>
      <c r="C192" s="111" t="s">
        <v>239</v>
      </c>
      <c r="D192" s="171">
        <f t="shared" si="73"/>
        <v>0</v>
      </c>
      <c r="E192" s="159">
        <f t="shared" si="74"/>
        <v>0</v>
      </c>
      <c r="F192" s="171"/>
      <c r="G192" s="171"/>
      <c r="H192" s="164"/>
      <c r="I192" s="164"/>
      <c r="J192" s="165"/>
      <c r="K192" s="160" t="e">
        <f>J192/#REF!*100</f>
        <v>#REF!</v>
      </c>
      <c r="L192" s="160" t="e">
        <f t="shared" si="72"/>
        <v>#DIV/0!</v>
      </c>
      <c r="M192" s="162"/>
      <c r="N192" s="162"/>
      <c r="O192" s="164" t="e">
        <f t="shared" si="57"/>
        <v>#DIV/0!</v>
      </c>
      <c r="P192" s="160"/>
      <c r="Q192" s="165" t="e">
        <f t="shared" si="56"/>
        <v>#DIV/0!</v>
      </c>
    </row>
    <row r="193" spans="1:17" ht="12.75">
      <c r="A193" s="114" t="s">
        <v>242</v>
      </c>
      <c r="B193" s="139"/>
      <c r="C193" s="111" t="s">
        <v>243</v>
      </c>
      <c r="D193" s="171">
        <f t="shared" si="73"/>
        <v>0</v>
      </c>
      <c r="E193" s="159">
        <f t="shared" si="74"/>
        <v>0</v>
      </c>
      <c r="F193" s="171"/>
      <c r="G193" s="171"/>
      <c r="H193" s="164"/>
      <c r="I193" s="164"/>
      <c r="J193" s="165">
        <v>0.4</v>
      </c>
      <c r="K193" s="160" t="e">
        <f>J193/#REF!*100</f>
        <v>#REF!</v>
      </c>
      <c r="L193" s="160"/>
      <c r="M193" s="162"/>
      <c r="N193" s="162"/>
      <c r="O193" s="164" t="e">
        <f t="shared" si="57"/>
        <v>#DIV/0!</v>
      </c>
      <c r="P193" s="160"/>
      <c r="Q193" s="165"/>
    </row>
    <row r="194" spans="1:17" ht="12.75">
      <c r="A194" s="133" t="s">
        <v>244</v>
      </c>
      <c r="B194" s="117"/>
      <c r="C194" s="118" t="s">
        <v>245</v>
      </c>
      <c r="D194" s="171">
        <f t="shared" si="73"/>
        <v>0</v>
      </c>
      <c r="E194" s="159">
        <f t="shared" si="74"/>
        <v>0</v>
      </c>
      <c r="F194" s="171"/>
      <c r="G194" s="171"/>
      <c r="H194" s="164"/>
      <c r="I194" s="164"/>
      <c r="J194" s="165">
        <v>50</v>
      </c>
      <c r="K194" s="160" t="e">
        <f>J194/#REF!*100</f>
        <v>#REF!</v>
      </c>
      <c r="L194" s="160"/>
      <c r="M194" s="162"/>
      <c r="N194" s="162"/>
      <c r="O194" s="164"/>
      <c r="P194" s="160"/>
      <c r="Q194" s="165"/>
    </row>
    <row r="195" spans="1:17" ht="12.75">
      <c r="A195" s="108" t="s">
        <v>246</v>
      </c>
      <c r="B195" s="108"/>
      <c r="C195" s="119" t="s">
        <v>247</v>
      </c>
      <c r="D195" s="166">
        <f>D196+D197+D198</f>
        <v>24880.5</v>
      </c>
      <c r="E195" s="166">
        <f aca="true" t="shared" si="75" ref="E195:J195">E196+E197+E198</f>
        <v>19805.9</v>
      </c>
      <c r="F195" s="166">
        <f t="shared" si="75"/>
        <v>5925.2</v>
      </c>
      <c r="G195" s="166">
        <f t="shared" si="75"/>
        <v>6470.1</v>
      </c>
      <c r="H195" s="166">
        <f t="shared" si="75"/>
        <v>7410.6</v>
      </c>
      <c r="I195" s="166">
        <f t="shared" si="75"/>
        <v>5074.6</v>
      </c>
      <c r="J195" s="166">
        <f t="shared" si="75"/>
        <v>14091</v>
      </c>
      <c r="K195" s="166" t="e">
        <f>K196+K197</f>
        <v>#REF!</v>
      </c>
      <c r="L195" s="166">
        <f>L196+L197</f>
        <v>185.67059265420008</v>
      </c>
      <c r="M195" s="166">
        <f>M196+M197</f>
        <v>0</v>
      </c>
      <c r="N195" s="166">
        <f>N196+N197</f>
        <v>0</v>
      </c>
      <c r="O195" s="166">
        <f>O196+O197</f>
        <v>272.7505616206203</v>
      </c>
      <c r="P195" s="128">
        <f t="shared" si="55"/>
        <v>71.14546675485587</v>
      </c>
      <c r="Q195" s="129">
        <f t="shared" si="56"/>
        <v>56.63471393259782</v>
      </c>
    </row>
    <row r="196" spans="1:17" ht="24">
      <c r="A196" s="120" t="s">
        <v>248</v>
      </c>
      <c r="B196" s="112"/>
      <c r="C196" s="121" t="s">
        <v>249</v>
      </c>
      <c r="D196" s="171">
        <f t="shared" si="73"/>
        <v>24674.5</v>
      </c>
      <c r="E196" s="159">
        <f>F196+G196+H196</f>
        <v>19599.9</v>
      </c>
      <c r="F196" s="171">
        <f>5827.2+98</f>
        <v>5925.2</v>
      </c>
      <c r="G196" s="171">
        <f>5844.5+60.6+315</f>
        <v>6220.1</v>
      </c>
      <c r="H196" s="164">
        <f>5544.5+199.1+1711</f>
        <v>7454.6</v>
      </c>
      <c r="I196" s="164">
        <v>5074.6</v>
      </c>
      <c r="J196" s="165">
        <v>13841</v>
      </c>
      <c r="K196" s="160" t="e">
        <f>J196/#REF!*100</f>
        <v>#REF!</v>
      </c>
      <c r="L196" s="160">
        <f>J196/H196*100</f>
        <v>185.67059265420008</v>
      </c>
      <c r="M196" s="162"/>
      <c r="N196" s="162"/>
      <c r="O196" s="164">
        <f t="shared" si="57"/>
        <v>272.7505616206203</v>
      </c>
      <c r="P196" s="160">
        <f t="shared" si="55"/>
        <v>70.61770723320016</v>
      </c>
      <c r="Q196" s="165">
        <f t="shared" si="56"/>
        <v>56.09434841638129</v>
      </c>
    </row>
    <row r="197" spans="1:17" ht="12.75">
      <c r="A197" s="120" t="s">
        <v>250</v>
      </c>
      <c r="B197" s="120"/>
      <c r="C197" s="122" t="s">
        <v>251</v>
      </c>
      <c r="D197" s="171">
        <f t="shared" si="73"/>
        <v>300</v>
      </c>
      <c r="E197" s="159">
        <f>F197+G197+H197</f>
        <v>300</v>
      </c>
      <c r="F197" s="171"/>
      <c r="G197" s="171">
        <v>250</v>
      </c>
      <c r="H197" s="164">
        <v>50</v>
      </c>
      <c r="I197" s="164"/>
      <c r="J197" s="165">
        <v>250</v>
      </c>
      <c r="K197" s="160"/>
      <c r="L197" s="160"/>
      <c r="M197" s="162"/>
      <c r="N197" s="162"/>
      <c r="O197" s="164"/>
      <c r="P197" s="160">
        <f>J197*100/E197</f>
        <v>83.33333333333333</v>
      </c>
      <c r="Q197" s="165">
        <f>J197*100/D197</f>
        <v>83.33333333333333</v>
      </c>
    </row>
    <row r="198" spans="1:17" ht="36">
      <c r="A198" s="120" t="s">
        <v>254</v>
      </c>
      <c r="B198" s="124"/>
      <c r="C198" s="125" t="s">
        <v>255</v>
      </c>
      <c r="D198" s="171">
        <f t="shared" si="73"/>
        <v>-94</v>
      </c>
      <c r="E198" s="159">
        <f>F198+G198+H198</f>
        <v>-94</v>
      </c>
      <c r="F198" s="171"/>
      <c r="G198" s="171"/>
      <c r="H198" s="164">
        <v>-94</v>
      </c>
      <c r="I198" s="164"/>
      <c r="J198" s="165"/>
      <c r="K198" s="160"/>
      <c r="L198" s="160"/>
      <c r="M198" s="162"/>
      <c r="N198" s="162"/>
      <c r="O198" s="164"/>
      <c r="P198" s="160">
        <f>J198*100/E198</f>
        <v>0</v>
      </c>
      <c r="Q198" s="165">
        <f>J198*100/D198</f>
        <v>0</v>
      </c>
    </row>
    <row r="199" spans="1:17" ht="12.75">
      <c r="A199" s="110"/>
      <c r="B199" s="126"/>
      <c r="C199" s="127" t="s">
        <v>256</v>
      </c>
      <c r="D199" s="129">
        <f aca="true" t="shared" si="76" ref="D199:J199">D195+D185</f>
        <v>26347.5</v>
      </c>
      <c r="E199" s="129">
        <f t="shared" si="76"/>
        <v>20765.9</v>
      </c>
      <c r="F199" s="157">
        <f t="shared" si="76"/>
        <v>6088.2</v>
      </c>
      <c r="G199" s="157">
        <f t="shared" si="76"/>
        <v>6901.1</v>
      </c>
      <c r="H199" s="157">
        <f t="shared" si="76"/>
        <v>7776.6</v>
      </c>
      <c r="I199" s="157">
        <f t="shared" si="76"/>
        <v>5581.6</v>
      </c>
      <c r="J199" s="129">
        <f t="shared" si="76"/>
        <v>15009</v>
      </c>
      <c r="K199" s="128" t="e">
        <f>J199/#REF!*100</f>
        <v>#REF!</v>
      </c>
      <c r="L199" s="128">
        <f>J199/H199*100</f>
        <v>193.0020831725947</v>
      </c>
      <c r="M199" s="162"/>
      <c r="N199" s="169" t="e">
        <f>I199+#REF!+#REF!</f>
        <v>#REF!</v>
      </c>
      <c r="O199" s="157">
        <f t="shared" si="57"/>
        <v>268.9013902823563</v>
      </c>
      <c r="P199" s="128">
        <f t="shared" si="55"/>
        <v>72.27714666833606</v>
      </c>
      <c r="Q199" s="129">
        <f t="shared" si="56"/>
        <v>56.965556504412184</v>
      </c>
    </row>
    <row r="200" spans="1:17" ht="12.75">
      <c r="A200" s="256"/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  <c r="L200" s="258"/>
      <c r="M200" s="162"/>
      <c r="N200" s="162"/>
      <c r="O200" s="170"/>
      <c r="P200" s="128"/>
      <c r="Q200" s="129"/>
    </row>
    <row r="201" spans="1:17" ht="12.75">
      <c r="A201" s="223" t="s">
        <v>271</v>
      </c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5"/>
    </row>
    <row r="202" spans="1:17" ht="12.75">
      <c r="A202" s="108" t="s">
        <v>218</v>
      </c>
      <c r="B202" s="141"/>
      <c r="C202" s="109" t="s">
        <v>219</v>
      </c>
      <c r="D202" s="128">
        <f aca="true" t="shared" si="77" ref="D202:J202">D203+D205+D206+D207+D209+D210+D212+D214+D211+D208+D215+D213+D204</f>
        <v>804123.4</v>
      </c>
      <c r="E202" s="128">
        <f t="shared" si="77"/>
        <v>579155.9</v>
      </c>
      <c r="F202" s="128">
        <f t="shared" si="77"/>
        <v>171284.69999999998</v>
      </c>
      <c r="G202" s="128">
        <f t="shared" si="77"/>
        <v>223409.69999999998</v>
      </c>
      <c r="H202" s="128">
        <f t="shared" si="77"/>
        <v>184461.50000000003</v>
      </c>
      <c r="I202" s="128">
        <f t="shared" si="77"/>
        <v>224967.5</v>
      </c>
      <c r="J202" s="128">
        <f t="shared" si="77"/>
        <v>526242.3</v>
      </c>
      <c r="K202" s="128" t="e">
        <f>J202/#REF!*100</f>
        <v>#REF!</v>
      </c>
      <c r="L202" s="128">
        <f aca="true" t="shared" si="78" ref="L202:L213">J202/H202*100</f>
        <v>285.2857100262114</v>
      </c>
      <c r="M202" s="162"/>
      <c r="N202" s="162"/>
      <c r="O202" s="128">
        <f t="shared" si="57"/>
        <v>233.91925500350055</v>
      </c>
      <c r="P202" s="128">
        <f t="shared" si="55"/>
        <v>90.86366900518497</v>
      </c>
      <c r="Q202" s="129">
        <f t="shared" si="56"/>
        <v>65.44297803048637</v>
      </c>
    </row>
    <row r="203" spans="1:17" ht="36">
      <c r="A203" s="110" t="s">
        <v>220</v>
      </c>
      <c r="B203" s="142" t="s">
        <v>272</v>
      </c>
      <c r="C203" s="111" t="s">
        <v>221</v>
      </c>
      <c r="D203" s="171">
        <f>F203+G203+H203+I203</f>
        <v>576109.2000000001</v>
      </c>
      <c r="E203" s="159">
        <f>F203+G203+H203</f>
        <v>416738.9</v>
      </c>
      <c r="F203" s="165">
        <f>F9+F31+F46+F62+F78+F95+F110+F125+F140+F156+F171+F186</f>
        <v>131561.09999999998</v>
      </c>
      <c r="G203" s="165">
        <f>G9+G31+G46+G62+G78+G95+G110+G125+G140+G156+G171+G186</f>
        <v>152837.2</v>
      </c>
      <c r="H203" s="165">
        <f>H9+H31+H46+H62+H78+H95+H110+H125+H140+H156+H171+H186</f>
        <v>132340.6</v>
      </c>
      <c r="I203" s="165">
        <f>I9+I31+I46+I62+I78+I95+I110+I125+I140+I156+I171+I186</f>
        <v>159370.30000000002</v>
      </c>
      <c r="J203" s="165">
        <f>J9+J31+J46+J62+J78+J95+J110+J125+J140+J156+J171+J186-0.1</f>
        <v>345085.3</v>
      </c>
      <c r="K203" s="160" t="e">
        <f>J203/#REF!*100</f>
        <v>#REF!</v>
      </c>
      <c r="L203" s="160">
        <f t="shared" si="78"/>
        <v>260.75542955071984</v>
      </c>
      <c r="M203" s="162"/>
      <c r="N203" s="162"/>
      <c r="O203" s="164">
        <f t="shared" si="57"/>
        <v>216.5304953306858</v>
      </c>
      <c r="P203" s="160">
        <f t="shared" si="55"/>
        <v>82.80611673160341</v>
      </c>
      <c r="Q203" s="165">
        <f t="shared" si="56"/>
        <v>59.89928645472073</v>
      </c>
    </row>
    <row r="204" spans="1:17" ht="12.75">
      <c r="A204" s="112" t="s">
        <v>222</v>
      </c>
      <c r="B204" s="112"/>
      <c r="C204" s="111" t="s">
        <v>223</v>
      </c>
      <c r="D204" s="171">
        <f aca="true" t="shared" si="79" ref="D204:D218">F204+G204+H204+I204</f>
        <v>33926</v>
      </c>
      <c r="E204" s="159">
        <f aca="true" t="shared" si="80" ref="E204:E215">F204+G204+H204</f>
        <v>25444.5</v>
      </c>
      <c r="F204" s="165">
        <f aca="true" t="shared" si="81" ref="F204:O204">F10</f>
        <v>8482</v>
      </c>
      <c r="G204" s="165">
        <f t="shared" si="81"/>
        <v>8481.3</v>
      </c>
      <c r="H204" s="165">
        <f t="shared" si="81"/>
        <v>8481.2</v>
      </c>
      <c r="I204" s="165">
        <f t="shared" si="81"/>
        <v>8481.5</v>
      </c>
      <c r="J204" s="165">
        <f>J10</f>
        <v>21371.5</v>
      </c>
      <c r="K204" s="165">
        <f t="shared" si="81"/>
        <v>0</v>
      </c>
      <c r="L204" s="165">
        <f t="shared" si="81"/>
        <v>0</v>
      </c>
      <c r="M204" s="165">
        <f t="shared" si="81"/>
        <v>0</v>
      </c>
      <c r="N204" s="165">
        <f t="shared" si="81"/>
        <v>0</v>
      </c>
      <c r="O204" s="165">
        <f t="shared" si="81"/>
        <v>0</v>
      </c>
      <c r="P204" s="160">
        <f t="shared" si="55"/>
        <v>83.99261136984417</v>
      </c>
      <c r="Q204" s="165">
        <f t="shared" si="56"/>
        <v>62.99445852738313</v>
      </c>
    </row>
    <row r="205" spans="1:17" ht="36">
      <c r="A205" s="112" t="s">
        <v>224</v>
      </c>
      <c r="B205" s="140" t="s">
        <v>270</v>
      </c>
      <c r="C205" s="111" t="s">
        <v>225</v>
      </c>
      <c r="D205" s="171">
        <f t="shared" si="79"/>
        <v>33953</v>
      </c>
      <c r="E205" s="159">
        <f t="shared" si="80"/>
        <v>26106.1</v>
      </c>
      <c r="F205" s="165">
        <f>F11+F47+F63+F187+F141+F111+F172+F79+F96</f>
        <v>7856.5</v>
      </c>
      <c r="G205" s="165">
        <f>G11+G47+G63+G187+G141+G111+G172+G79+G96</f>
        <v>10362.5</v>
      </c>
      <c r="H205" s="165">
        <f>H11+H47+H63+H187+H141+H111+H172+H79+H96</f>
        <v>7887.099999999999</v>
      </c>
      <c r="I205" s="165">
        <f>I11+I47+I63+I187+I141+I111+I172+I79+I96</f>
        <v>7846.9</v>
      </c>
      <c r="J205" s="165">
        <f>J11+J47+J63+J187+J141+J111+J172+J79+J96+0.1</f>
        <v>28136.1</v>
      </c>
      <c r="K205" s="160" t="e">
        <f>J205/#REF!*100</f>
        <v>#REF!</v>
      </c>
      <c r="L205" s="160">
        <f t="shared" si="78"/>
        <v>356.73568231669435</v>
      </c>
      <c r="M205" s="162"/>
      <c r="N205" s="162"/>
      <c r="O205" s="164">
        <f t="shared" si="57"/>
        <v>358.56325427875976</v>
      </c>
      <c r="P205" s="160">
        <f t="shared" si="55"/>
        <v>107.7759604077208</v>
      </c>
      <c r="Q205" s="165">
        <f t="shared" si="56"/>
        <v>82.86778782434541</v>
      </c>
    </row>
    <row r="206" spans="1:17" ht="36">
      <c r="A206" s="112" t="s">
        <v>226</v>
      </c>
      <c r="B206" s="140" t="s">
        <v>273</v>
      </c>
      <c r="C206" s="111" t="s">
        <v>227</v>
      </c>
      <c r="D206" s="171">
        <f t="shared" si="79"/>
        <v>16197</v>
      </c>
      <c r="E206" s="159">
        <f t="shared" si="80"/>
        <v>12054.2</v>
      </c>
      <c r="F206" s="165">
        <f>F12+F32+F48+F64+F80+F97+F112+F126+F142+F157+F173+F188</f>
        <v>4748.5</v>
      </c>
      <c r="G206" s="165">
        <f>G12+G32+G48+G64+G80+G97+G112+G126+G142+G157+G173+G188</f>
        <v>2496.3</v>
      </c>
      <c r="H206" s="165">
        <f>H12+H32+H48+H64+H80+H97+H112+H126+H142+H157+H173+H188</f>
        <v>4809.400000000001</v>
      </c>
      <c r="I206" s="165">
        <f>I12+I32+I48+I64+I80+I97+I112+I126+I142+I157+I173+I188</f>
        <v>4142.8</v>
      </c>
      <c r="J206" s="165">
        <f>J12+J32+J48+J64+J80+J97+J112+J126+J142+J157+J173+J188</f>
        <v>9398.900000000001</v>
      </c>
      <c r="K206" s="160" t="e">
        <f>J206/#REF!*100</f>
        <v>#REF!</v>
      </c>
      <c r="L206" s="160">
        <f t="shared" si="78"/>
        <v>195.42770407951096</v>
      </c>
      <c r="M206" s="162"/>
      <c r="N206" s="162"/>
      <c r="O206" s="164">
        <f t="shared" si="57"/>
        <v>226.87312928454187</v>
      </c>
      <c r="P206" s="160">
        <f t="shared" si="55"/>
        <v>77.97199316420833</v>
      </c>
      <c r="Q206" s="165">
        <f t="shared" si="56"/>
        <v>58.028647280360566</v>
      </c>
    </row>
    <row r="207" spans="1:17" ht="36">
      <c r="A207" s="112" t="s">
        <v>228</v>
      </c>
      <c r="B207" s="140" t="s">
        <v>274</v>
      </c>
      <c r="C207" s="111" t="s">
        <v>229</v>
      </c>
      <c r="D207" s="171">
        <f t="shared" si="79"/>
        <v>2694.2000000000003</v>
      </c>
      <c r="E207" s="159">
        <f t="shared" si="80"/>
        <v>2069.3</v>
      </c>
      <c r="F207" s="165">
        <f>F13+F33+F65+F81+F98+F113+F127+F143+F158+F174+F189</f>
        <v>563.5</v>
      </c>
      <c r="G207" s="165">
        <f>G13+G33+G65+G81+G98+G113+G127+G143+G158+G174+G189</f>
        <v>913.4</v>
      </c>
      <c r="H207" s="165">
        <f>H13+H33+H65+H81+H98+H113+H127+H143+H158+H174+H189</f>
        <v>592.4000000000001</v>
      </c>
      <c r="I207" s="165">
        <f>I13+I33+I65+I81+I98+I113+I127+I143+I158+I174+I189</f>
        <v>624.9</v>
      </c>
      <c r="J207" s="165">
        <f>J13+J33+J49+J65+J81+J98+J113+J127+J143+J158+J174+J189+0.1</f>
        <v>2567</v>
      </c>
      <c r="K207" s="160" t="e">
        <f>J207/#REF!*100</f>
        <v>#REF!</v>
      </c>
      <c r="L207" s="160">
        <f t="shared" si="78"/>
        <v>433.3220796758946</v>
      </c>
      <c r="M207" s="162"/>
      <c r="N207" s="162"/>
      <c r="O207" s="164">
        <f t="shared" si="57"/>
        <v>410.7857257161146</v>
      </c>
      <c r="P207" s="160">
        <f t="shared" si="55"/>
        <v>124.05161165611558</v>
      </c>
      <c r="Q207" s="165">
        <f t="shared" si="56"/>
        <v>95.27874693786652</v>
      </c>
    </row>
    <row r="208" spans="1:17" ht="24">
      <c r="A208" s="112" t="s">
        <v>230</v>
      </c>
      <c r="B208" s="140" t="s">
        <v>275</v>
      </c>
      <c r="C208" s="111" t="s">
        <v>231</v>
      </c>
      <c r="D208" s="171">
        <f t="shared" si="79"/>
        <v>0</v>
      </c>
      <c r="E208" s="159">
        <f t="shared" si="80"/>
        <v>0</v>
      </c>
      <c r="F208" s="179">
        <f>F14</f>
        <v>0</v>
      </c>
      <c r="G208" s="179">
        <f>G14</f>
        <v>0</v>
      </c>
      <c r="H208" s="179">
        <f>H14</f>
        <v>0</v>
      </c>
      <c r="I208" s="179">
        <f>I14</f>
        <v>0</v>
      </c>
      <c r="J208" s="179">
        <f>J14</f>
        <v>0</v>
      </c>
      <c r="K208" s="160" t="e">
        <f>J208/#REF!*100</f>
        <v>#REF!</v>
      </c>
      <c r="L208" s="160"/>
      <c r="M208" s="162"/>
      <c r="N208" s="162"/>
      <c r="O208" s="164" t="e">
        <f t="shared" si="57"/>
        <v>#DIV/0!</v>
      </c>
      <c r="P208" s="160"/>
      <c r="Q208" s="165"/>
    </row>
    <row r="209" spans="1:17" ht="36">
      <c r="A209" s="113" t="s">
        <v>232</v>
      </c>
      <c r="B209" s="143" t="s">
        <v>276</v>
      </c>
      <c r="C209" s="111" t="s">
        <v>233</v>
      </c>
      <c r="D209" s="171">
        <f t="shared" si="79"/>
        <v>93052.10000000002</v>
      </c>
      <c r="E209" s="159">
        <f t="shared" si="80"/>
        <v>59519.20000000001</v>
      </c>
      <c r="F209" s="165">
        <f>F15+F34+F50+F66+F82+F99+F114+F128+F144+F159+F175+F190</f>
        <v>9844.900000000001</v>
      </c>
      <c r="G209" s="165">
        <f>G15+G34+G50+G66+G82+G99+G114+G128+G144+G159+G175+G190</f>
        <v>26490.200000000004</v>
      </c>
      <c r="H209" s="165">
        <f>H15+H34+H50+H66+H82+H99+H114+H128+H144+H159+H175+H190</f>
        <v>23184.100000000002</v>
      </c>
      <c r="I209" s="165">
        <f>I15+I34+I50+I66+I82+I99+I114+I128+I144+I159+I175+I190</f>
        <v>33532.90000000001</v>
      </c>
      <c r="J209" s="165">
        <f>J15+J34+J50+J66+J82+J99+J114+J128+J144+J159+J175+J190+0.1</f>
        <v>76078.5</v>
      </c>
      <c r="K209" s="160" t="e">
        <f>J209/#REF!*100</f>
        <v>#REF!</v>
      </c>
      <c r="L209" s="160">
        <f t="shared" si="78"/>
        <v>328.14946450368996</v>
      </c>
      <c r="M209" s="162"/>
      <c r="N209" s="162"/>
      <c r="O209" s="164">
        <f t="shared" si="57"/>
        <v>226.8771862857074</v>
      </c>
      <c r="P209" s="160">
        <f aca="true" t="shared" si="82" ref="P209:P220">J209*100/E209</f>
        <v>127.82177851852845</v>
      </c>
      <c r="Q209" s="165">
        <f aca="true" t="shared" si="83" ref="Q209:Q220">J209*100/D209</f>
        <v>81.75903606689154</v>
      </c>
    </row>
    <row r="210" spans="1:17" ht="12.75">
      <c r="A210" s="114" t="s">
        <v>234</v>
      </c>
      <c r="B210" s="144" t="s">
        <v>277</v>
      </c>
      <c r="C210" s="111" t="s">
        <v>235</v>
      </c>
      <c r="D210" s="171">
        <f t="shared" si="79"/>
        <v>17599.3</v>
      </c>
      <c r="E210" s="159">
        <f t="shared" si="80"/>
        <v>15298.7</v>
      </c>
      <c r="F210" s="165">
        <f>F16</f>
        <v>2300.6</v>
      </c>
      <c r="G210" s="165">
        <f>G16</f>
        <v>10697.5</v>
      </c>
      <c r="H210" s="165">
        <f>H16</f>
        <v>2300.6</v>
      </c>
      <c r="I210" s="165">
        <f>I16</f>
        <v>2300.6</v>
      </c>
      <c r="J210" s="165">
        <f>J16</f>
        <v>18683</v>
      </c>
      <c r="K210" s="160" t="e">
        <f>J210/#REF!*100</f>
        <v>#REF!</v>
      </c>
      <c r="L210" s="160">
        <f t="shared" si="78"/>
        <v>812.0924976093193</v>
      </c>
      <c r="M210" s="162"/>
      <c r="N210" s="162"/>
      <c r="O210" s="164">
        <f t="shared" si="57"/>
        <v>812.0924976093194</v>
      </c>
      <c r="P210" s="160">
        <f t="shared" si="82"/>
        <v>122.12148744664579</v>
      </c>
      <c r="Q210" s="165">
        <f t="shared" si="83"/>
        <v>106.1576312694255</v>
      </c>
    </row>
    <row r="211" spans="1:17" ht="24">
      <c r="A211" s="115" t="s">
        <v>236</v>
      </c>
      <c r="B211" s="145" t="s">
        <v>278</v>
      </c>
      <c r="C211" s="111" t="s">
        <v>237</v>
      </c>
      <c r="D211" s="171">
        <f t="shared" si="79"/>
        <v>7951</v>
      </c>
      <c r="E211" s="159">
        <f t="shared" si="80"/>
        <v>5470.2</v>
      </c>
      <c r="F211" s="180">
        <f>F17+F83+F100+F129+F145+F160+F176+F115+F67+F35+F191</f>
        <v>1855.6</v>
      </c>
      <c r="G211" s="180">
        <f>G17+G83+G100+G129+G145+G160+G176+G115+G67+G35+G191</f>
        <v>1962.1</v>
      </c>
      <c r="H211" s="180">
        <f>H17+H83+H100+H129+H145+H160+H176+H115+H67+H35+H191</f>
        <v>1652.5</v>
      </c>
      <c r="I211" s="180">
        <f>I17+I83+I100+I129+I145+I160+I176+I115+I67+I35+I191</f>
        <v>2480.8</v>
      </c>
      <c r="J211" s="180">
        <f>J17+J83+J100+J129+J145+J160+J176+J115+J67+J35+J191</f>
        <v>6343.499999999999</v>
      </c>
      <c r="K211" s="160" t="e">
        <f>J211/#REF!*100</f>
        <v>#REF!</v>
      </c>
      <c r="L211" s="160">
        <f t="shared" si="78"/>
        <v>383.8729198184568</v>
      </c>
      <c r="M211" s="162"/>
      <c r="N211" s="162"/>
      <c r="O211" s="164">
        <f t="shared" si="57"/>
        <v>255.7038052241212</v>
      </c>
      <c r="P211" s="160">
        <f t="shared" si="82"/>
        <v>115.96468136448391</v>
      </c>
      <c r="Q211" s="165">
        <f t="shared" si="83"/>
        <v>79.78241730599923</v>
      </c>
    </row>
    <row r="212" spans="1:17" ht="24">
      <c r="A212" s="115" t="s">
        <v>238</v>
      </c>
      <c r="B212" s="145" t="s">
        <v>279</v>
      </c>
      <c r="C212" s="111" t="s">
        <v>239</v>
      </c>
      <c r="D212" s="171">
        <f t="shared" si="79"/>
        <v>21213.100000000002</v>
      </c>
      <c r="E212" s="159">
        <f t="shared" si="80"/>
        <v>15324.900000000001</v>
      </c>
      <c r="F212" s="165">
        <f>F18+F36+F51+F68+F84+F101+F116+F146+F161+F177+F192+F130</f>
        <v>3641.6</v>
      </c>
      <c r="G212" s="165">
        <f>G18+G36+G51+G68+G84+G101+G116+G146+G161+G177+G192+G130</f>
        <v>8752.300000000001</v>
      </c>
      <c r="H212" s="165">
        <f>H18+H36+H51+H68+H84+H101+H116+H146+H161+H177+H192+H130</f>
        <v>2931</v>
      </c>
      <c r="I212" s="165">
        <f>I18+I36+I51+I68+I84+I101+I116+I146+I161+I177+I192+I130</f>
        <v>5888.2</v>
      </c>
      <c r="J212" s="165">
        <f>J18+J36+J51+J68+J84+J101+J116+J146+J161+J177+J192+J130</f>
        <v>15523.699999999999</v>
      </c>
      <c r="K212" s="160" t="e">
        <f>J212/#REF!*100</f>
        <v>#REF!</v>
      </c>
      <c r="L212" s="160">
        <f t="shared" si="78"/>
        <v>529.6383486864551</v>
      </c>
      <c r="M212" s="162"/>
      <c r="N212" s="162"/>
      <c r="O212" s="164">
        <f aca="true" t="shared" si="84" ref="O212:O220">J212*100/I212</f>
        <v>263.640841004042</v>
      </c>
      <c r="P212" s="160">
        <f t="shared" si="82"/>
        <v>101.2972352185006</v>
      </c>
      <c r="Q212" s="165">
        <f t="shared" si="83"/>
        <v>73.17978041870353</v>
      </c>
    </row>
    <row r="213" spans="1:17" ht="12.75">
      <c r="A213" s="115" t="s">
        <v>240</v>
      </c>
      <c r="B213" s="115"/>
      <c r="C213" s="111" t="s">
        <v>241</v>
      </c>
      <c r="D213" s="171">
        <f t="shared" si="79"/>
        <v>7</v>
      </c>
      <c r="E213" s="159">
        <f t="shared" si="80"/>
        <v>4</v>
      </c>
      <c r="F213" s="165">
        <f>F19</f>
        <v>2</v>
      </c>
      <c r="G213" s="165">
        <f>G19</f>
        <v>1</v>
      </c>
      <c r="H213" s="165">
        <f>H19</f>
        <v>1</v>
      </c>
      <c r="I213" s="165">
        <f>I19</f>
        <v>3</v>
      </c>
      <c r="J213" s="165">
        <f>J19</f>
        <v>2.2</v>
      </c>
      <c r="K213" s="160" t="e">
        <f>J213/#REF!*100</f>
        <v>#REF!</v>
      </c>
      <c r="L213" s="160">
        <f t="shared" si="78"/>
        <v>220.00000000000003</v>
      </c>
      <c r="M213" s="162"/>
      <c r="N213" s="162"/>
      <c r="O213" s="164">
        <f t="shared" si="84"/>
        <v>73.33333333333334</v>
      </c>
      <c r="P213" s="160">
        <f t="shared" si="82"/>
        <v>55.00000000000001</v>
      </c>
      <c r="Q213" s="165">
        <f t="shared" si="83"/>
        <v>31.428571428571434</v>
      </c>
    </row>
    <row r="214" spans="1:17" ht="36">
      <c r="A214" s="110" t="s">
        <v>242</v>
      </c>
      <c r="B214" s="142" t="s">
        <v>280</v>
      </c>
      <c r="C214" s="111" t="s">
        <v>243</v>
      </c>
      <c r="D214" s="171">
        <f t="shared" si="79"/>
        <v>1421.5</v>
      </c>
      <c r="E214" s="159">
        <f t="shared" si="80"/>
        <v>1125.9</v>
      </c>
      <c r="F214" s="165">
        <f aca="true" t="shared" si="85" ref="F214:O214">F20+F178+F193+F69+F131+F52+F147+F85</f>
        <v>428.4</v>
      </c>
      <c r="G214" s="165">
        <f t="shared" si="85"/>
        <v>415.9</v>
      </c>
      <c r="H214" s="165">
        <f t="shared" si="85"/>
        <v>281.6</v>
      </c>
      <c r="I214" s="165">
        <f t="shared" si="85"/>
        <v>295.6</v>
      </c>
      <c r="J214" s="165">
        <f>J20+J37+J69+J147+J193</f>
        <v>3008.8999999999996</v>
      </c>
      <c r="K214" s="165" t="e">
        <f t="shared" si="85"/>
        <v>#REF!</v>
      </c>
      <c r="L214" s="165">
        <f t="shared" si="85"/>
        <v>1055.291193181818</v>
      </c>
      <c r="M214" s="165">
        <f t="shared" si="85"/>
        <v>0</v>
      </c>
      <c r="N214" s="165">
        <f t="shared" si="85"/>
        <v>0</v>
      </c>
      <c r="O214" s="165" t="e">
        <f t="shared" si="85"/>
        <v>#DIV/0!</v>
      </c>
      <c r="P214" s="160">
        <f t="shared" si="82"/>
        <v>267.24398259170437</v>
      </c>
      <c r="Q214" s="165">
        <f t="shared" si="83"/>
        <v>211.67077031304956</v>
      </c>
    </row>
    <row r="215" spans="1:17" ht="24">
      <c r="A215" s="116" t="s">
        <v>244</v>
      </c>
      <c r="B215" s="146" t="s">
        <v>275</v>
      </c>
      <c r="C215" s="118" t="s">
        <v>245</v>
      </c>
      <c r="D215" s="171">
        <f t="shared" si="79"/>
        <v>0</v>
      </c>
      <c r="E215" s="159">
        <f t="shared" si="80"/>
        <v>0</v>
      </c>
      <c r="F215" s="165">
        <f>F21+F38+F53+F70+F86+F102+F118+F132+F148+F163+F179+F194</f>
        <v>0</v>
      </c>
      <c r="G215" s="165">
        <f>G21+G38+G53+G70+G86+G102+G118+G132+G148+G163+G179+G194</f>
        <v>0</v>
      </c>
      <c r="H215" s="165">
        <f>H21+H38+H53+H70+H86+H102+H118+H132+H148+H163+H179+H194</f>
        <v>0</v>
      </c>
      <c r="I215" s="165">
        <f>I21+I38+I53+I70+I86+I102+I118+I132+I148+I163+I179+I194</f>
        <v>0</v>
      </c>
      <c r="J215" s="165">
        <f>J21+J38+J53+J70+J86+J102+J118+J132+J148+J163+J179+J194-0.1</f>
        <v>43.699999999999996</v>
      </c>
      <c r="K215" s="160"/>
      <c r="L215" s="160"/>
      <c r="M215" s="162"/>
      <c r="N215" s="162"/>
      <c r="O215" s="164" t="e">
        <f t="shared" si="84"/>
        <v>#DIV/0!</v>
      </c>
      <c r="P215" s="160"/>
      <c r="Q215" s="165"/>
    </row>
    <row r="216" spans="1:17" ht="12.75">
      <c r="A216" s="108" t="s">
        <v>246</v>
      </c>
      <c r="B216" s="141"/>
      <c r="C216" s="119" t="s">
        <v>247</v>
      </c>
      <c r="D216" s="166">
        <f aca="true" t="shared" si="86" ref="D216:J216">D217+D218+D219</f>
        <v>3146620.2</v>
      </c>
      <c r="E216" s="166">
        <f t="shared" si="86"/>
        <v>2353942.2</v>
      </c>
      <c r="F216" s="166">
        <f t="shared" si="86"/>
        <v>665888.4</v>
      </c>
      <c r="G216" s="166">
        <f t="shared" si="86"/>
        <v>822862.1999999998</v>
      </c>
      <c r="H216" s="166">
        <f t="shared" si="86"/>
        <v>865191.6</v>
      </c>
      <c r="I216" s="166">
        <f t="shared" si="86"/>
        <v>792678</v>
      </c>
      <c r="J216" s="166">
        <f t="shared" si="86"/>
        <v>1805883</v>
      </c>
      <c r="K216" s="128" t="e">
        <f>J216/#REF!*100</f>
        <v>#REF!</v>
      </c>
      <c r="L216" s="128">
        <f>J216/H216*100</f>
        <v>208.7263676623768</v>
      </c>
      <c r="M216" s="162"/>
      <c r="N216" s="162"/>
      <c r="O216" s="157">
        <f t="shared" si="84"/>
        <v>227.82050214589026</v>
      </c>
      <c r="P216" s="128">
        <f t="shared" si="82"/>
        <v>76.71738923750974</v>
      </c>
      <c r="Q216" s="129">
        <f t="shared" si="83"/>
        <v>57.39119706916011</v>
      </c>
    </row>
    <row r="217" spans="1:17" ht="36">
      <c r="A217" s="120" t="s">
        <v>248</v>
      </c>
      <c r="B217" s="140" t="s">
        <v>281</v>
      </c>
      <c r="C217" s="121" t="s">
        <v>249</v>
      </c>
      <c r="D217" s="171">
        <f t="shared" si="79"/>
        <v>3101511.5</v>
      </c>
      <c r="E217" s="159">
        <f>F217+G217+H217</f>
        <v>2318833.5</v>
      </c>
      <c r="F217" s="164">
        <f>F23-3227.5-21.9-133.2</f>
        <v>665303.5</v>
      </c>
      <c r="G217" s="164">
        <f>G23-4841.3-33.5-250.1</f>
        <v>799420.2999999999</v>
      </c>
      <c r="H217" s="164">
        <f>H23-4357.3</f>
        <v>854109.7</v>
      </c>
      <c r="I217" s="164">
        <f>I23-3711.7</f>
        <v>782678</v>
      </c>
      <c r="J217" s="164">
        <f>J23-8209.2</f>
        <v>1782370.2</v>
      </c>
      <c r="K217" s="160" t="e">
        <f>J217/#REF!*100</f>
        <v>#REF!</v>
      </c>
      <c r="L217" s="160">
        <f>J217/H217*100</f>
        <v>208.68164827070808</v>
      </c>
      <c r="M217" s="162"/>
      <c r="N217" s="162"/>
      <c r="O217" s="164">
        <f t="shared" si="84"/>
        <v>227.72713683021627</v>
      </c>
      <c r="P217" s="160">
        <f t="shared" si="82"/>
        <v>76.8649495532991</v>
      </c>
      <c r="Q217" s="165">
        <f t="shared" si="83"/>
        <v>57.4677927197755</v>
      </c>
    </row>
    <row r="218" spans="1:17" ht="36">
      <c r="A218" s="120" t="s">
        <v>250</v>
      </c>
      <c r="B218" s="120" t="s">
        <v>282</v>
      </c>
      <c r="C218" s="122" t="s">
        <v>251</v>
      </c>
      <c r="D218" s="171">
        <f t="shared" si="79"/>
        <v>55230.6</v>
      </c>
      <c r="E218" s="159">
        <f>F218+G218+H218</f>
        <v>45230.6</v>
      </c>
      <c r="F218" s="165">
        <f>F24+F90+F105+F166+F135+F56+F41+F151+F73+F197</f>
        <v>8800</v>
      </c>
      <c r="G218" s="165">
        <f>G24+G90+G105+G166+G135+G56+G41+G151+G73+G197</f>
        <v>25254.7</v>
      </c>
      <c r="H218" s="165">
        <f>H24+H90+H105+H166+H135+H56+H41+H151+H73+H197</f>
        <v>11175.9</v>
      </c>
      <c r="I218" s="165">
        <f>I24+I90+I105+I166+I135+I56+I41+I151+I73+I197</f>
        <v>10000</v>
      </c>
      <c r="J218" s="165">
        <f>J24+J90+J105+J166+J135+J56+J41+J151+J73+J197</f>
        <v>40384.00000000001</v>
      </c>
      <c r="K218" s="160" t="e">
        <f>J218/#REF!*100</f>
        <v>#REF!</v>
      </c>
      <c r="L218" s="160">
        <f>J218/H218*100</f>
        <v>361.34897413183734</v>
      </c>
      <c r="M218" s="162"/>
      <c r="N218" s="162"/>
      <c r="O218" s="164">
        <f t="shared" si="84"/>
        <v>403.8400000000001</v>
      </c>
      <c r="P218" s="160">
        <f t="shared" si="82"/>
        <v>89.28468779985234</v>
      </c>
      <c r="Q218" s="165">
        <f t="shared" si="83"/>
        <v>73.11888699380418</v>
      </c>
    </row>
    <row r="219" spans="1:17" ht="36">
      <c r="A219" s="120" t="s">
        <v>254</v>
      </c>
      <c r="B219" s="123"/>
      <c r="C219" s="125" t="s">
        <v>255</v>
      </c>
      <c r="D219" s="171">
        <f>F219+G219+H219+I219</f>
        <v>-10121.9</v>
      </c>
      <c r="E219" s="159">
        <f>F219+G219+H219</f>
        <v>-10121.9</v>
      </c>
      <c r="F219" s="165">
        <f>F26</f>
        <v>-8215.1</v>
      </c>
      <c r="G219" s="165">
        <f>G26</f>
        <v>-1812.8</v>
      </c>
      <c r="H219" s="165">
        <f>H26+H198</f>
        <v>-94</v>
      </c>
      <c r="I219" s="165">
        <f>I26</f>
        <v>0</v>
      </c>
      <c r="J219" s="165">
        <f>J26</f>
        <v>-16871.2</v>
      </c>
      <c r="K219" s="160" t="e">
        <f>J219/#REF!*100</f>
        <v>#REF!</v>
      </c>
      <c r="L219" s="160"/>
      <c r="M219" s="162"/>
      <c r="N219" s="162"/>
      <c r="O219" s="164" t="e">
        <f t="shared" si="84"/>
        <v>#DIV/0!</v>
      </c>
      <c r="P219" s="160">
        <f t="shared" si="82"/>
        <v>166.68016874302256</v>
      </c>
      <c r="Q219" s="165">
        <f t="shared" si="83"/>
        <v>166.68016874302256</v>
      </c>
    </row>
    <row r="220" spans="1:17" ht="12.75">
      <c r="A220" s="110"/>
      <c r="B220" s="126"/>
      <c r="C220" s="127" t="s">
        <v>256</v>
      </c>
      <c r="D220" s="129">
        <f aca="true" t="shared" si="87" ref="D220:J220">D216+D202</f>
        <v>3950743.6</v>
      </c>
      <c r="E220" s="129">
        <f t="shared" si="87"/>
        <v>2933098.1</v>
      </c>
      <c r="F220" s="129">
        <f t="shared" si="87"/>
        <v>837173.1</v>
      </c>
      <c r="G220" s="129">
        <f t="shared" si="87"/>
        <v>1046271.8999999998</v>
      </c>
      <c r="H220" s="129">
        <f t="shared" si="87"/>
        <v>1049653.1</v>
      </c>
      <c r="I220" s="129">
        <f t="shared" si="87"/>
        <v>1017645.5</v>
      </c>
      <c r="J220" s="129">
        <f t="shared" si="87"/>
        <v>2332125.3</v>
      </c>
      <c r="K220" s="128" t="e">
        <f>J220/#REF!*100</f>
        <v>#REF!</v>
      </c>
      <c r="L220" s="128">
        <f>J220/H220*100</f>
        <v>222.18057565875807</v>
      </c>
      <c r="M220" s="162"/>
      <c r="N220" s="169" t="e">
        <f>I220+#REF!+#REF!</f>
        <v>#REF!</v>
      </c>
      <c r="O220" s="157">
        <f t="shared" si="84"/>
        <v>229.16873311973566</v>
      </c>
      <c r="P220" s="128">
        <f t="shared" si="82"/>
        <v>79.5106478027448</v>
      </c>
      <c r="Q220" s="129">
        <f t="shared" si="83"/>
        <v>59.03003424469256</v>
      </c>
    </row>
  </sheetData>
  <sheetProtection/>
  <mergeCells count="41">
    <mergeCell ref="A183:L183"/>
    <mergeCell ref="A184:O184"/>
    <mergeCell ref="A200:L200"/>
    <mergeCell ref="A201:Q201"/>
    <mergeCell ref="A137:L137"/>
    <mergeCell ref="A138:O138"/>
    <mergeCell ref="A153:L153"/>
    <mergeCell ref="A154:O154"/>
    <mergeCell ref="A168:L168"/>
    <mergeCell ref="A169:O169"/>
    <mergeCell ref="A60:O60"/>
    <mergeCell ref="A75:L75"/>
    <mergeCell ref="A76:O76"/>
    <mergeCell ref="A92:L92"/>
    <mergeCell ref="A93:O93"/>
    <mergeCell ref="A107:L107"/>
    <mergeCell ref="A1:Q1"/>
    <mergeCell ref="A2:L2"/>
    <mergeCell ref="N4:N6"/>
    <mergeCell ref="O4:O6"/>
    <mergeCell ref="P4:P6"/>
    <mergeCell ref="Q4:Q6"/>
    <mergeCell ref="D4:D6"/>
    <mergeCell ref="J4:J6"/>
    <mergeCell ref="K4:K6"/>
    <mergeCell ref="F4:F6"/>
    <mergeCell ref="L4:L6"/>
    <mergeCell ref="C43:L43"/>
    <mergeCell ref="A44:O44"/>
    <mergeCell ref="A59:L59"/>
    <mergeCell ref="E4:E6"/>
    <mergeCell ref="G4:G6"/>
    <mergeCell ref="H4:H6"/>
    <mergeCell ref="I4:I6"/>
    <mergeCell ref="M4:M6"/>
    <mergeCell ref="A7:O7"/>
    <mergeCell ref="A28:L28"/>
    <mergeCell ref="A29:O29"/>
    <mergeCell ref="A108:O108"/>
    <mergeCell ref="A122:L122"/>
    <mergeCell ref="A123:O1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15">
      <selection activeCell="B127" sqref="B127:F128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2" t="s">
        <v>319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3" t="s">
        <v>98</v>
      </c>
      <c r="B3" s="245" t="s">
        <v>97</v>
      </c>
      <c r="C3" s="247" t="s">
        <v>113</v>
      </c>
      <c r="D3" s="247"/>
      <c r="E3" s="247"/>
      <c r="F3" s="248" t="s">
        <v>112</v>
      </c>
      <c r="G3" s="248"/>
      <c r="H3" s="248"/>
      <c r="I3" s="253" t="s">
        <v>111</v>
      </c>
      <c r="J3" s="253"/>
      <c r="K3" s="254"/>
    </row>
    <row r="4" spans="1:11" ht="16.5" customHeight="1">
      <c r="A4" s="244"/>
      <c r="B4" s="246"/>
      <c r="C4" s="235" t="s">
        <v>78</v>
      </c>
      <c r="D4" s="235" t="s">
        <v>320</v>
      </c>
      <c r="E4" s="235" t="s">
        <v>77</v>
      </c>
      <c r="F4" s="235" t="s">
        <v>78</v>
      </c>
      <c r="G4" s="234" t="s">
        <v>320</v>
      </c>
      <c r="H4" s="234" t="s">
        <v>77</v>
      </c>
      <c r="I4" s="232" t="s">
        <v>78</v>
      </c>
      <c r="J4" s="228" t="s">
        <v>321</v>
      </c>
      <c r="K4" s="249" t="s">
        <v>77</v>
      </c>
    </row>
    <row r="5" spans="1:11" ht="31.5" customHeight="1">
      <c r="A5" s="244"/>
      <c r="B5" s="246"/>
      <c r="C5" s="241"/>
      <c r="D5" s="235"/>
      <c r="E5" s="236"/>
      <c r="F5" s="241"/>
      <c r="G5" s="234"/>
      <c r="H5" s="241"/>
      <c r="I5" s="233"/>
      <c r="J5" s="228"/>
      <c r="K5" s="250"/>
    </row>
    <row r="6" spans="1:11" ht="12.75" customHeight="1">
      <c r="A6" s="244"/>
      <c r="B6" s="251" t="s">
        <v>0</v>
      </c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 customHeight="1">
      <c r="A7" s="244"/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ht="12.75" customHeight="1">
      <c r="A8" s="244"/>
      <c r="B8" s="251"/>
      <c r="C8" s="251"/>
      <c r="D8" s="251"/>
      <c r="E8" s="251"/>
      <c r="F8" s="251"/>
      <c r="G8" s="251"/>
      <c r="H8" s="251"/>
      <c r="I8" s="251"/>
      <c r="J8" s="251"/>
      <c r="K8" s="252"/>
    </row>
    <row r="9" spans="1:11" ht="15">
      <c r="A9" s="81" t="s">
        <v>1</v>
      </c>
      <c r="B9" s="82" t="s">
        <v>2</v>
      </c>
      <c r="C9" s="83">
        <f>SUM(C10:C17)</f>
        <v>260270.19999999998</v>
      </c>
      <c r="D9" s="83">
        <f>SUM(D10:D17)</f>
        <v>157158.59999999998</v>
      </c>
      <c r="E9" s="83">
        <f>D9/C9*100</f>
        <v>60.38286365477108</v>
      </c>
      <c r="F9" s="83">
        <f>F10+F11+F12+F13+F14+F16+F17+F15</f>
        <v>194016.5</v>
      </c>
      <c r="G9" s="83">
        <f>SUM(G10:G17)</f>
        <v>116694.3</v>
      </c>
      <c r="H9" s="84">
        <f>G9/F9*100</f>
        <v>60.146585470823354</v>
      </c>
      <c r="I9" s="83">
        <f>SUM(I10:I17)</f>
        <v>453797.6</v>
      </c>
      <c r="J9" s="83">
        <f>SUM(J10:J17)</f>
        <v>273521.8</v>
      </c>
      <c r="K9" s="85">
        <f>J9/I9*100</f>
        <v>60.27396354674419</v>
      </c>
    </row>
    <row r="10" spans="1:11" ht="15">
      <c r="A10" s="86" t="s">
        <v>3</v>
      </c>
      <c r="B10" s="87" t="s">
        <v>4</v>
      </c>
      <c r="C10" s="79">
        <v>12064.9</v>
      </c>
      <c r="D10" s="79">
        <v>8872.6</v>
      </c>
      <c r="E10" s="79">
        <f>D10/C10*100</f>
        <v>73.54060124824906</v>
      </c>
      <c r="F10" s="88">
        <v>38018.5</v>
      </c>
      <c r="G10" s="88">
        <v>24844.7</v>
      </c>
      <c r="H10" s="88">
        <f>G10/F10*100</f>
        <v>65.34897484119574</v>
      </c>
      <c r="I10" s="89">
        <f aca="true" t="shared" si="0" ref="I10:J82">C10+F10</f>
        <v>50083.4</v>
      </c>
      <c r="J10" s="80">
        <f t="shared" si="0"/>
        <v>33717.3</v>
      </c>
      <c r="K10" s="90">
        <f aca="true" t="shared" si="1" ref="K10:K84">J10/I10*100</f>
        <v>67.32230639293658</v>
      </c>
    </row>
    <row r="11" spans="1:11" ht="30">
      <c r="A11" s="86" t="s">
        <v>5</v>
      </c>
      <c r="B11" s="87" t="s">
        <v>89</v>
      </c>
      <c r="C11" s="79">
        <v>25307.8</v>
      </c>
      <c r="D11" s="79">
        <v>15432.1</v>
      </c>
      <c r="E11" s="79">
        <f aca="true" t="shared" si="2" ref="E11:E19">D11/C11*100</f>
        <v>60.97764325622931</v>
      </c>
      <c r="F11" s="88">
        <v>0</v>
      </c>
      <c r="G11" s="88">
        <v>0</v>
      </c>
      <c r="H11" s="88">
        <v>0</v>
      </c>
      <c r="I11" s="89">
        <f t="shared" si="0"/>
        <v>25307.8</v>
      </c>
      <c r="J11" s="80">
        <f t="shared" si="0"/>
        <v>15432.1</v>
      </c>
      <c r="K11" s="90">
        <f t="shared" si="1"/>
        <v>60.97764325622931</v>
      </c>
    </row>
    <row r="12" spans="1:11" ht="30">
      <c r="A12" s="86" t="s">
        <v>6</v>
      </c>
      <c r="B12" s="87" t="s">
        <v>7</v>
      </c>
      <c r="C12" s="79">
        <v>122340.4</v>
      </c>
      <c r="D12" s="79">
        <v>77765.2</v>
      </c>
      <c r="E12" s="79">
        <f t="shared" si="2"/>
        <v>63.56461152652763</v>
      </c>
      <c r="F12" s="88">
        <v>119320.5</v>
      </c>
      <c r="G12" s="88">
        <v>72900.8</v>
      </c>
      <c r="H12" s="88">
        <f aca="true" t="shared" si="3" ref="H12:H19">G12/F12*100</f>
        <v>61.09662631316497</v>
      </c>
      <c r="I12" s="89">
        <f t="shared" si="0"/>
        <v>241660.9</v>
      </c>
      <c r="J12" s="80">
        <f t="shared" si="0"/>
        <v>150666</v>
      </c>
      <c r="K12" s="90">
        <f t="shared" si="1"/>
        <v>62.34603942963053</v>
      </c>
    </row>
    <row r="13" spans="1:11" ht="15">
      <c r="A13" s="86" t="s">
        <v>8</v>
      </c>
      <c r="B13" s="87" t="s">
        <v>9</v>
      </c>
      <c r="C13" s="79">
        <v>5.1</v>
      </c>
      <c r="D13" s="79">
        <v>0</v>
      </c>
      <c r="E13" s="79">
        <f t="shared" si="2"/>
        <v>0</v>
      </c>
      <c r="F13" s="88">
        <v>0</v>
      </c>
      <c r="G13" s="88">
        <v>0</v>
      </c>
      <c r="H13" s="88">
        <v>0</v>
      </c>
      <c r="I13" s="89">
        <f t="shared" si="0"/>
        <v>5.1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30278.4</v>
      </c>
      <c r="D14" s="79">
        <v>20318.5</v>
      </c>
      <c r="E14" s="79">
        <f t="shared" si="2"/>
        <v>67.10559342633692</v>
      </c>
      <c r="F14" s="88">
        <v>0</v>
      </c>
      <c r="G14" s="88">
        <v>0</v>
      </c>
      <c r="H14" s="88">
        <v>0</v>
      </c>
      <c r="I14" s="89">
        <f>C14+F14</f>
        <v>30278.4</v>
      </c>
      <c r="J14" s="80">
        <f>D14+G14</f>
        <v>20318.5</v>
      </c>
      <c r="K14" s="90">
        <f t="shared" si="1"/>
        <v>67.10559342633692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913</v>
      </c>
      <c r="G15" s="88">
        <v>913</v>
      </c>
      <c r="H15" s="88">
        <f t="shared" si="3"/>
        <v>100</v>
      </c>
      <c r="I15" s="89">
        <f>C15+F15</f>
        <v>913</v>
      </c>
      <c r="J15" s="80">
        <f t="shared" si="0"/>
        <v>913</v>
      </c>
      <c r="K15" s="90">
        <f t="shared" si="1"/>
        <v>100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843.7</v>
      </c>
      <c r="G16" s="88">
        <v>0</v>
      </c>
      <c r="H16" s="88">
        <f t="shared" si="3"/>
        <v>0</v>
      </c>
      <c r="I16" s="89">
        <f t="shared" si="0"/>
        <v>4879.7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66237.6</v>
      </c>
      <c r="D17" s="79">
        <v>34770.2</v>
      </c>
      <c r="E17" s="79">
        <f t="shared" si="2"/>
        <v>52.49314588692826</v>
      </c>
      <c r="F17" s="88">
        <v>34920.8</v>
      </c>
      <c r="G17" s="88">
        <v>18035.8</v>
      </c>
      <c r="H17" s="88">
        <f t="shared" si="3"/>
        <v>51.64772857437401</v>
      </c>
      <c r="I17" s="89">
        <f>C17+F17-250.9-238.2</f>
        <v>100669.30000000002</v>
      </c>
      <c r="J17" s="80">
        <f>D17+G17-250.9-80.2</f>
        <v>52474.9</v>
      </c>
      <c r="K17" s="90">
        <f t="shared" si="1"/>
        <v>52.12602054449569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4496</v>
      </c>
      <c r="D18" s="83">
        <f t="shared" si="4"/>
        <v>4496</v>
      </c>
      <c r="E18" s="83">
        <f t="shared" si="4"/>
        <v>100</v>
      </c>
      <c r="F18" s="83">
        <f t="shared" si="4"/>
        <v>4496</v>
      </c>
      <c r="G18" s="83">
        <f t="shared" si="4"/>
        <v>2446.9</v>
      </c>
      <c r="H18" s="92">
        <f t="shared" si="4"/>
        <v>54.42393238434165</v>
      </c>
      <c r="I18" s="83">
        <f t="shared" si="4"/>
        <v>4496</v>
      </c>
      <c r="J18" s="83">
        <f t="shared" si="4"/>
        <v>2446.8999999999996</v>
      </c>
      <c r="K18" s="93">
        <f t="shared" si="1"/>
        <v>54.42393238434163</v>
      </c>
    </row>
    <row r="19" spans="1:11" ht="15">
      <c r="A19" s="86" t="s">
        <v>18</v>
      </c>
      <c r="B19" s="87" t="s">
        <v>19</v>
      </c>
      <c r="C19" s="79">
        <v>4496</v>
      </c>
      <c r="D19" s="79">
        <v>4496</v>
      </c>
      <c r="E19" s="79">
        <f t="shared" si="2"/>
        <v>100</v>
      </c>
      <c r="F19" s="88">
        <v>4496</v>
      </c>
      <c r="G19" s="88">
        <v>2446.9</v>
      </c>
      <c r="H19" s="88">
        <f t="shared" si="3"/>
        <v>54.42393238434165</v>
      </c>
      <c r="I19" s="89">
        <f>C19+F19-4496</f>
        <v>4496</v>
      </c>
      <c r="J19" s="80">
        <f>D19+G19-4496</f>
        <v>2446.8999999999996</v>
      </c>
      <c r="K19" s="90">
        <f t="shared" si="1"/>
        <v>54.42393238434163</v>
      </c>
    </row>
    <row r="20" spans="1:11" ht="12.75" customHeight="1">
      <c r="A20" s="229" t="s">
        <v>20</v>
      </c>
      <c r="B20" s="230" t="s">
        <v>196</v>
      </c>
      <c r="C20" s="231">
        <f>C23+C24+C22</f>
        <v>10805</v>
      </c>
      <c r="D20" s="231">
        <f>D23+D24+D22</f>
        <v>3254.9</v>
      </c>
      <c r="E20" s="231">
        <f>D20/C20*100</f>
        <v>30.12401665895419</v>
      </c>
      <c r="F20" s="231">
        <f>F23+F24+F22</f>
        <v>12650</v>
      </c>
      <c r="G20" s="231">
        <f>G23+G24+G22</f>
        <v>3435.6</v>
      </c>
      <c r="H20" s="231">
        <f>G20/F20*100</f>
        <v>27.158893280632412</v>
      </c>
      <c r="I20" s="231">
        <f>I23+I24+I22</f>
        <v>21236.300000000003</v>
      </c>
      <c r="J20" s="231">
        <f>SUM(J22:J24)</f>
        <v>5770.6</v>
      </c>
      <c r="K20" s="231">
        <f>J20/I20*100</f>
        <v>27.173283481585774</v>
      </c>
    </row>
    <row r="21" spans="1:11" ht="12.75" customHeight="1">
      <c r="A21" s="229"/>
      <c r="B21" s="230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5">
      <c r="A22" s="91" t="s">
        <v>116</v>
      </c>
      <c r="B22" s="87" t="s">
        <v>174</v>
      </c>
      <c r="C22" s="79">
        <v>4398.9</v>
      </c>
      <c r="D22" s="79">
        <v>2823.1</v>
      </c>
      <c r="E22" s="79">
        <f aca="true" t="shared" si="5" ref="E22:E97">D22/C22*100</f>
        <v>64.17740798836074</v>
      </c>
      <c r="F22" s="88">
        <v>759</v>
      </c>
      <c r="G22" s="88">
        <v>306</v>
      </c>
      <c r="H22" s="88">
        <f>G22/F22*100</f>
        <v>40.316205533596836</v>
      </c>
      <c r="I22" s="89">
        <f>C22+F22-759</f>
        <v>4398.9</v>
      </c>
      <c r="J22" s="80">
        <f>D22+G22-759</f>
        <v>2370.1</v>
      </c>
      <c r="K22" s="90">
        <f>J22/I22*100</f>
        <v>53.879378935643004</v>
      </c>
    </row>
    <row r="23" spans="1:11" ht="15">
      <c r="A23" s="86" t="s">
        <v>21</v>
      </c>
      <c r="B23" s="87" t="s">
        <v>117</v>
      </c>
      <c r="C23" s="79">
        <v>5962.4</v>
      </c>
      <c r="D23" s="79">
        <v>291.3</v>
      </c>
      <c r="E23" s="79">
        <f t="shared" si="5"/>
        <v>4.885616530256273</v>
      </c>
      <c r="F23" s="88">
        <v>11791</v>
      </c>
      <c r="G23" s="88">
        <v>3129.6</v>
      </c>
      <c r="H23" s="88">
        <f>G23/F23*100</f>
        <v>26.542278008650666</v>
      </c>
      <c r="I23" s="89">
        <f>C23+F23-500-859.7</f>
        <v>16393.7</v>
      </c>
      <c r="J23" s="80">
        <f>D23+G23-160.9</f>
        <v>3260</v>
      </c>
      <c r="K23" s="90">
        <f>J23/I23*100</f>
        <v>19.885687794701624</v>
      </c>
    </row>
    <row r="24" spans="1:11" ht="30">
      <c r="A24" s="91" t="s">
        <v>107</v>
      </c>
      <c r="B24" s="87" t="s">
        <v>108</v>
      </c>
      <c r="C24" s="79">
        <v>443.7</v>
      </c>
      <c r="D24" s="79">
        <v>140.5</v>
      </c>
      <c r="E24" s="79">
        <f t="shared" si="5"/>
        <v>31.665539779130043</v>
      </c>
      <c r="F24" s="88">
        <v>100</v>
      </c>
      <c r="G24" s="88">
        <v>0</v>
      </c>
      <c r="H24" s="88">
        <v>0</v>
      </c>
      <c r="I24" s="89">
        <f>C24+F24-100</f>
        <v>443.70000000000005</v>
      </c>
      <c r="J24" s="80">
        <f>D24+G24</f>
        <v>140.5</v>
      </c>
      <c r="K24" s="90">
        <f>J24/I24*100</f>
        <v>31.665539779130043</v>
      </c>
    </row>
    <row r="25" spans="1:11" ht="15">
      <c r="A25" s="81" t="s">
        <v>22</v>
      </c>
      <c r="B25" s="82" t="s">
        <v>23</v>
      </c>
      <c r="C25" s="83">
        <f>SUM(C26:C46)</f>
        <v>149418.3</v>
      </c>
      <c r="D25" s="83">
        <f>SUM(D26:D46)</f>
        <v>91657.00000000003</v>
      </c>
      <c r="E25" s="83">
        <f>D25/C25*100</f>
        <v>61.342553087540175</v>
      </c>
      <c r="F25" s="83">
        <f>SUM(F26:F46)</f>
        <v>92359.29999999999</v>
      </c>
      <c r="G25" s="83">
        <f>SUM(G26:G46)</f>
        <v>37510.80000000001</v>
      </c>
      <c r="H25" s="84">
        <f>G25/F25*100</f>
        <v>40.61399339319377</v>
      </c>
      <c r="I25" s="83">
        <f>SUM(I26:I46)</f>
        <v>205419.99999999997</v>
      </c>
      <c r="J25" s="83">
        <f>SUM(J26:J46)</f>
        <v>111849.6</v>
      </c>
      <c r="K25" s="85">
        <f t="shared" si="1"/>
        <v>54.44922597604908</v>
      </c>
    </row>
    <row r="26" spans="1:11" ht="45">
      <c r="A26" s="91" t="s">
        <v>24</v>
      </c>
      <c r="B26" s="94" t="s">
        <v>175</v>
      </c>
      <c r="C26" s="79">
        <v>12711.9</v>
      </c>
      <c r="D26" s="79">
        <v>7213.8</v>
      </c>
      <c r="E26" s="79">
        <f t="shared" si="5"/>
        <v>56.74840110447691</v>
      </c>
      <c r="F26" s="79">
        <v>7705.6</v>
      </c>
      <c r="G26" s="88">
        <v>6498.7</v>
      </c>
      <c r="H26" s="88">
        <f>G26/F26*100</f>
        <v>84.33736503322258</v>
      </c>
      <c r="I26" s="89">
        <f>C26+F26-6401.3</f>
        <v>14016.2</v>
      </c>
      <c r="J26" s="89">
        <f>D26+G26-6377.3</f>
        <v>7335.2</v>
      </c>
      <c r="K26" s="90">
        <f t="shared" si="1"/>
        <v>52.33372811461023</v>
      </c>
    </row>
    <row r="27" spans="1:11" ht="15">
      <c r="A27" s="86" t="s">
        <v>25</v>
      </c>
      <c r="B27" s="87" t="s">
        <v>26</v>
      </c>
      <c r="C27" s="79">
        <v>25105.1</v>
      </c>
      <c r="D27" s="79">
        <v>22759.1</v>
      </c>
      <c r="E27" s="79">
        <f t="shared" si="5"/>
        <v>90.65528518109866</v>
      </c>
      <c r="F27" s="88">
        <v>0</v>
      </c>
      <c r="G27" s="88">
        <v>0</v>
      </c>
      <c r="H27" s="88">
        <v>0</v>
      </c>
      <c r="I27" s="89">
        <f t="shared" si="0"/>
        <v>25105.1</v>
      </c>
      <c r="J27" s="80">
        <f t="shared" si="0"/>
        <v>22759.1</v>
      </c>
      <c r="K27" s="90">
        <f t="shared" si="1"/>
        <v>90.65528518109866</v>
      </c>
    </row>
    <row r="28" spans="1:11" ht="15">
      <c r="A28" s="86" t="s">
        <v>27</v>
      </c>
      <c r="B28" s="87" t="s">
        <v>176</v>
      </c>
      <c r="C28" s="79">
        <v>7650</v>
      </c>
      <c r="D28" s="79">
        <v>7650</v>
      </c>
      <c r="E28" s="79">
        <f t="shared" si="5"/>
        <v>100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7650</v>
      </c>
      <c r="K28" s="90">
        <f t="shared" si="1"/>
        <v>100</v>
      </c>
    </row>
    <row r="29" spans="1:11" ht="15">
      <c r="A29" s="86" t="s">
        <v>27</v>
      </c>
      <c r="B29" s="87" t="s">
        <v>177</v>
      </c>
      <c r="C29" s="79">
        <v>17896</v>
      </c>
      <c r="D29" s="79">
        <v>15179.3</v>
      </c>
      <c r="E29" s="79">
        <f t="shared" si="5"/>
        <v>84.81951274027715</v>
      </c>
      <c r="F29" s="88">
        <v>12871.7</v>
      </c>
      <c r="G29" s="88">
        <v>5280.3</v>
      </c>
      <c r="H29" s="88">
        <f>G29/F29*100</f>
        <v>41.02255335348089</v>
      </c>
      <c r="I29" s="89">
        <f t="shared" si="0"/>
        <v>30767.7</v>
      </c>
      <c r="J29" s="80">
        <f t="shared" si="0"/>
        <v>20459.6</v>
      </c>
      <c r="K29" s="90">
        <f t="shared" si="1"/>
        <v>66.49700822615925</v>
      </c>
    </row>
    <row r="30" spans="1:11" ht="15">
      <c r="A30" s="86" t="s">
        <v>27</v>
      </c>
      <c r="B30" s="87" t="s">
        <v>178</v>
      </c>
      <c r="C30" s="79">
        <v>8931</v>
      </c>
      <c r="D30" s="79">
        <v>5334</v>
      </c>
      <c r="E30" s="79">
        <f t="shared" si="5"/>
        <v>59.72455492106147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5334</v>
      </c>
      <c r="K30" s="90">
        <f t="shared" si="1"/>
        <v>59.72455492106147</v>
      </c>
    </row>
    <row r="31" spans="1:11" ht="60">
      <c r="A31" s="86" t="s">
        <v>27</v>
      </c>
      <c r="B31" s="87" t="s">
        <v>307</v>
      </c>
      <c r="C31" s="79">
        <v>18777.9</v>
      </c>
      <c r="D31" s="79">
        <v>10374</v>
      </c>
      <c r="E31" s="79">
        <f t="shared" si="5"/>
        <v>55.245794258143874</v>
      </c>
      <c r="F31" s="88">
        <v>15474.5</v>
      </c>
      <c r="G31" s="88">
        <v>7070.7</v>
      </c>
      <c r="H31" s="88">
        <f>G31/F31*100</f>
        <v>45.6925910368671</v>
      </c>
      <c r="I31" s="89">
        <f>C31+F31-15474.5</f>
        <v>18777.9</v>
      </c>
      <c r="J31" s="80">
        <f>D31+G31-7070.6</f>
        <v>10374.1</v>
      </c>
      <c r="K31" s="90">
        <f t="shared" si="1"/>
        <v>55.246326799056334</v>
      </c>
    </row>
    <row r="32" spans="1:11" ht="60">
      <c r="A32" s="86" t="s">
        <v>74</v>
      </c>
      <c r="B32" s="95" t="s">
        <v>322</v>
      </c>
      <c r="C32" s="79">
        <v>2471.8</v>
      </c>
      <c r="D32" s="79">
        <v>976.3</v>
      </c>
      <c r="E32" s="79">
        <f t="shared" si="5"/>
        <v>39.49753216279634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976.3</v>
      </c>
      <c r="K32" s="90">
        <f t="shared" si="1"/>
        <v>39.49753216279634</v>
      </c>
    </row>
    <row r="33" spans="1:11" ht="60">
      <c r="A33" s="91" t="s">
        <v>74</v>
      </c>
      <c r="B33" s="95" t="s">
        <v>197</v>
      </c>
      <c r="C33" s="79">
        <v>11660.9</v>
      </c>
      <c r="D33" s="79">
        <v>2838.6</v>
      </c>
      <c r="E33" s="79">
        <f t="shared" si="5"/>
        <v>24.3428894853742</v>
      </c>
      <c r="F33" s="88">
        <v>10981.8</v>
      </c>
      <c r="G33" s="88">
        <v>1540.9</v>
      </c>
      <c r="H33" s="88">
        <f aca="true" t="shared" si="6" ref="H33:H38">G33/F33*100</f>
        <v>14.031397402975834</v>
      </c>
      <c r="I33" s="89">
        <f>C33+F33-10981.8</f>
        <v>11660.899999999998</v>
      </c>
      <c r="J33" s="89">
        <f>D33+G33-2838.6</f>
        <v>1540.9</v>
      </c>
      <c r="K33" s="90">
        <f>J33/I33*100</f>
        <v>13.214245898687068</v>
      </c>
    </row>
    <row r="34" spans="1:11" ht="60">
      <c r="A34" s="91" t="s">
        <v>74</v>
      </c>
      <c r="B34" s="95" t="s">
        <v>198</v>
      </c>
      <c r="C34" s="79">
        <v>492.1</v>
      </c>
      <c r="D34" s="79">
        <v>0</v>
      </c>
      <c r="E34" s="79">
        <v>0</v>
      </c>
      <c r="F34" s="88">
        <v>3496.2</v>
      </c>
      <c r="G34" s="88">
        <v>418.4</v>
      </c>
      <c r="H34" s="88">
        <f t="shared" si="6"/>
        <v>11.96727875979635</v>
      </c>
      <c r="I34" s="89">
        <f>C34+F34</f>
        <v>3988.2999999999997</v>
      </c>
      <c r="J34" s="80">
        <f>D34+G34</f>
        <v>418.4</v>
      </c>
      <c r="K34" s="90">
        <f>J34/I34*100</f>
        <v>10.49068525436903</v>
      </c>
    </row>
    <row r="35" spans="1:11" ht="105">
      <c r="A35" s="91" t="s">
        <v>74</v>
      </c>
      <c r="B35" s="87" t="s">
        <v>199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179</v>
      </c>
      <c r="C36" s="79"/>
      <c r="D36" s="79"/>
      <c r="E36" s="79"/>
      <c r="F36" s="88">
        <v>32145.1</v>
      </c>
      <c r="G36" s="88">
        <v>12738.7</v>
      </c>
      <c r="H36" s="88">
        <f t="shared" si="6"/>
        <v>39.628745905285726</v>
      </c>
      <c r="I36" s="89">
        <f>C36+F36</f>
        <v>32145.1</v>
      </c>
      <c r="J36" s="80">
        <f>D36+G36</f>
        <v>12738.7</v>
      </c>
      <c r="K36" s="90">
        <f>J36/I36*100</f>
        <v>39.628745905285726</v>
      </c>
    </row>
    <row r="37" spans="1:11" ht="15">
      <c r="A37" s="86" t="s">
        <v>67</v>
      </c>
      <c r="B37" s="87" t="s">
        <v>68</v>
      </c>
      <c r="C37" s="79">
        <v>5655</v>
      </c>
      <c r="D37" s="79">
        <v>3166.6</v>
      </c>
      <c r="E37" s="79">
        <f t="shared" si="5"/>
        <v>55.99646330680813</v>
      </c>
      <c r="F37" s="88">
        <v>3968.4</v>
      </c>
      <c r="G37" s="88">
        <v>2636.9</v>
      </c>
      <c r="H37" s="88">
        <f t="shared" si="6"/>
        <v>66.44743473440178</v>
      </c>
      <c r="I37" s="89">
        <f t="shared" si="0"/>
        <v>9623.4</v>
      </c>
      <c r="J37" s="80">
        <f t="shared" si="0"/>
        <v>5803.5</v>
      </c>
      <c r="K37" s="90">
        <f t="shared" si="1"/>
        <v>60.30612881102313</v>
      </c>
    </row>
    <row r="38" spans="1:11" ht="30">
      <c r="A38" s="86" t="s">
        <v>28</v>
      </c>
      <c r="B38" s="87" t="s">
        <v>200</v>
      </c>
      <c r="C38" s="79">
        <v>0</v>
      </c>
      <c r="D38" s="79">
        <v>0</v>
      </c>
      <c r="E38" s="79">
        <v>0</v>
      </c>
      <c r="F38" s="88">
        <v>2216</v>
      </c>
      <c r="G38" s="88">
        <v>294.5</v>
      </c>
      <c r="H38" s="88">
        <f t="shared" si="6"/>
        <v>13.28971119133574</v>
      </c>
      <c r="I38" s="89">
        <f t="shared" si="0"/>
        <v>2216</v>
      </c>
      <c r="J38" s="80">
        <f t="shared" si="0"/>
        <v>294.5</v>
      </c>
      <c r="K38" s="90">
        <f t="shared" si="1"/>
        <v>13.28971119133574</v>
      </c>
    </row>
    <row r="39" spans="1:11" ht="60">
      <c r="A39" s="86" t="s">
        <v>28</v>
      </c>
      <c r="B39" s="95" t="s">
        <v>201</v>
      </c>
      <c r="C39" s="79">
        <v>2820</v>
      </c>
      <c r="D39" s="79">
        <v>2534.3</v>
      </c>
      <c r="E39" s="79">
        <f t="shared" si="5"/>
        <v>89.86879432624114</v>
      </c>
      <c r="F39" s="88">
        <v>0</v>
      </c>
      <c r="G39" s="88">
        <v>0</v>
      </c>
      <c r="H39" s="88">
        <v>0</v>
      </c>
      <c r="I39" s="89">
        <f t="shared" si="0"/>
        <v>2820</v>
      </c>
      <c r="J39" s="80">
        <f t="shared" si="0"/>
        <v>2534.3</v>
      </c>
      <c r="K39" s="90">
        <f t="shared" si="1"/>
        <v>89.86879432624114</v>
      </c>
    </row>
    <row r="40" spans="1:11" ht="120">
      <c r="A40" s="91" t="s">
        <v>28</v>
      </c>
      <c r="B40" s="95" t="s">
        <v>304</v>
      </c>
      <c r="C40" s="79">
        <v>2144.3</v>
      </c>
      <c r="D40" s="79">
        <v>1849.3</v>
      </c>
      <c r="E40" s="79">
        <f t="shared" si="5"/>
        <v>86.24259665158792</v>
      </c>
      <c r="F40" s="88"/>
      <c r="G40" s="88"/>
      <c r="H40" s="88"/>
      <c r="I40" s="89">
        <f t="shared" si="0"/>
        <v>2144.3</v>
      </c>
      <c r="J40" s="80">
        <f t="shared" si="0"/>
        <v>1849.3</v>
      </c>
      <c r="K40" s="90">
        <f t="shared" si="1"/>
        <v>86.24259665158792</v>
      </c>
    </row>
    <row r="41" spans="1:11" ht="75">
      <c r="A41" s="91" t="s">
        <v>28</v>
      </c>
      <c r="B41" s="95" t="s">
        <v>305</v>
      </c>
      <c r="C41" s="79">
        <v>2135.3</v>
      </c>
      <c r="D41" s="79">
        <v>415.3</v>
      </c>
      <c r="E41" s="79">
        <f t="shared" si="5"/>
        <v>19.44925771554348</v>
      </c>
      <c r="F41" s="88"/>
      <c r="G41" s="88"/>
      <c r="H41" s="88"/>
      <c r="I41" s="89">
        <f t="shared" si="0"/>
        <v>2135.3</v>
      </c>
      <c r="J41" s="80">
        <f t="shared" si="0"/>
        <v>415.3</v>
      </c>
      <c r="K41" s="90">
        <f t="shared" si="1"/>
        <v>19.44925771554348</v>
      </c>
    </row>
    <row r="42" spans="1:11" ht="75">
      <c r="A42" s="86" t="s">
        <v>28</v>
      </c>
      <c r="B42" s="95" t="s">
        <v>308</v>
      </c>
      <c r="C42" s="79">
        <v>2987</v>
      </c>
      <c r="D42" s="79">
        <v>611.1</v>
      </c>
      <c r="E42" s="79">
        <f t="shared" si="5"/>
        <v>20.458654168061603</v>
      </c>
      <c r="F42" s="88"/>
      <c r="G42" s="88"/>
      <c r="H42" s="88"/>
      <c r="I42" s="89">
        <f t="shared" si="0"/>
        <v>2987</v>
      </c>
      <c r="J42" s="80">
        <f t="shared" si="0"/>
        <v>611.1</v>
      </c>
      <c r="K42" s="90">
        <f t="shared" si="1"/>
        <v>20.458654168061603</v>
      </c>
    </row>
    <row r="43" spans="1:11" ht="60">
      <c r="A43" s="86" t="s">
        <v>28</v>
      </c>
      <c r="B43" s="95" t="s">
        <v>180</v>
      </c>
      <c r="C43" s="79">
        <v>4500</v>
      </c>
      <c r="D43" s="88">
        <v>3065.8</v>
      </c>
      <c r="E43" s="79">
        <f t="shared" si="5"/>
        <v>68.1288888888889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3065.8</v>
      </c>
      <c r="K43" s="90">
        <f t="shared" si="1"/>
        <v>68.1288888888889</v>
      </c>
    </row>
    <row r="44" spans="1:11" ht="75">
      <c r="A44" s="91" t="s">
        <v>28</v>
      </c>
      <c r="B44" s="95" t="s">
        <v>207</v>
      </c>
      <c r="C44" s="79">
        <f>16514.6+2052</f>
        <v>18566.6</v>
      </c>
      <c r="D44" s="88">
        <v>5951.8</v>
      </c>
      <c r="E44" s="79">
        <f t="shared" si="5"/>
        <v>32.05648853317247</v>
      </c>
      <c r="F44" s="88"/>
      <c r="G44" s="88"/>
      <c r="H44" s="88"/>
      <c r="I44" s="89">
        <f t="shared" si="0"/>
        <v>18566.6</v>
      </c>
      <c r="J44" s="80">
        <f t="shared" si="0"/>
        <v>5951.8</v>
      </c>
      <c r="K44" s="90">
        <f t="shared" si="1"/>
        <v>32.05648853317247</v>
      </c>
    </row>
    <row r="45" spans="1:11" ht="30">
      <c r="A45" s="91" t="s">
        <v>28</v>
      </c>
      <c r="B45" s="95" t="s">
        <v>181</v>
      </c>
      <c r="C45" s="79">
        <v>1413.4</v>
      </c>
      <c r="D45" s="88">
        <v>706</v>
      </c>
      <c r="E45" s="79">
        <f t="shared" si="5"/>
        <v>49.95047403424366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706</v>
      </c>
      <c r="K45" s="90">
        <f t="shared" si="1"/>
        <v>49.95047403424366</v>
      </c>
    </row>
    <row r="46" spans="1:11" ht="90">
      <c r="A46" s="91" t="s">
        <v>28</v>
      </c>
      <c r="B46" s="95" t="s">
        <v>202</v>
      </c>
      <c r="C46" s="79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81">
        <f>SUM(C48:C74)</f>
        <v>407022.29999999993</v>
      </c>
      <c r="D47" s="181">
        <f>SUM(D48:D74)</f>
        <v>151329.9</v>
      </c>
      <c r="E47" s="83">
        <f t="shared" si="5"/>
        <v>37.17975649000068</v>
      </c>
      <c r="F47" s="96">
        <f>SUM(F48:F74)</f>
        <v>149693.1</v>
      </c>
      <c r="G47" s="96">
        <f>SUM(G48:G74)</f>
        <v>52116.6</v>
      </c>
      <c r="H47" s="96">
        <f>G47/F47*100</f>
        <v>34.81563278467745</v>
      </c>
      <c r="I47" s="181">
        <f>SUM(I48:I74)</f>
        <v>498925.3999999999</v>
      </c>
      <c r="J47" s="181">
        <f>SUM(J48:J74)</f>
        <v>191715.3</v>
      </c>
      <c r="K47" s="85">
        <f t="shared" si="1"/>
        <v>38.42564439493359</v>
      </c>
    </row>
    <row r="48" spans="1:11" ht="15">
      <c r="A48" s="97" t="s">
        <v>31</v>
      </c>
      <c r="B48" s="98" t="s">
        <v>182</v>
      </c>
      <c r="C48" s="79">
        <v>0</v>
      </c>
      <c r="D48" s="79">
        <v>0</v>
      </c>
      <c r="E48" s="79"/>
      <c r="F48" s="88">
        <f>23171.1-532.7</f>
        <v>22638.399999999998</v>
      </c>
      <c r="G48" s="88">
        <v>6812.8</v>
      </c>
      <c r="H48" s="88">
        <f>G48/F48*100</f>
        <v>30.093999575941766</v>
      </c>
      <c r="I48" s="89">
        <f t="shared" si="0"/>
        <v>22638.399999999998</v>
      </c>
      <c r="J48" s="80">
        <f t="shared" si="0"/>
        <v>6812.8</v>
      </c>
      <c r="K48" s="90">
        <f t="shared" si="1"/>
        <v>30.093999575941766</v>
      </c>
    </row>
    <row r="49" spans="1:11" ht="90">
      <c r="A49" s="86" t="s">
        <v>31</v>
      </c>
      <c r="B49" s="87" t="s">
        <v>283</v>
      </c>
      <c r="C49" s="79">
        <v>289948.2</v>
      </c>
      <c r="D49" s="79">
        <v>94278.3</v>
      </c>
      <c r="E49" s="79">
        <f t="shared" si="5"/>
        <v>32.51556657361556</v>
      </c>
      <c r="F49" s="88">
        <v>0</v>
      </c>
      <c r="G49" s="88">
        <v>0</v>
      </c>
      <c r="H49" s="88">
        <v>0</v>
      </c>
      <c r="I49" s="89">
        <f t="shared" si="0"/>
        <v>289948.2</v>
      </c>
      <c r="J49" s="80">
        <f t="shared" si="0"/>
        <v>94278.3</v>
      </c>
      <c r="K49" s="90">
        <f t="shared" si="1"/>
        <v>32.51556657361556</v>
      </c>
    </row>
    <row r="50" spans="1:11" ht="120">
      <c r="A50" s="91" t="s">
        <v>31</v>
      </c>
      <c r="B50" s="87" t="s">
        <v>284</v>
      </c>
      <c r="C50" s="79">
        <v>2115.3</v>
      </c>
      <c r="D50" s="79">
        <v>2115.3</v>
      </c>
      <c r="E50" s="79">
        <f t="shared" si="5"/>
        <v>100</v>
      </c>
      <c r="F50" s="88"/>
      <c r="G50" s="88"/>
      <c r="H50" s="88"/>
      <c r="I50" s="89">
        <f t="shared" si="0"/>
        <v>2115.3</v>
      </c>
      <c r="J50" s="80">
        <f t="shared" si="0"/>
        <v>2115.3</v>
      </c>
      <c r="K50" s="90">
        <f t="shared" si="1"/>
        <v>100</v>
      </c>
    </row>
    <row r="51" spans="1:11" ht="45">
      <c r="A51" s="91" t="s">
        <v>31</v>
      </c>
      <c r="B51" s="87" t="s">
        <v>306</v>
      </c>
      <c r="C51" s="79">
        <v>1580.8</v>
      </c>
      <c r="D51" s="79">
        <v>827.7</v>
      </c>
      <c r="E51" s="79">
        <f t="shared" si="5"/>
        <v>52.35956477732794</v>
      </c>
      <c r="F51" s="88">
        <v>6879.3</v>
      </c>
      <c r="G51" s="88">
        <v>3228.8</v>
      </c>
      <c r="H51" s="88">
        <f>G51/F51*100</f>
        <v>46.93500792231768</v>
      </c>
      <c r="I51" s="89">
        <f t="shared" si="0"/>
        <v>8460.1</v>
      </c>
      <c r="J51" s="80">
        <f t="shared" si="0"/>
        <v>4056.5</v>
      </c>
      <c r="K51" s="90">
        <f t="shared" si="1"/>
        <v>47.94860580844198</v>
      </c>
    </row>
    <row r="52" spans="1:11" ht="135">
      <c r="A52" s="86" t="s">
        <v>32</v>
      </c>
      <c r="B52" s="87" t="s">
        <v>192</v>
      </c>
      <c r="C52" s="79">
        <v>6590.1</v>
      </c>
      <c r="D52" s="79">
        <v>5969.5</v>
      </c>
      <c r="E52" s="79">
        <f t="shared" si="5"/>
        <v>90.58284396291405</v>
      </c>
      <c r="F52" s="88"/>
      <c r="G52" s="88"/>
      <c r="H52" s="88"/>
      <c r="I52" s="89">
        <f t="shared" si="0"/>
        <v>6590.1</v>
      </c>
      <c r="J52" s="89">
        <f t="shared" si="0"/>
        <v>5969.5</v>
      </c>
      <c r="K52" s="90">
        <f t="shared" si="1"/>
        <v>90.58284396291405</v>
      </c>
    </row>
    <row r="53" spans="1:11" ht="40.5" customHeight="1">
      <c r="A53" s="86" t="s">
        <v>32</v>
      </c>
      <c r="B53" s="87" t="s">
        <v>193</v>
      </c>
      <c r="C53" s="79">
        <v>7401.8</v>
      </c>
      <c r="D53" s="105">
        <v>7048.7</v>
      </c>
      <c r="E53" s="79">
        <f t="shared" si="5"/>
        <v>95.22953876084195</v>
      </c>
      <c r="F53" s="88"/>
      <c r="G53" s="88"/>
      <c r="H53" s="88"/>
      <c r="I53" s="89">
        <f t="shared" si="0"/>
        <v>7401.8</v>
      </c>
      <c r="J53" s="89">
        <f t="shared" si="0"/>
        <v>7048.7</v>
      </c>
      <c r="K53" s="90">
        <f t="shared" si="1"/>
        <v>95.22953876084195</v>
      </c>
    </row>
    <row r="54" spans="1:11" ht="191.25">
      <c r="A54" s="86" t="s">
        <v>32</v>
      </c>
      <c r="B54" s="147" t="s">
        <v>285</v>
      </c>
      <c r="C54" s="79">
        <v>2471</v>
      </c>
      <c r="D54" s="105">
        <v>2255.4</v>
      </c>
      <c r="E54" s="79">
        <f>D54/C54*100</f>
        <v>91.27478753541077</v>
      </c>
      <c r="F54" s="88"/>
      <c r="G54" s="88"/>
      <c r="H54" s="88"/>
      <c r="I54" s="89">
        <f t="shared" si="0"/>
        <v>2471</v>
      </c>
      <c r="J54" s="89">
        <f t="shared" si="0"/>
        <v>2255.4</v>
      </c>
      <c r="K54" s="90">
        <f>J54/I54*100</f>
        <v>91.27478753541077</v>
      </c>
    </row>
    <row r="55" spans="1:11" ht="191.25">
      <c r="A55" s="86" t="s">
        <v>32</v>
      </c>
      <c r="B55" s="147" t="s">
        <v>286</v>
      </c>
      <c r="C55" s="79">
        <v>1400</v>
      </c>
      <c r="D55" s="105">
        <v>1400</v>
      </c>
      <c r="E55" s="79">
        <f>D55/C55*100</f>
        <v>100</v>
      </c>
      <c r="F55" s="88"/>
      <c r="G55" s="88"/>
      <c r="H55" s="88"/>
      <c r="I55" s="89">
        <f t="shared" si="0"/>
        <v>1400</v>
      </c>
      <c r="J55" s="89">
        <f t="shared" si="0"/>
        <v>1400</v>
      </c>
      <c r="K55" s="90">
        <f>J55/I55*100</f>
        <v>100</v>
      </c>
    </row>
    <row r="56" spans="1:11" ht="165.75">
      <c r="A56" s="86" t="s">
        <v>32</v>
      </c>
      <c r="B56" s="147" t="s">
        <v>287</v>
      </c>
      <c r="C56" s="79">
        <v>37811.6</v>
      </c>
      <c r="D56" s="105">
        <v>22614.9</v>
      </c>
      <c r="E56" s="79">
        <f>D56/C56*100</f>
        <v>59.80942356313936</v>
      </c>
      <c r="F56" s="88"/>
      <c r="G56" s="88"/>
      <c r="H56" s="88"/>
      <c r="I56" s="89">
        <f t="shared" si="0"/>
        <v>37811.6</v>
      </c>
      <c r="J56" s="89">
        <f t="shared" si="0"/>
        <v>22614.9</v>
      </c>
      <c r="K56" s="90">
        <f>J56/I56*100</f>
        <v>59.80942356313936</v>
      </c>
    </row>
    <row r="57" spans="1:11" ht="150">
      <c r="A57" s="91" t="s">
        <v>32</v>
      </c>
      <c r="B57" s="95" t="s">
        <v>288</v>
      </c>
      <c r="C57" s="79">
        <v>35824.4</v>
      </c>
      <c r="D57" s="105">
        <v>0</v>
      </c>
      <c r="E57" s="79">
        <f t="shared" si="5"/>
        <v>0</v>
      </c>
      <c r="F57" s="88">
        <v>34520.9</v>
      </c>
      <c r="G57" s="88">
        <v>0</v>
      </c>
      <c r="H57" s="88">
        <f>G57/F57*100</f>
        <v>0</v>
      </c>
      <c r="I57" s="89">
        <f>C57+F57-35824.4</f>
        <v>34520.9</v>
      </c>
      <c r="J57" s="89">
        <f t="shared" si="0"/>
        <v>0</v>
      </c>
      <c r="K57" s="90">
        <f t="shared" si="1"/>
        <v>0</v>
      </c>
    </row>
    <row r="58" spans="1:11" ht="120">
      <c r="A58" s="91" t="s">
        <v>32</v>
      </c>
      <c r="B58" s="95" t="s">
        <v>309</v>
      </c>
      <c r="C58" s="79">
        <v>404.1</v>
      </c>
      <c r="D58" s="105">
        <v>0</v>
      </c>
      <c r="E58" s="79">
        <f t="shared" si="5"/>
        <v>0</v>
      </c>
      <c r="F58" s="88"/>
      <c r="G58" s="88"/>
      <c r="H58" s="88"/>
      <c r="I58" s="89">
        <f>C58+F58</f>
        <v>404.1</v>
      </c>
      <c r="J58" s="89">
        <f t="shared" si="0"/>
        <v>0</v>
      </c>
      <c r="K58" s="90">
        <f t="shared" si="1"/>
        <v>0</v>
      </c>
    </row>
    <row r="59" spans="1:11" ht="90">
      <c r="A59" s="91" t="s">
        <v>32</v>
      </c>
      <c r="B59" s="95" t="s">
        <v>310</v>
      </c>
      <c r="C59" s="79">
        <v>1785.5</v>
      </c>
      <c r="D59" s="105">
        <v>261.8</v>
      </c>
      <c r="E59" s="79">
        <f t="shared" si="5"/>
        <v>14.662559507140857</v>
      </c>
      <c r="F59" s="88">
        <v>38.2</v>
      </c>
      <c r="G59" s="88"/>
      <c r="H59" s="88"/>
      <c r="I59" s="89">
        <f>C59+F59-261.8</f>
        <v>1561.9</v>
      </c>
      <c r="J59" s="89">
        <f>D59+G59-261.8</f>
        <v>0</v>
      </c>
      <c r="K59" s="90">
        <f t="shared" si="1"/>
        <v>0</v>
      </c>
    </row>
    <row r="60" spans="1:11" ht="45">
      <c r="A60" s="91" t="s">
        <v>32</v>
      </c>
      <c r="B60" s="87" t="s">
        <v>313</v>
      </c>
      <c r="C60" s="79">
        <v>2652</v>
      </c>
      <c r="D60" s="105">
        <v>2652</v>
      </c>
      <c r="E60" s="79">
        <f t="shared" si="5"/>
        <v>100</v>
      </c>
      <c r="F60" s="88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314</v>
      </c>
      <c r="C61" s="79"/>
      <c r="D61" s="105"/>
      <c r="E61" s="79"/>
      <c r="F61" s="88">
        <v>9356.7</v>
      </c>
      <c r="G61" s="88">
        <v>2248.2</v>
      </c>
      <c r="H61" s="88">
        <f>G61/F61*100</f>
        <v>24.027702074449323</v>
      </c>
      <c r="I61" s="89">
        <f>C61+F61</f>
        <v>9356.7</v>
      </c>
      <c r="J61" s="89">
        <f t="shared" si="0"/>
        <v>2248.2</v>
      </c>
      <c r="K61" s="90">
        <f t="shared" si="1"/>
        <v>24.027702074449323</v>
      </c>
    </row>
    <row r="62" spans="1:11" ht="60">
      <c r="A62" s="91" t="s">
        <v>32</v>
      </c>
      <c r="B62" s="95" t="s">
        <v>311</v>
      </c>
      <c r="C62" s="79">
        <v>513.9</v>
      </c>
      <c r="D62" s="105">
        <v>513.9</v>
      </c>
      <c r="E62" s="79">
        <f t="shared" si="5"/>
        <v>100</v>
      </c>
      <c r="F62" s="88"/>
      <c r="G62" s="88"/>
      <c r="H62" s="88"/>
      <c r="I62" s="89">
        <f>C62+F62</f>
        <v>513.9</v>
      </c>
      <c r="J62" s="89">
        <f t="shared" si="0"/>
        <v>513.9</v>
      </c>
      <c r="K62" s="90">
        <f t="shared" si="1"/>
        <v>100</v>
      </c>
    </row>
    <row r="63" spans="1:11" ht="105">
      <c r="A63" s="91" t="s">
        <v>32</v>
      </c>
      <c r="B63" s="95" t="s">
        <v>315</v>
      </c>
      <c r="C63" s="79">
        <v>1074.8</v>
      </c>
      <c r="D63" s="105">
        <v>974.6</v>
      </c>
      <c r="E63" s="79">
        <f t="shared" si="5"/>
        <v>90.67733531819874</v>
      </c>
      <c r="F63" s="88"/>
      <c r="G63" s="88"/>
      <c r="H63" s="88"/>
      <c r="I63" s="89">
        <f>C63+F63</f>
        <v>1074.8</v>
      </c>
      <c r="J63" s="89">
        <f t="shared" si="0"/>
        <v>974.6</v>
      </c>
      <c r="K63" s="90">
        <f t="shared" si="1"/>
        <v>90.67733531819874</v>
      </c>
    </row>
    <row r="64" spans="1:11" ht="60">
      <c r="A64" s="91" t="s">
        <v>32</v>
      </c>
      <c r="B64" s="95" t="s">
        <v>194</v>
      </c>
      <c r="C64" s="79"/>
      <c r="D64" s="105"/>
      <c r="E64" s="79"/>
      <c r="F64" s="88">
        <v>13952.3</v>
      </c>
      <c r="G64" s="88">
        <v>10004.9</v>
      </c>
      <c r="H64" s="88">
        <f aca="true" t="shared" si="7" ref="H64:H73">G64/F64*100</f>
        <v>71.70789045533711</v>
      </c>
      <c r="I64" s="89">
        <f t="shared" si="0"/>
        <v>13952.3</v>
      </c>
      <c r="J64" s="89">
        <f t="shared" si="0"/>
        <v>10004.9</v>
      </c>
      <c r="K64" s="90">
        <f t="shared" si="1"/>
        <v>71.70789045533711</v>
      </c>
    </row>
    <row r="65" spans="1:11" ht="45">
      <c r="A65" s="91" t="s">
        <v>32</v>
      </c>
      <c r="B65" s="95" t="s">
        <v>204</v>
      </c>
      <c r="C65" s="79"/>
      <c r="D65" s="105"/>
      <c r="E65" s="79"/>
      <c r="F65" s="88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5" t="s">
        <v>195</v>
      </c>
      <c r="C66" s="79"/>
      <c r="D66" s="105"/>
      <c r="E66" s="79"/>
      <c r="F66" s="88">
        <v>5021.8</v>
      </c>
      <c r="G66" s="88">
        <v>256.3</v>
      </c>
      <c r="H66" s="88">
        <f t="shared" si="7"/>
        <v>5.103747660201521</v>
      </c>
      <c r="I66" s="89">
        <f t="shared" si="0"/>
        <v>5021.8</v>
      </c>
      <c r="J66" s="89">
        <f t="shared" si="0"/>
        <v>256.3</v>
      </c>
      <c r="K66" s="90">
        <f t="shared" si="1"/>
        <v>5.103747660201521</v>
      </c>
    </row>
    <row r="67" spans="1:11" ht="75">
      <c r="A67" s="91" t="s">
        <v>32</v>
      </c>
      <c r="B67" s="95" t="s">
        <v>289</v>
      </c>
      <c r="C67" s="79"/>
      <c r="D67" s="105"/>
      <c r="E67" s="79"/>
      <c r="F67" s="88">
        <v>15478.6</v>
      </c>
      <c r="G67" s="88">
        <v>7968.2</v>
      </c>
      <c r="H67" s="88">
        <f t="shared" si="7"/>
        <v>51.47881591358391</v>
      </c>
      <c r="I67" s="89">
        <f>C67+F67-15478.6</f>
        <v>0</v>
      </c>
      <c r="J67" s="89">
        <f>D67+G67-7968.2</f>
        <v>0</v>
      </c>
      <c r="K67" s="90" t="e">
        <f t="shared" si="1"/>
        <v>#DIV/0!</v>
      </c>
    </row>
    <row r="68" spans="1:11" ht="60">
      <c r="A68" s="91" t="s">
        <v>33</v>
      </c>
      <c r="B68" s="95" t="s">
        <v>183</v>
      </c>
      <c r="C68" s="79">
        <v>10057</v>
      </c>
      <c r="D68" s="105">
        <v>6916.6</v>
      </c>
      <c r="E68" s="79">
        <f>D68/C68*100</f>
        <v>68.77398826687879</v>
      </c>
      <c r="F68" s="88">
        <v>624</v>
      </c>
      <c r="G68" s="88">
        <v>0</v>
      </c>
      <c r="H68" s="88">
        <v>0</v>
      </c>
      <c r="I68" s="89">
        <f>C68+F68-1224</f>
        <v>9457</v>
      </c>
      <c r="J68" s="89">
        <f t="shared" si="0"/>
        <v>6916.6</v>
      </c>
      <c r="K68" s="90">
        <f t="shared" si="1"/>
        <v>73.13735857037116</v>
      </c>
    </row>
    <row r="69" spans="1:11" ht="45">
      <c r="A69" s="91" t="s">
        <v>33</v>
      </c>
      <c r="B69" s="95" t="s">
        <v>184</v>
      </c>
      <c r="C69" s="79">
        <v>3501.2</v>
      </c>
      <c r="D69" s="105">
        <v>3501.2</v>
      </c>
      <c r="E69" s="79">
        <f>D69/C69*100</f>
        <v>100</v>
      </c>
      <c r="F69" s="88">
        <v>3501.2</v>
      </c>
      <c r="G69" s="88">
        <v>2816</v>
      </c>
      <c r="H69" s="88">
        <f t="shared" si="7"/>
        <v>80.42956700559807</v>
      </c>
      <c r="I69" s="89">
        <f>C69+F69-3501.2</f>
        <v>3501.2</v>
      </c>
      <c r="J69" s="89">
        <f>D69+G69-3501.2</f>
        <v>2816</v>
      </c>
      <c r="K69" s="90">
        <f t="shared" si="1"/>
        <v>80.42956700559807</v>
      </c>
    </row>
    <row r="70" spans="1:11" ht="60">
      <c r="A70" s="91" t="s">
        <v>33</v>
      </c>
      <c r="B70" s="95" t="s">
        <v>208</v>
      </c>
      <c r="C70" s="79">
        <v>335</v>
      </c>
      <c r="D70" s="105">
        <v>0</v>
      </c>
      <c r="E70" s="79"/>
      <c r="F70" s="88"/>
      <c r="G70" s="88"/>
      <c r="H70" s="88"/>
      <c r="I70" s="89">
        <f t="shared" si="0"/>
        <v>335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185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0</v>
      </c>
      <c r="H71" s="88">
        <f t="shared" si="7"/>
        <v>0</v>
      </c>
      <c r="I71" s="89">
        <f>C71+F71-1500</f>
        <v>1500</v>
      </c>
      <c r="J71" s="89">
        <f>D71+G71</f>
        <v>0</v>
      </c>
      <c r="K71" s="90">
        <f t="shared" si="1"/>
        <v>0</v>
      </c>
    </row>
    <row r="72" spans="1:11" ht="60">
      <c r="A72" s="91" t="s">
        <v>33</v>
      </c>
      <c r="B72" s="87" t="s">
        <v>290</v>
      </c>
      <c r="C72" s="79"/>
      <c r="D72" s="79"/>
      <c r="E72" s="79"/>
      <c r="F72" s="79">
        <v>3036.1</v>
      </c>
      <c r="G72" s="88">
        <v>284.3</v>
      </c>
      <c r="H72" s="88">
        <f t="shared" si="7"/>
        <v>9.36398669345542</v>
      </c>
      <c r="I72" s="89">
        <f aca="true" t="shared" si="8" ref="I72:J74">C72+F72</f>
        <v>3036.1</v>
      </c>
      <c r="J72" s="80">
        <f t="shared" si="8"/>
        <v>284.3</v>
      </c>
      <c r="K72" s="90">
        <f t="shared" si="1"/>
        <v>9.36398669345542</v>
      </c>
    </row>
    <row r="73" spans="1:11" ht="15">
      <c r="A73" s="86" t="s">
        <v>33</v>
      </c>
      <c r="B73" s="87" t="s">
        <v>186</v>
      </c>
      <c r="C73" s="79">
        <v>0</v>
      </c>
      <c r="D73" s="79">
        <v>0</v>
      </c>
      <c r="E73" s="79">
        <v>0</v>
      </c>
      <c r="F73" s="79">
        <v>33145.6</v>
      </c>
      <c r="G73" s="88">
        <v>18497.1</v>
      </c>
      <c r="H73" s="88">
        <f t="shared" si="7"/>
        <v>55.80559712299672</v>
      </c>
      <c r="I73" s="89">
        <f t="shared" si="8"/>
        <v>33145.6</v>
      </c>
      <c r="J73" s="80">
        <f t="shared" si="8"/>
        <v>18497.1</v>
      </c>
      <c r="K73" s="90">
        <f t="shared" si="1"/>
        <v>55.80559712299672</v>
      </c>
    </row>
    <row r="74" spans="1:11" ht="30">
      <c r="A74" s="91" t="s">
        <v>138</v>
      </c>
      <c r="B74" s="87" t="s">
        <v>312</v>
      </c>
      <c r="C74" s="79">
        <v>55.6</v>
      </c>
      <c r="D74" s="79">
        <v>0</v>
      </c>
      <c r="E74" s="79">
        <f>D74/C74*100</f>
        <v>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0</v>
      </c>
      <c r="K74" s="90">
        <f t="shared" si="1"/>
        <v>0</v>
      </c>
    </row>
    <row r="75" spans="1:11" ht="15">
      <c r="A75" s="81" t="s">
        <v>38</v>
      </c>
      <c r="B75" s="82" t="s">
        <v>39</v>
      </c>
      <c r="C75" s="83">
        <f>SUM(C76:C82)</f>
        <v>2097910.1</v>
      </c>
      <c r="D75" s="83">
        <f>SUM(D76:D82)</f>
        <v>1207031.5</v>
      </c>
      <c r="E75" s="83">
        <f>D75/C75*100</f>
        <v>57.53494870919397</v>
      </c>
      <c r="F75" s="96">
        <f>F76+F78+F79+F81+F82</f>
        <v>0</v>
      </c>
      <c r="G75" s="96">
        <f>SUM(G76:G82)</f>
        <v>0</v>
      </c>
      <c r="H75" s="84">
        <v>0</v>
      </c>
      <c r="I75" s="83">
        <f>SUM(I76:I82)</f>
        <v>2097910.1</v>
      </c>
      <c r="J75" s="83">
        <f>SUM(J76:J82)</f>
        <v>1207031.5</v>
      </c>
      <c r="K75" s="85">
        <f t="shared" si="1"/>
        <v>57.53494870919397</v>
      </c>
    </row>
    <row r="76" spans="1:11" ht="15">
      <c r="A76" s="86" t="s">
        <v>40</v>
      </c>
      <c r="B76" s="87" t="s">
        <v>41</v>
      </c>
      <c r="C76" s="79">
        <f>603407.6-C77</f>
        <v>343938.1</v>
      </c>
      <c r="D76" s="79">
        <f>336590.7-D77</f>
        <v>262945.30000000005</v>
      </c>
      <c r="E76" s="79">
        <f t="shared" si="5"/>
        <v>76.45134400637791</v>
      </c>
      <c r="F76" s="88">
        <v>0</v>
      </c>
      <c r="G76" s="88">
        <v>0</v>
      </c>
      <c r="H76" s="88">
        <v>0</v>
      </c>
      <c r="I76" s="89">
        <f t="shared" si="0"/>
        <v>343938.1</v>
      </c>
      <c r="J76" s="80">
        <f t="shared" si="0"/>
        <v>262945.30000000005</v>
      </c>
      <c r="K76" s="90">
        <f t="shared" si="1"/>
        <v>76.45134400637791</v>
      </c>
    </row>
    <row r="77" spans="1:11" ht="120">
      <c r="A77" s="86" t="s">
        <v>40</v>
      </c>
      <c r="B77" s="87" t="s">
        <v>188</v>
      </c>
      <c r="C77" s="79">
        <v>259469.5</v>
      </c>
      <c r="D77" s="79">
        <v>73645.4</v>
      </c>
      <c r="E77" s="79">
        <f t="shared" si="5"/>
        <v>28.38306621780209</v>
      </c>
      <c r="F77" s="88"/>
      <c r="G77" s="88"/>
      <c r="H77" s="88"/>
      <c r="I77" s="89">
        <f t="shared" si="0"/>
        <v>259469.5</v>
      </c>
      <c r="J77" s="80">
        <f t="shared" si="0"/>
        <v>73645.4</v>
      </c>
      <c r="K77" s="90">
        <f t="shared" si="1"/>
        <v>28.38306621780209</v>
      </c>
    </row>
    <row r="78" spans="1:11" ht="15">
      <c r="A78" s="86" t="s">
        <v>42</v>
      </c>
      <c r="B78" s="87" t="s">
        <v>43</v>
      </c>
      <c r="C78" s="79">
        <f>1428019.1-C79-C80</f>
        <v>1178306.6</v>
      </c>
      <c r="D78" s="79">
        <f>818880.6-D79-D80</f>
        <v>716197.6</v>
      </c>
      <c r="E78" s="79">
        <f t="shared" si="5"/>
        <v>60.78193909802423</v>
      </c>
      <c r="F78" s="88">
        <v>0</v>
      </c>
      <c r="G78" s="88">
        <v>0</v>
      </c>
      <c r="H78" s="88">
        <v>0</v>
      </c>
      <c r="I78" s="89">
        <f t="shared" si="0"/>
        <v>1178306.6</v>
      </c>
      <c r="J78" s="80">
        <f t="shared" si="0"/>
        <v>716197.6</v>
      </c>
      <c r="K78" s="90">
        <f t="shared" si="1"/>
        <v>60.78193909802423</v>
      </c>
    </row>
    <row r="79" spans="1:11" ht="15">
      <c r="A79" s="86" t="s">
        <v>42</v>
      </c>
      <c r="B79" s="87" t="s">
        <v>187</v>
      </c>
      <c r="C79" s="79">
        <v>45706</v>
      </c>
      <c r="D79" s="79">
        <v>20334.2</v>
      </c>
      <c r="E79" s="79">
        <f t="shared" si="5"/>
        <v>44.48912615411543</v>
      </c>
      <c r="F79" s="88">
        <v>0</v>
      </c>
      <c r="G79" s="88">
        <v>0</v>
      </c>
      <c r="H79" s="88">
        <v>0</v>
      </c>
      <c r="I79" s="89">
        <f t="shared" si="0"/>
        <v>45706</v>
      </c>
      <c r="J79" s="80">
        <f t="shared" si="0"/>
        <v>20334.2</v>
      </c>
      <c r="K79" s="90">
        <f t="shared" si="1"/>
        <v>44.48912615411543</v>
      </c>
    </row>
    <row r="80" spans="1:11" ht="120">
      <c r="A80" s="86" t="s">
        <v>42</v>
      </c>
      <c r="B80" s="87" t="s">
        <v>188</v>
      </c>
      <c r="C80" s="79">
        <v>204006.5</v>
      </c>
      <c r="D80" s="79">
        <v>82348.8</v>
      </c>
      <c r="E80" s="79">
        <f t="shared" si="5"/>
        <v>40.36577265920449</v>
      </c>
      <c r="F80" s="88">
        <v>0</v>
      </c>
      <c r="G80" s="88">
        <v>0</v>
      </c>
      <c r="H80" s="88">
        <v>0</v>
      </c>
      <c r="I80" s="89">
        <f t="shared" si="0"/>
        <v>204006.5</v>
      </c>
      <c r="J80" s="80">
        <f t="shared" si="0"/>
        <v>82348.8</v>
      </c>
      <c r="K80" s="90">
        <f t="shared" si="1"/>
        <v>40.36577265920449</v>
      </c>
    </row>
    <row r="81" spans="1:11" ht="15">
      <c r="A81" s="86" t="s">
        <v>44</v>
      </c>
      <c r="B81" s="87" t="s">
        <v>45</v>
      </c>
      <c r="C81" s="79">
        <v>21507.8</v>
      </c>
      <c r="D81" s="79">
        <v>18973.2</v>
      </c>
      <c r="E81" s="79">
        <f t="shared" si="5"/>
        <v>88.21543812012386</v>
      </c>
      <c r="F81" s="88">
        <v>0</v>
      </c>
      <c r="G81" s="88">
        <v>0</v>
      </c>
      <c r="H81" s="88">
        <v>0</v>
      </c>
      <c r="I81" s="89">
        <f t="shared" si="0"/>
        <v>21507.8</v>
      </c>
      <c r="J81" s="80">
        <f t="shared" si="0"/>
        <v>18973.2</v>
      </c>
      <c r="K81" s="90">
        <f t="shared" si="1"/>
        <v>88.21543812012386</v>
      </c>
    </row>
    <row r="82" spans="1:11" ht="15">
      <c r="A82" s="86" t="s">
        <v>46</v>
      </c>
      <c r="B82" s="87" t="s">
        <v>47</v>
      </c>
      <c r="C82" s="79">
        <v>44975.6</v>
      </c>
      <c r="D82" s="79">
        <v>32587</v>
      </c>
      <c r="E82" s="79">
        <f t="shared" si="5"/>
        <v>72.45484218109375</v>
      </c>
      <c r="F82" s="88">
        <v>0</v>
      </c>
      <c r="G82" s="88">
        <v>0</v>
      </c>
      <c r="H82" s="88">
        <v>0</v>
      </c>
      <c r="I82" s="89">
        <f t="shared" si="0"/>
        <v>44975.6</v>
      </c>
      <c r="J82" s="80">
        <f t="shared" si="0"/>
        <v>32587</v>
      </c>
      <c r="K82" s="90">
        <f t="shared" si="1"/>
        <v>72.45484218109375</v>
      </c>
    </row>
    <row r="83" spans="1:11" ht="15">
      <c r="A83" s="81" t="s">
        <v>48</v>
      </c>
      <c r="B83" s="82" t="s">
        <v>49</v>
      </c>
      <c r="C83" s="83">
        <f>SUM(C84:C88)</f>
        <v>155450.3</v>
      </c>
      <c r="D83" s="83">
        <f>SUM(D84:D88)</f>
        <v>53888.2</v>
      </c>
      <c r="E83" s="83">
        <f>D83/C83*100</f>
        <v>34.665870699509746</v>
      </c>
      <c r="F83" s="96">
        <f>SUM(F84:F88)</f>
        <v>111074.2</v>
      </c>
      <c r="G83" s="96">
        <f>SUM(G84:G88)</f>
        <v>54374.6</v>
      </c>
      <c r="H83" s="84">
        <f>G83/F83*100</f>
        <v>48.95340232025079</v>
      </c>
      <c r="I83" s="96">
        <f>SUM(I84:I88)</f>
        <v>264798.3</v>
      </c>
      <c r="J83" s="96">
        <f>SUM(J84:J88)</f>
        <v>107061.09999999999</v>
      </c>
      <c r="K83" s="85">
        <f t="shared" si="1"/>
        <v>40.431188568808786</v>
      </c>
    </row>
    <row r="84" spans="1:11" ht="15">
      <c r="A84" s="86" t="s">
        <v>50</v>
      </c>
      <c r="B84" s="87" t="s">
        <v>90</v>
      </c>
      <c r="C84" s="79">
        <f>146665.8-C85-C86</f>
        <v>68111.9</v>
      </c>
      <c r="D84" s="79">
        <f>48557.7-D85-D86</f>
        <v>36603.5</v>
      </c>
      <c r="E84" s="79">
        <f t="shared" si="5"/>
        <v>53.74024216032735</v>
      </c>
      <c r="F84" s="88">
        <f>110155.7-F86</f>
        <v>109727.7</v>
      </c>
      <c r="G84" s="88">
        <v>54144.2</v>
      </c>
      <c r="H84" s="88">
        <f>G84/F84*100</f>
        <v>49.34414919842482</v>
      </c>
      <c r="I84" s="89">
        <f>C84+F84-931.7</f>
        <v>176907.89999999997</v>
      </c>
      <c r="J84" s="80">
        <f>D84+G84-831.7</f>
        <v>89916</v>
      </c>
      <c r="K84" s="90">
        <f t="shared" si="1"/>
        <v>50.82644698173458</v>
      </c>
    </row>
    <row r="85" spans="1:11" ht="75">
      <c r="A85" s="100" t="s">
        <v>50</v>
      </c>
      <c r="B85" s="101" t="s">
        <v>291</v>
      </c>
      <c r="C85" s="79">
        <v>76915.7</v>
      </c>
      <c r="D85" s="79">
        <v>11954.2</v>
      </c>
      <c r="E85" s="79">
        <f t="shared" si="5"/>
        <v>15.541950473050367</v>
      </c>
      <c r="F85" s="88">
        <v>0</v>
      </c>
      <c r="G85" s="88">
        <v>0</v>
      </c>
      <c r="H85" s="88">
        <v>0</v>
      </c>
      <c r="I85" s="89">
        <f aca="true" t="shared" si="9" ref="I85:J99">C85+F85</f>
        <v>76915.7</v>
      </c>
      <c r="J85" s="80">
        <f t="shared" si="9"/>
        <v>11954.2</v>
      </c>
      <c r="K85" s="90">
        <f>J85/I85*100</f>
        <v>15.541950473050367</v>
      </c>
    </row>
    <row r="86" spans="1:11" ht="15">
      <c r="A86" s="100" t="s">
        <v>50</v>
      </c>
      <c r="B86" s="101" t="s">
        <v>292</v>
      </c>
      <c r="C86" s="79">
        <v>1638.2</v>
      </c>
      <c r="D86" s="79">
        <v>0</v>
      </c>
      <c r="E86" s="79">
        <f t="shared" si="5"/>
        <v>0</v>
      </c>
      <c r="F86" s="88">
        <v>428</v>
      </c>
      <c r="G86" s="88">
        <v>0</v>
      </c>
      <c r="H86" s="88">
        <f>G86/F86*100</f>
        <v>0</v>
      </c>
      <c r="I86" s="89">
        <f>C86+F86-424.5</f>
        <v>1641.6999999999998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132</v>
      </c>
      <c r="E87" s="79">
        <f t="shared" si="5"/>
        <v>49.43820224719101</v>
      </c>
      <c r="F87" s="88">
        <v>548.5</v>
      </c>
      <c r="G87" s="88">
        <v>145.4</v>
      </c>
      <c r="H87" s="88">
        <f>G87/F87*100</f>
        <v>26.508659981768464</v>
      </c>
      <c r="I87" s="89">
        <f t="shared" si="9"/>
        <v>815.5</v>
      </c>
      <c r="J87" s="80">
        <f t="shared" si="9"/>
        <v>277.4</v>
      </c>
      <c r="K87" s="90">
        <f aca="true" t="shared" si="10" ref="K87:K114">J87/I87*100</f>
        <v>34.01594114040466</v>
      </c>
    </row>
    <row r="88" spans="1:11" ht="30">
      <c r="A88" s="86" t="s">
        <v>53</v>
      </c>
      <c r="B88" s="87" t="s">
        <v>91</v>
      </c>
      <c r="C88" s="79">
        <v>8517.5</v>
      </c>
      <c r="D88" s="79">
        <v>5198.5</v>
      </c>
      <c r="E88" s="79">
        <f t="shared" si="5"/>
        <v>61.03316700909891</v>
      </c>
      <c r="F88" s="88">
        <v>370</v>
      </c>
      <c r="G88" s="88">
        <v>85</v>
      </c>
      <c r="H88" s="88">
        <f>G88/F88*100</f>
        <v>22.972972972972975</v>
      </c>
      <c r="I88" s="89">
        <f>C88+F88-370</f>
        <v>8517.5</v>
      </c>
      <c r="J88" s="80">
        <f>D88+G88-370</f>
        <v>4913.5</v>
      </c>
      <c r="K88" s="90">
        <f t="shared" si="10"/>
        <v>57.687114763721745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58926.5</v>
      </c>
      <c r="E89" s="83">
        <f>D89/C89*100</f>
        <v>50.90402557014513</v>
      </c>
      <c r="F89" s="96">
        <v>0</v>
      </c>
      <c r="G89" s="96">
        <v>0</v>
      </c>
      <c r="H89" s="84"/>
      <c r="I89" s="96">
        <f>C89+F89</f>
        <v>115760</v>
      </c>
      <c r="J89" s="96">
        <f t="shared" si="9"/>
        <v>58926.5</v>
      </c>
      <c r="K89" s="85">
        <f t="shared" si="10"/>
        <v>50.90402557014513</v>
      </c>
    </row>
    <row r="90" spans="1:11" ht="45">
      <c r="A90" s="91" t="s">
        <v>104</v>
      </c>
      <c r="B90" s="101" t="s">
        <v>293</v>
      </c>
      <c r="C90" s="79">
        <v>115760</v>
      </c>
      <c r="D90" s="88">
        <v>58926.5</v>
      </c>
      <c r="E90" s="79">
        <f t="shared" si="5"/>
        <v>50.90402557014513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58926.5</v>
      </c>
      <c r="K90" s="90">
        <f t="shared" si="10"/>
        <v>50.90402557014513</v>
      </c>
    </row>
    <row r="91" spans="1:11" ht="15">
      <c r="A91" s="81">
        <v>10</v>
      </c>
      <c r="B91" s="82" t="s">
        <v>60</v>
      </c>
      <c r="C91" s="83">
        <f>SUM(C92:C101)</f>
        <v>184824.59999999998</v>
      </c>
      <c r="D91" s="83">
        <f>SUM(D92:D101)</f>
        <v>98388.9</v>
      </c>
      <c r="E91" s="83">
        <f>D91/C91*100</f>
        <v>53.233660454290174</v>
      </c>
      <c r="F91" s="83">
        <f>SUM(F92:F99)</f>
        <v>479.6</v>
      </c>
      <c r="G91" s="83">
        <f>SUM(G92:G99)</f>
        <v>242.4</v>
      </c>
      <c r="H91" s="84">
        <f>G91/F91*100</f>
        <v>50.54211843202668</v>
      </c>
      <c r="I91" s="83">
        <f>SUM(I92:I101)</f>
        <v>185304.19999999998</v>
      </c>
      <c r="J91" s="83">
        <f>SUM(J92:J101)</f>
        <v>98631.3</v>
      </c>
      <c r="K91" s="85">
        <f t="shared" si="10"/>
        <v>53.22669426812776</v>
      </c>
    </row>
    <row r="92" spans="1:11" ht="15">
      <c r="A92" s="91">
        <v>1001</v>
      </c>
      <c r="B92" s="87" t="s">
        <v>61</v>
      </c>
      <c r="C92" s="79">
        <v>3446</v>
      </c>
      <c r="D92" s="79">
        <v>1895.5</v>
      </c>
      <c r="E92" s="79">
        <f t="shared" si="5"/>
        <v>55.005803830528144</v>
      </c>
      <c r="F92" s="88">
        <v>479.6</v>
      </c>
      <c r="G92" s="88">
        <v>242.4</v>
      </c>
      <c r="H92" s="88">
        <f>G92/F92*100</f>
        <v>50.54211843202668</v>
      </c>
      <c r="I92" s="89">
        <f t="shared" si="9"/>
        <v>3925.6</v>
      </c>
      <c r="J92" s="80">
        <f t="shared" si="9"/>
        <v>2137.9</v>
      </c>
      <c r="K92" s="90">
        <f t="shared" si="10"/>
        <v>54.460464642347674</v>
      </c>
    </row>
    <row r="93" spans="1:11" ht="60">
      <c r="A93" s="91">
        <v>1003</v>
      </c>
      <c r="B93" s="87" t="s">
        <v>316</v>
      </c>
      <c r="C93" s="79">
        <f>1481+545.4</f>
        <v>2026.4</v>
      </c>
      <c r="D93" s="79">
        <v>2026.4</v>
      </c>
      <c r="E93" s="79">
        <f t="shared" si="5"/>
        <v>100</v>
      </c>
      <c r="F93" s="88">
        <v>0</v>
      </c>
      <c r="G93" s="88">
        <v>0</v>
      </c>
      <c r="H93" s="88">
        <v>0</v>
      </c>
      <c r="I93" s="89">
        <f t="shared" si="9"/>
        <v>2026.4</v>
      </c>
      <c r="J93" s="80">
        <f t="shared" si="9"/>
        <v>2026.4</v>
      </c>
      <c r="K93" s="90">
        <v>0</v>
      </c>
    </row>
    <row r="94" spans="1:11" ht="60">
      <c r="A94" s="91">
        <v>1003</v>
      </c>
      <c r="B94" s="87" t="s">
        <v>206</v>
      </c>
      <c r="C94" s="79">
        <v>2967.1</v>
      </c>
      <c r="D94" s="79">
        <v>0</v>
      </c>
      <c r="E94" s="79">
        <f t="shared" si="5"/>
        <v>0</v>
      </c>
      <c r="F94" s="88">
        <v>0</v>
      </c>
      <c r="G94" s="88">
        <v>0</v>
      </c>
      <c r="H94" s="88">
        <v>0</v>
      </c>
      <c r="I94" s="89">
        <f t="shared" si="9"/>
        <v>2967.1</v>
      </c>
      <c r="J94" s="80">
        <f t="shared" si="9"/>
        <v>0</v>
      </c>
      <c r="K94" s="90">
        <f t="shared" si="10"/>
        <v>0</v>
      </c>
    </row>
    <row r="95" spans="1:11" ht="120">
      <c r="A95" s="91" t="s">
        <v>168</v>
      </c>
      <c r="B95" s="87" t="s">
        <v>317</v>
      </c>
      <c r="C95" s="79">
        <v>1658.6</v>
      </c>
      <c r="D95" s="79">
        <f>1269.1+231.5</f>
        <v>1500.6</v>
      </c>
      <c r="E95" s="79">
        <f t="shared" si="5"/>
        <v>90.47389364524298</v>
      </c>
      <c r="F95" s="88"/>
      <c r="G95" s="88"/>
      <c r="H95" s="88"/>
      <c r="I95" s="89">
        <f t="shared" si="9"/>
        <v>1658.6</v>
      </c>
      <c r="J95" s="80">
        <f t="shared" si="9"/>
        <v>1500.6</v>
      </c>
      <c r="K95" s="90">
        <f t="shared" si="10"/>
        <v>90.47389364524298</v>
      </c>
    </row>
    <row r="96" spans="1:11" ht="165">
      <c r="A96" s="91" t="s">
        <v>168</v>
      </c>
      <c r="B96" s="87" t="s">
        <v>205</v>
      </c>
      <c r="C96" s="79">
        <v>790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790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189</v>
      </c>
      <c r="C97" s="79">
        <v>20062</v>
      </c>
      <c r="D97" s="79">
        <v>7830</v>
      </c>
      <c r="E97" s="79">
        <f t="shared" si="5"/>
        <v>39.02901006878676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7830</v>
      </c>
      <c r="K97" s="90">
        <f t="shared" si="10"/>
        <v>39.02901006878676</v>
      </c>
    </row>
    <row r="98" spans="1:11" ht="45">
      <c r="A98" s="91">
        <v>1004</v>
      </c>
      <c r="B98" s="87" t="s">
        <v>190</v>
      </c>
      <c r="C98" s="79">
        <v>1826.3</v>
      </c>
      <c r="D98" s="79">
        <v>1664.9</v>
      </c>
      <c r="E98" s="79">
        <f aca="true" t="shared" si="11" ref="E98:E113">D98/C98*100</f>
        <v>91.1624596178065</v>
      </c>
      <c r="F98" s="88">
        <v>0</v>
      </c>
      <c r="G98" s="88">
        <v>0</v>
      </c>
      <c r="H98" s="88">
        <v>0</v>
      </c>
      <c r="I98" s="89">
        <f t="shared" si="9"/>
        <v>1826.3</v>
      </c>
      <c r="J98" s="89">
        <f t="shared" si="9"/>
        <v>1664.9</v>
      </c>
      <c r="K98" s="90">
        <f t="shared" si="10"/>
        <v>91.1624596178065</v>
      </c>
    </row>
    <row r="99" spans="1:11" ht="165">
      <c r="A99" s="91">
        <v>1004</v>
      </c>
      <c r="B99" s="87" t="s">
        <v>191</v>
      </c>
      <c r="C99" s="79">
        <v>100466.4</v>
      </c>
      <c r="D99" s="79">
        <v>70209.9</v>
      </c>
      <c r="E99" s="79">
        <f t="shared" si="11"/>
        <v>69.88396120494016</v>
      </c>
      <c r="F99" s="88">
        <v>0</v>
      </c>
      <c r="G99" s="88">
        <v>0</v>
      </c>
      <c r="H99" s="88">
        <v>0</v>
      </c>
      <c r="I99" s="89">
        <f t="shared" si="9"/>
        <v>100466.4</v>
      </c>
      <c r="J99" s="80">
        <f t="shared" si="9"/>
        <v>70209.9</v>
      </c>
      <c r="K99" s="90">
        <f t="shared" si="10"/>
        <v>69.88396120494016</v>
      </c>
    </row>
    <row r="100" spans="1:11" ht="150">
      <c r="A100" s="91" t="s">
        <v>110</v>
      </c>
      <c r="B100" s="87" t="s">
        <v>294</v>
      </c>
      <c r="C100" s="79">
        <f>36781.2+116.7</f>
        <v>36897.899999999994</v>
      </c>
      <c r="D100" s="79">
        <v>6988.6</v>
      </c>
      <c r="E100" s="79">
        <f>D100/C100*100</f>
        <v>18.940373300377534</v>
      </c>
      <c r="F100" s="88">
        <v>0</v>
      </c>
      <c r="G100" s="88">
        <v>0</v>
      </c>
      <c r="H100" s="88">
        <v>0</v>
      </c>
      <c r="I100" s="89">
        <f>C100+F100</f>
        <v>36897.899999999994</v>
      </c>
      <c r="J100" s="80">
        <f>D100+G100</f>
        <v>6988.6</v>
      </c>
      <c r="K100" s="90">
        <f>J100/I100*100</f>
        <v>18.940373300377534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6273</v>
      </c>
      <c r="E101" s="79">
        <f t="shared" si="11"/>
        <v>42.72025824202017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6273</v>
      </c>
      <c r="K101" s="90">
        <f t="shared" si="10"/>
        <v>42.72025824202017</v>
      </c>
    </row>
    <row r="102" spans="1:11" ht="15">
      <c r="A102" s="99">
        <v>1100</v>
      </c>
      <c r="B102" s="82" t="s">
        <v>59</v>
      </c>
      <c r="C102" s="83">
        <f>SUM(C103:C105)</f>
        <v>125302.2</v>
      </c>
      <c r="D102" s="83">
        <f>SUM(D103:D105)</f>
        <v>60898.3</v>
      </c>
      <c r="E102" s="83">
        <f>D102/C102*100</f>
        <v>48.60114187939239</v>
      </c>
      <c r="F102" s="96">
        <f>F103+F104</f>
        <v>29962.5</v>
      </c>
      <c r="G102" s="96">
        <f>G103+G104</f>
        <v>14362.1</v>
      </c>
      <c r="H102" s="84">
        <f>G102/F102*100</f>
        <v>47.93358364622445</v>
      </c>
      <c r="I102" s="96">
        <f>SUM(I103:I105)</f>
        <v>154339.7</v>
      </c>
      <c r="J102" s="96">
        <f>SUM(J103:J105)</f>
        <v>74335.40000000001</v>
      </c>
      <c r="K102" s="85">
        <f t="shared" si="10"/>
        <v>48.16349908675474</v>
      </c>
    </row>
    <row r="103" spans="1:11" ht="15">
      <c r="A103" s="91">
        <v>1101</v>
      </c>
      <c r="B103" s="87" t="s">
        <v>83</v>
      </c>
      <c r="C103" s="79">
        <v>15269</v>
      </c>
      <c r="D103" s="79">
        <v>8645.4</v>
      </c>
      <c r="E103" s="79">
        <f t="shared" si="11"/>
        <v>56.62060383784138</v>
      </c>
      <c r="F103" s="88">
        <v>29962.5</v>
      </c>
      <c r="G103" s="88">
        <v>14362.1</v>
      </c>
      <c r="H103" s="88">
        <f>G103/F103*100</f>
        <v>47.93358364622445</v>
      </c>
      <c r="I103" s="89">
        <f>C103+F103-925</f>
        <v>44306.5</v>
      </c>
      <c r="J103" s="89">
        <f>D103+G103-925</f>
        <v>22082.5</v>
      </c>
      <c r="K103" s="90">
        <f t="shared" si="10"/>
        <v>49.840316883527244</v>
      </c>
    </row>
    <row r="104" spans="1:11" ht="15">
      <c r="A104" s="91">
        <v>1102</v>
      </c>
      <c r="B104" s="87" t="s">
        <v>84</v>
      </c>
      <c r="C104" s="79">
        <v>110013</v>
      </c>
      <c r="D104" s="79">
        <v>52246.1</v>
      </c>
      <c r="E104" s="79">
        <f t="shared" si="11"/>
        <v>47.49084199140102</v>
      </c>
      <c r="F104" s="88">
        <v>0</v>
      </c>
      <c r="G104" s="88">
        <v>0</v>
      </c>
      <c r="H104" s="88">
        <v>0</v>
      </c>
      <c r="I104" s="89">
        <f>C104+F104</f>
        <v>110013</v>
      </c>
      <c r="J104" s="89">
        <f>D104+G104</f>
        <v>52246.1</v>
      </c>
      <c r="K104" s="90">
        <f t="shared" si="10"/>
        <v>47.49084199140102</v>
      </c>
    </row>
    <row r="105" spans="1:11" ht="30">
      <c r="A105" s="91" t="s">
        <v>295</v>
      </c>
      <c r="B105" s="87" t="s">
        <v>296</v>
      </c>
      <c r="C105" s="79">
        <v>20.2</v>
      </c>
      <c r="D105" s="79">
        <v>6.8</v>
      </c>
      <c r="E105" s="79">
        <f t="shared" si="11"/>
        <v>33.663366336633665</v>
      </c>
      <c r="F105" s="88"/>
      <c r="G105" s="88"/>
      <c r="H105" s="88"/>
      <c r="I105" s="89">
        <f>C105+F105</f>
        <v>20.2</v>
      </c>
      <c r="J105" s="89">
        <f>D105+G105</f>
        <v>6.8</v>
      </c>
      <c r="K105" s="90">
        <f t="shared" si="10"/>
        <v>33.663366336633665</v>
      </c>
    </row>
    <row r="106" spans="1:11" ht="39" customHeight="1">
      <c r="A106" s="99">
        <v>1200</v>
      </c>
      <c r="B106" s="82" t="s">
        <v>85</v>
      </c>
      <c r="C106" s="83">
        <f>C107</f>
        <v>4058.3</v>
      </c>
      <c r="D106" s="83">
        <f>D107</f>
        <v>4058.3</v>
      </c>
      <c r="E106" s="106">
        <f>D106/C106*100</f>
        <v>100</v>
      </c>
      <c r="F106" s="83">
        <f>F107</f>
        <v>0</v>
      </c>
      <c r="G106" s="83">
        <f>G107</f>
        <v>0</v>
      </c>
      <c r="H106" s="148"/>
      <c r="I106" s="83">
        <f aca="true" t="shared" si="12" ref="I106:J109">C106+F106</f>
        <v>4058.3</v>
      </c>
      <c r="J106" s="83">
        <f t="shared" si="12"/>
        <v>4058.3</v>
      </c>
      <c r="K106" s="93">
        <f t="shared" si="10"/>
        <v>100</v>
      </c>
    </row>
    <row r="107" spans="1:11" ht="15">
      <c r="A107" s="91" t="s">
        <v>114</v>
      </c>
      <c r="B107" s="87" t="s">
        <v>115</v>
      </c>
      <c r="C107" s="79">
        <v>4058.3</v>
      </c>
      <c r="D107" s="79">
        <v>4058.3</v>
      </c>
      <c r="E107" s="79">
        <f>D107/C107*100</f>
        <v>100</v>
      </c>
      <c r="F107" s="88">
        <v>0</v>
      </c>
      <c r="G107" s="88">
        <v>0</v>
      </c>
      <c r="H107" s="88">
        <v>0</v>
      </c>
      <c r="I107" s="89">
        <f t="shared" si="12"/>
        <v>4058.3</v>
      </c>
      <c r="J107" s="89">
        <f t="shared" si="12"/>
        <v>4058.3</v>
      </c>
      <c r="K107" s="90">
        <f>J107/I107*100</f>
        <v>100</v>
      </c>
    </row>
    <row r="108" spans="1:11" ht="13.5" customHeight="1">
      <c r="A108" s="99">
        <v>1300</v>
      </c>
      <c r="B108" s="82" t="s">
        <v>86</v>
      </c>
      <c r="C108" s="83">
        <f aca="true" t="shared" si="13" ref="C108:H108">C109</f>
        <v>370</v>
      </c>
      <c r="D108" s="83">
        <f t="shared" si="13"/>
        <v>106.7</v>
      </c>
      <c r="E108" s="83">
        <f t="shared" si="13"/>
        <v>28.83783783783784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370</v>
      </c>
      <c r="J108" s="83">
        <f t="shared" si="12"/>
        <v>106.7</v>
      </c>
      <c r="K108" s="93">
        <f t="shared" si="10"/>
        <v>28.83783783783784</v>
      </c>
    </row>
    <row r="109" spans="1:11" ht="30">
      <c r="A109" s="91">
        <v>1301</v>
      </c>
      <c r="B109" s="87" t="s">
        <v>87</v>
      </c>
      <c r="C109" s="79">
        <v>370</v>
      </c>
      <c r="D109" s="79">
        <v>106.7</v>
      </c>
      <c r="E109" s="79">
        <f t="shared" si="11"/>
        <v>28.83783783783784</v>
      </c>
      <c r="F109" s="88"/>
      <c r="G109" s="88">
        <v>0</v>
      </c>
      <c r="H109" s="88">
        <v>0</v>
      </c>
      <c r="I109" s="89">
        <f t="shared" si="12"/>
        <v>370</v>
      </c>
      <c r="J109" s="89">
        <f t="shared" si="12"/>
        <v>106.7</v>
      </c>
      <c r="K109" s="90">
        <f t="shared" si="10"/>
        <v>28.83783783783784</v>
      </c>
    </row>
    <row r="110" spans="1:11" ht="15" customHeight="1">
      <c r="A110" s="99">
        <v>1400</v>
      </c>
      <c r="B110" s="82" t="s">
        <v>64</v>
      </c>
      <c r="C110" s="83">
        <f>SUM(C111:C113)</f>
        <v>340462.4</v>
      </c>
      <c r="D110" s="83">
        <f>SUM(D111:D113)</f>
        <v>210333.09999999998</v>
      </c>
      <c r="E110" s="83">
        <f>D110/C110*100</f>
        <v>61.77865749639313</v>
      </c>
      <c r="F110" s="96">
        <f>F111+F112+F113</f>
        <v>0</v>
      </c>
      <c r="G110" s="96">
        <f>SUM(G111:G113)</f>
        <v>0</v>
      </c>
      <c r="H110" s="96"/>
      <c r="I110" s="96">
        <v>0</v>
      </c>
      <c r="J110" s="96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75201.8</v>
      </c>
      <c r="E111" s="79">
        <f t="shared" si="11"/>
        <v>60.000015957069095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184894.2</v>
      </c>
      <c r="D112" s="79">
        <v>114780</v>
      </c>
      <c r="E112" s="79">
        <f t="shared" si="11"/>
        <v>62.07874557449611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30231.9</v>
      </c>
      <c r="D113" s="79">
        <v>20351.3</v>
      </c>
      <c r="E113" s="79">
        <f t="shared" si="11"/>
        <v>67.31730390746198</v>
      </c>
      <c r="F113" s="88">
        <v>0</v>
      </c>
      <c r="G113" s="88">
        <v>0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37" t="s">
        <v>65</v>
      </c>
      <c r="B114" s="238"/>
      <c r="C114" s="102">
        <f>C9+C18+C20+C25+C47+C75+C83+C89+C91+C102+C106+C108+C110</f>
        <v>3856149.6999999997</v>
      </c>
      <c r="D114" s="102">
        <f>D9+D18+D20+D25+D47+D75+D83+D89+D91+D102+D106+D108+D110</f>
        <v>2101527.9</v>
      </c>
      <c r="E114" s="102">
        <f>D114/C114*100</f>
        <v>54.49808911723526</v>
      </c>
      <c r="F114" s="102">
        <f>F9+F18+F20+F25+F47+F75+F83+F89+F91+F102+F106+F108+F110</f>
        <v>594731.2</v>
      </c>
      <c r="G114" s="102">
        <f>G110+G108+G106+G91+G89+G83+G75+G47+G25+G21+G18+G9+G20+G102</f>
        <v>281183.3</v>
      </c>
      <c r="H114" s="103">
        <f>G114/F114*100</f>
        <v>47.27905648804031</v>
      </c>
      <c r="I114" s="102">
        <f>I110+I108+I106+I102+I91+I89+I83+I75+I47+I25+I20+I18+I9</f>
        <v>4006415.9</v>
      </c>
      <c r="J114" s="102">
        <f>J110+J108+J106+J102+J91+J89+J83+J75+J47+J25+J20+J18+J9</f>
        <v>2135455</v>
      </c>
      <c r="K114" s="104">
        <f t="shared" si="10"/>
        <v>53.300881718245975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9" t="s">
        <v>124</v>
      </c>
      <c r="B118" s="239"/>
      <c r="C118" s="239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9" t="s">
        <v>125</v>
      </c>
      <c r="B119" s="239"/>
      <c r="C119" s="239"/>
      <c r="D119" s="62"/>
      <c r="E119" s="240" t="s">
        <v>66</v>
      </c>
      <c r="F119" s="240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9" t="s">
        <v>323</v>
      </c>
      <c r="B121" s="239"/>
      <c r="C121" s="239"/>
      <c r="D121" s="69"/>
      <c r="E121" s="240" t="s">
        <v>324</v>
      </c>
      <c r="F121" s="240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9" t="s">
        <v>154</v>
      </c>
      <c r="B123" s="239"/>
      <c r="C123" s="239"/>
      <c r="D123" s="69"/>
      <c r="E123" s="255" t="s">
        <v>203</v>
      </c>
      <c r="F123" s="255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325</v>
      </c>
      <c r="D125" s="76" t="s">
        <v>157</v>
      </c>
      <c r="E125" s="78" t="s">
        <v>326</v>
      </c>
      <c r="F125" s="76"/>
    </row>
    <row r="127" spans="1:6" ht="12.75">
      <c r="A127" s="76"/>
      <c r="B127" s="76"/>
      <c r="C127" s="77"/>
      <c r="D127" s="76"/>
      <c r="E127" s="78"/>
      <c r="F127" s="76"/>
    </row>
  </sheetData>
  <sheetProtection/>
  <mergeCells count="35">
    <mergeCell ref="K20:K21"/>
    <mergeCell ref="A123:C123"/>
    <mergeCell ref="E123:F123"/>
    <mergeCell ref="I20:I21"/>
    <mergeCell ref="E20:E21"/>
    <mergeCell ref="A121:C121"/>
    <mergeCell ref="E121:F121"/>
    <mergeCell ref="A1:K1"/>
    <mergeCell ref="A3:A8"/>
    <mergeCell ref="B3:B5"/>
    <mergeCell ref="C3:E3"/>
    <mergeCell ref="F3:H3"/>
    <mergeCell ref="K4:K5"/>
    <mergeCell ref="B6:K8"/>
    <mergeCell ref="I3:K3"/>
    <mergeCell ref="C4:C5"/>
    <mergeCell ref="D4:D5"/>
    <mergeCell ref="A114:B114"/>
    <mergeCell ref="A118:C118"/>
    <mergeCell ref="A119:C119"/>
    <mergeCell ref="E119:F119"/>
    <mergeCell ref="H4:H5"/>
    <mergeCell ref="J20:J21"/>
    <mergeCell ref="G20:G21"/>
    <mergeCell ref="H20:H21"/>
    <mergeCell ref="F20:F21"/>
    <mergeCell ref="F4:F5"/>
    <mergeCell ref="J4:J5"/>
    <mergeCell ref="A20:A21"/>
    <mergeCell ref="B20:B21"/>
    <mergeCell ref="C20:C21"/>
    <mergeCell ref="D20:D21"/>
    <mergeCell ref="I4:I5"/>
    <mergeCell ref="G4:G5"/>
    <mergeCell ref="E4:E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2015-11-03T10:25:24Z</dcterms:modified>
  <cp:category/>
  <cp:version/>
  <cp:contentType/>
  <cp:contentStatus/>
</cp:coreProperties>
</file>