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050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<sst xmlns="http://schemas.openxmlformats.org/spreadsheetml/2006/main" count="685" uniqueCount="273">
  <si>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</si>
  <si>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</si>
  <si>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</si>
  <si>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</si>
  <si>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</si>
  <si>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</si>
  <si>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</si>
  <si>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</si>
  <si>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</si>
  <si>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</si>
  <si>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</si>
  <si>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</si>
  <si>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</si>
  <si>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</si>
  <si>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</si>
  <si>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</si>
  <si>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</si>
  <si>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</si>
  <si>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</si>
  <si>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</si>
  <si>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</si>
  <si>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</si>
  <si>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</si>
  <si>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</si>
  <si>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</si>
  <si>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</si>
  <si>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</si>
  <si>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</si>
  <si>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</si>
  <si>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</si>
  <si>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</si>
  <si>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</si>
  <si>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</si>
  <si>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</si>
  <si>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</si>
  <si>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</si>
  <si>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</si>
  <si>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</si>
  <si>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</si>
  <si>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</si>
  <si>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</si>
  <si>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</si>
  <si>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</si>
  <si>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</si>
  <si>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</si>
  <si>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</si>
  <si>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</si>
  <si>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</si>
  <si>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</si>
  <si>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</si>
  <si>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</si>
  <si>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</si>
  <si>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</si>
  <si>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</si>
  <si>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</si>
  <si>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</si>
  <si>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</si>
  <si>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</si>
  <si>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</si>
  <si>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</si>
  <si>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</si>
  <si>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</si>
  <si>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</si>
  <si>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</si>
  <si>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</si>
  <si>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</si>
  <si>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</si>
  <si>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</si>
  <si>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</si>
  <si>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</si>
  <si>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</si>
  <si>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</si>
  <si>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</si>
  <si>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</si>
  <si>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</si>
  <si>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</si>
  <si>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</si>
  <si>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</si>
  <si>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</si>
  <si>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</si>
  <si>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</si>
  <si>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Отчет об исполнении консолидированного бюджета Октябрьского района по состоянию на 01.02.2020</t>
  </si>
  <si>
    <t>Первонач. план на 2020 год</t>
  </si>
  <si>
    <t>Уточн. план на 2020 год</t>
  </si>
  <si>
    <t>План                 на 1 квартал 2020 года</t>
  </si>
  <si>
    <t>Исполнение на 01.02.2020</t>
  </si>
  <si>
    <t xml:space="preserve">% исп-ия к плану за 1 квартал 2020 года </t>
  </si>
  <si>
    <t xml:space="preserve">% исп-ия к уточн. плану на 2020 год </t>
  </si>
  <si>
    <t xml:space="preserve">% исп-ия к первонач. плану на 2020 год </t>
  </si>
  <si>
    <t>Отчет  об  исполнении  консолидированного  бюджета  района  по  расходам на 1 февраля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</si>
  <si>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</si>
  <si>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</si>
  <si>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</si>
  <si>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</si>
  <si>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</si>
  <si>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</si>
  <si>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01.02.2020</t>
  </si>
  <si>
    <t>% исполнения</t>
  </si>
  <si>
    <t>исполнения на 01.02.2020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</si>
  <si>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</si>
  <si>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</si>
  <si>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</si>
  <si>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</si>
  <si>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</si>
  <si>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</si>
  <si>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</si>
  <si>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</si>
  <si>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</si>
  <si>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</si>
  <si>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</si>
  <si>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</si>
  <si>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</si>
  <si>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</si>
  <si>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</si>
  <si>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</si>
  <si>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</si>
  <si>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</si>
  <si>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</si>
  <si>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</si>
  <si>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</si>
  <si>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</si>
  <si>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</si>
  <si>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</si>
  <si>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</si>
  <si>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</si>
  <si>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</si>
  <si>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</si>
  <si>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</si>
  <si>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</si>
  <si>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</si>
  <si>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</si>
  <si>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</si>
  <si>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</si>
  <si>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</si>
  <si>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</si>
  <si>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</si>
  <si>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</si>
  <si>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</si>
  <si>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</si>
  <si>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</si>
  <si>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</si>
  <si>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</si>
  <si>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</si>
  <si>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</si>
  <si>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"Реализация мероприятий в рамках дорожной деятельности" (011019999099)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</si>
  <si>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</si>
  <si>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</si>
  <si>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</si>
  <si>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</si>
  <si>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</si>
  <si>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</si>
  <si>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</si>
  <si>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</si>
  <si>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</si>
  <si>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0810199990,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</si>
  <si>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(082I482380, 081I882380,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</si>
  <si>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</si>
  <si>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</si>
  <si>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</si>
  <si>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</si>
  <si>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</si>
  <si>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</si>
  <si>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</si>
  <si>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</si>
  <si>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0910342110,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</si>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</sst>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#,##0.00_ ;\-#,##0.00\ "/>
  </numFmts>
  <fonts count="6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0" fillId="0" borderId="0" xfId="0" applyNumberFormat="1" applyFill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18" xfId="0" applyNumberFormat="1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8" fillId="33" borderId="0" xfId="53" applyNumberFormat="1" applyFont="1" applyFill="1" applyAlignment="1">
      <alignment horizontal="center" vertical="center" wrapText="1"/>
      <protection/>
    </xf>
    <xf numFmtId="179" fontId="28" fillId="33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33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33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1" fillId="0" borderId="13" xfId="0" applyNumberFormat="1" applyFont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179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33" borderId="13" xfId="0" applyNumberFormat="1" applyFont="1" applyFill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179" fontId="32" fillId="36" borderId="13" xfId="0" applyNumberFormat="1" applyFont="1" applyFill="1" applyBorder="1" applyAlignment="1">
      <alignment horizontal="center" vertical="center" wrapText="1"/>
    </xf>
    <xf numFmtId="179" fontId="59" fillId="33" borderId="13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59" fillId="36" borderId="13" xfId="0" applyNumberFormat="1" applyFont="1" applyFill="1" applyBorder="1" applyAlignment="1">
      <alignment horizontal="center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179" fontId="32" fillId="35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5" borderId="26" xfId="0" applyNumberFormat="1" applyFont="1" applyFill="1" applyBorder="1" applyAlignment="1">
      <alignment horizontal="center" vertical="center" wrapText="1"/>
    </xf>
    <xf numFmtId="0" fontId="30" fillId="37" borderId="13" xfId="53" applyNumberFormat="1" applyFont="1" applyFill="1" applyBorder="1" applyAlignment="1">
      <alignment horizontal="left" vertical="center" wrapText="1"/>
      <protection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2" fillId="35" borderId="13" xfId="0" applyNumberFormat="1" applyFont="1" applyFill="1" applyBorder="1" applyAlignment="1">
      <alignment horizontal="center" vertical="center" wrapText="1"/>
    </xf>
    <xf numFmtId="49" fontId="30" fillId="33" borderId="25" xfId="53" applyNumberFormat="1" applyFont="1" applyFill="1" applyBorder="1" applyAlignment="1" quotePrefix="1">
      <alignment horizontal="center" vertical="center" wrapText="1"/>
      <protection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2" fontId="32" fillId="0" borderId="26" xfId="0" applyNumberFormat="1" applyFont="1" applyFill="1" applyBorder="1" applyAlignment="1">
      <alignment horizontal="center" vertical="center" wrapText="1"/>
    </xf>
    <xf numFmtId="179" fontId="60" fillId="36" borderId="13" xfId="0" applyNumberFormat="1" applyFont="1" applyFill="1" applyBorder="1" applyAlignment="1">
      <alignment horizontal="center" vertical="center" wrapText="1"/>
    </xf>
    <xf numFmtId="179" fontId="32" fillId="38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3" xfId="0" applyNumberFormat="1" applyFont="1" applyFill="1" applyBorder="1" applyAlignment="1">
      <alignment horizontal="left" vertical="center" wrapText="1"/>
    </xf>
    <xf numFmtId="177" fontId="32" fillId="35" borderId="26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179" fontId="31" fillId="39" borderId="13" xfId="53" applyNumberFormat="1" applyFont="1" applyFill="1" applyBorder="1" applyAlignment="1">
      <alignment horizontal="center" vertical="center" wrapText="1"/>
      <protection/>
    </xf>
    <xf numFmtId="179" fontId="31" fillId="39" borderId="13" xfId="0" applyNumberFormat="1" applyFont="1" applyFill="1" applyBorder="1" applyAlignment="1">
      <alignment horizontal="center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179" fontId="32" fillId="34" borderId="26" xfId="53" applyNumberFormat="1" applyFont="1" applyFill="1" applyBorder="1" applyAlignment="1">
      <alignment horizontal="center" vertical="center" wrapText="1"/>
      <protection/>
    </xf>
    <xf numFmtId="0" fontId="38" fillId="6" borderId="27" xfId="53" applyNumberFormat="1" applyFont="1" applyFill="1" applyBorder="1" applyAlignment="1">
      <alignment horizontal="center" vertical="center" wrapText="1"/>
      <protection/>
    </xf>
    <xf numFmtId="0" fontId="38" fillId="6" borderId="28" xfId="53" applyNumberFormat="1" applyFont="1" applyFill="1" applyBorder="1" applyAlignment="1">
      <alignment horizontal="center" vertical="center" wrapText="1"/>
      <protection/>
    </xf>
    <xf numFmtId="179" fontId="32" fillId="40" borderId="28" xfId="53" applyNumberFormat="1" applyFont="1" applyFill="1" applyBorder="1" applyAlignment="1">
      <alignment horizontal="center" vertical="center" wrapText="1"/>
      <protection/>
    </xf>
    <xf numFmtId="179" fontId="32" fillId="40" borderId="28" xfId="0" applyNumberFormat="1" applyFont="1" applyFill="1" applyBorder="1" applyAlignment="1">
      <alignment horizontal="center" vertical="center" wrapText="1"/>
    </xf>
    <xf numFmtId="179" fontId="32" fillId="40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80" fontId="58" fillId="33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8" fillId="33" borderId="0" xfId="0" applyNumberFormat="1" applyFont="1" applyFill="1" applyBorder="1" applyAlignment="1">
      <alignment horizontal="center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28" fillId="33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9" fillId="33" borderId="0" xfId="0" applyNumberFormat="1" applyFont="1" applyFill="1" applyAlignment="1">
      <alignment horizontal="center" vertical="center" wrapText="1"/>
    </xf>
    <xf numFmtId="179" fontId="39" fillId="0" borderId="0" xfId="0" applyNumberFormat="1" applyFont="1" applyAlignment="1">
      <alignment horizontal="center" vertical="center" wrapText="1"/>
    </xf>
    <xf numFmtId="179" fontId="39" fillId="33" borderId="12" xfId="53" applyNumberFormat="1" applyFont="1" applyFill="1" applyBorder="1" applyAlignment="1">
      <alignment horizontal="center" vertical="center" wrapText="1"/>
      <protection/>
    </xf>
    <xf numFmtId="179" fontId="39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61" fillId="33" borderId="0" xfId="53" applyNumberFormat="1" applyFont="1" applyFill="1" applyBorder="1" applyAlignment="1">
      <alignment horizontal="center" vertical="center" wrapText="1"/>
      <protection/>
    </xf>
    <xf numFmtId="179" fontId="39" fillId="33" borderId="0" xfId="53" applyNumberFormat="1" applyFont="1" applyFill="1" applyBorder="1" applyAlignment="1">
      <alignment horizontal="center" vertical="center" wrapText="1"/>
      <protection/>
    </xf>
    <xf numFmtId="179" fontId="39" fillId="0" borderId="0" xfId="0" applyNumberFormat="1" applyFont="1" applyFill="1" applyBorder="1" applyAlignment="1">
      <alignment horizontal="left" vertical="center" wrapText="1"/>
    </xf>
    <xf numFmtId="179" fontId="39" fillId="33" borderId="0" xfId="0" applyNumberFormat="1" applyFont="1" applyFill="1" applyAlignment="1">
      <alignment horizontal="left" vertical="center" wrapText="1"/>
    </xf>
    <xf numFmtId="179" fontId="39" fillId="33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61" fillId="33" borderId="0" xfId="0" applyNumberFormat="1" applyFont="1" applyFill="1" applyBorder="1" applyAlignment="1">
      <alignment horizontal="center" vertical="center" wrapText="1"/>
    </xf>
    <xf numFmtId="179" fontId="39" fillId="33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9" fontId="61" fillId="33" borderId="0" xfId="0" applyNumberFormat="1" applyFont="1" applyFill="1" applyAlignment="1">
      <alignment horizontal="center" vertical="center" wrapText="1"/>
    </xf>
    <xf numFmtId="179" fontId="3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7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D248" sqref="D248:E248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1.125" style="1" customWidth="1"/>
    <col min="5" max="5" width="12.00390625" style="1" customWidth="1"/>
    <col min="6" max="6" width="10.125" style="1" customWidth="1"/>
    <col min="7" max="7" width="12.375" style="1" hidden="1" customWidth="1"/>
    <col min="8" max="8" width="13.375" style="1" hidden="1" customWidth="1"/>
    <col min="9" max="9" width="14.875" style="1" hidden="1" customWidth="1"/>
    <col min="10" max="10" width="15.375" style="1" hidden="1" customWidth="1" outlineLevel="1"/>
    <col min="11" max="11" width="12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8.25390625" style="1" customWidth="1"/>
    <col min="18" max="18" width="8.00390625" style="1" customWidth="1"/>
    <col min="19" max="16384" width="9.125" style="1" customWidth="1"/>
  </cols>
  <sheetData>
    <row r="1" spans="1:19" ht="12.75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3" ht="9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55"/>
      <c r="B3" s="55"/>
      <c r="C3" s="56"/>
      <c r="D3" s="56"/>
      <c r="E3" s="56"/>
      <c r="F3" s="56"/>
      <c r="G3" s="56"/>
      <c r="H3" s="56"/>
      <c r="I3" s="57"/>
      <c r="J3" s="57"/>
      <c r="K3" s="58" t="s">
        <v>69</v>
      </c>
      <c r="L3" s="57"/>
      <c r="M3" s="57"/>
    </row>
    <row r="4" spans="1:19" ht="12.75" customHeight="1">
      <c r="A4" s="59" t="s">
        <v>41</v>
      </c>
      <c r="B4" s="59"/>
      <c r="C4" s="60"/>
      <c r="D4" s="86" t="s">
        <v>82</v>
      </c>
      <c r="E4" s="86" t="s">
        <v>83</v>
      </c>
      <c r="F4" s="86" t="s">
        <v>84</v>
      </c>
      <c r="G4" s="92" t="s">
        <v>72</v>
      </c>
      <c r="H4" s="92" t="s">
        <v>73</v>
      </c>
      <c r="I4" s="92" t="s">
        <v>74</v>
      </c>
      <c r="J4" s="92" t="s">
        <v>75</v>
      </c>
      <c r="K4" s="86" t="s">
        <v>85</v>
      </c>
      <c r="L4" s="86" t="s">
        <v>76</v>
      </c>
      <c r="M4" s="86" t="s">
        <v>77</v>
      </c>
      <c r="N4" s="86" t="s">
        <v>78</v>
      </c>
      <c r="O4" s="86" t="s">
        <v>79</v>
      </c>
      <c r="P4" s="86" t="s">
        <v>80</v>
      </c>
      <c r="Q4" s="86" t="s">
        <v>86</v>
      </c>
      <c r="R4" s="86" t="s">
        <v>87</v>
      </c>
      <c r="S4" s="86" t="s">
        <v>88</v>
      </c>
    </row>
    <row r="5" spans="1:19" ht="27.75" customHeight="1">
      <c r="A5" s="61" t="s">
        <v>46</v>
      </c>
      <c r="B5" s="61"/>
      <c r="C5" s="62" t="s">
        <v>16</v>
      </c>
      <c r="D5" s="87"/>
      <c r="E5" s="87"/>
      <c r="F5" s="87"/>
      <c r="G5" s="93"/>
      <c r="H5" s="93"/>
      <c r="I5" s="93"/>
      <c r="J5" s="93"/>
      <c r="K5" s="87"/>
      <c r="L5" s="87"/>
      <c r="M5" s="87"/>
      <c r="N5" s="87"/>
      <c r="O5" s="87"/>
      <c r="P5" s="87"/>
      <c r="Q5" s="87"/>
      <c r="R5" s="87"/>
      <c r="S5" s="87"/>
    </row>
    <row r="6" spans="1:19" ht="39.75" customHeight="1">
      <c r="A6" s="61"/>
      <c r="B6" s="61"/>
      <c r="C6" s="62"/>
      <c r="D6" s="88"/>
      <c r="E6" s="88"/>
      <c r="F6" s="88"/>
      <c r="G6" s="94"/>
      <c r="H6" s="94"/>
      <c r="I6" s="94"/>
      <c r="J6" s="94"/>
      <c r="K6" s="88"/>
      <c r="L6" s="88"/>
      <c r="M6" s="88"/>
      <c r="N6" s="88"/>
      <c r="O6" s="88"/>
      <c r="P6" s="88"/>
      <c r="Q6" s="88"/>
      <c r="R6" s="88"/>
      <c r="S6" s="88"/>
    </row>
    <row r="7" spans="1:19" ht="12.75">
      <c r="A7" s="98" t="s">
        <v>24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12.75">
      <c r="A8" s="63" t="s">
        <v>3</v>
      </c>
      <c r="B8" s="63"/>
      <c r="C8" s="64" t="s">
        <v>68</v>
      </c>
      <c r="D8" s="36">
        <f aca="true" t="shared" si="0" ref="D8:J8">D9+D11+D12+D13+D15+D16+D18+D20+D14+D21+D17+D19+D10</f>
        <v>872879.4</v>
      </c>
      <c r="E8" s="36">
        <f t="shared" si="0"/>
        <v>872879.4</v>
      </c>
      <c r="F8" s="36">
        <f t="shared" si="0"/>
        <v>211084.49999999997</v>
      </c>
      <c r="G8" s="36">
        <f t="shared" si="0"/>
        <v>211084.49999999997</v>
      </c>
      <c r="H8" s="36">
        <f t="shared" si="0"/>
        <v>235253.69999999998</v>
      </c>
      <c r="I8" s="36">
        <f t="shared" si="0"/>
        <v>192543.1</v>
      </c>
      <c r="J8" s="36">
        <f t="shared" si="0"/>
        <v>233998.1</v>
      </c>
      <c r="K8" s="36">
        <f>K9+K11+K12+K13+K15+K16+K18+K20+K14+K21+K17+K19+K10</f>
        <v>69029.20000000001</v>
      </c>
      <c r="L8" s="36" t="e">
        <f>L9+L11+L12+L13+L15+L16+L18+L20+L14+L21+L17+L19</f>
        <v>#REF!</v>
      </c>
      <c r="M8" s="36">
        <f aca="true" t="shared" si="1" ref="M8:M21">K8/I8*100</f>
        <v>35.85129770944791</v>
      </c>
      <c r="N8" s="65"/>
      <c r="O8" s="65"/>
      <c r="P8" s="36">
        <f>K8*100/J8</f>
        <v>29.499897648741594</v>
      </c>
      <c r="Q8" s="36">
        <f>K8*100/F8</f>
        <v>32.7021642991314</v>
      </c>
      <c r="R8" s="24">
        <f>K8*100/E8</f>
        <v>7.908217332199615</v>
      </c>
      <c r="S8" s="24">
        <f>K8*100/D8</f>
        <v>7.908217332199615</v>
      </c>
    </row>
    <row r="9" spans="1:19" ht="12.75">
      <c r="A9" s="12" t="s">
        <v>23</v>
      </c>
      <c r="B9" s="12"/>
      <c r="C9" s="66" t="s">
        <v>22</v>
      </c>
      <c r="D9" s="51">
        <v>668277.3</v>
      </c>
      <c r="E9" s="51">
        <f>G9+H9+I9+J9</f>
        <v>668277.3</v>
      </c>
      <c r="F9" s="51">
        <f>G9</f>
        <v>167189.5</v>
      </c>
      <c r="G9" s="51">
        <v>167189.5</v>
      </c>
      <c r="H9" s="51">
        <v>177163</v>
      </c>
      <c r="I9" s="20">
        <v>144777.7</v>
      </c>
      <c r="J9" s="67">
        <v>179147.1</v>
      </c>
      <c r="K9" s="67">
        <v>56369.1</v>
      </c>
      <c r="L9" s="20" t="e">
        <f>K9/#REF!*100</f>
        <v>#REF!</v>
      </c>
      <c r="M9" s="20">
        <f t="shared" si="1"/>
        <v>38.93493265882798</v>
      </c>
      <c r="N9" s="48"/>
      <c r="O9" s="48"/>
      <c r="P9" s="20">
        <f aca="true" t="shared" si="2" ref="P9:P81">K9*100/J9</f>
        <v>31.465259554857433</v>
      </c>
      <c r="Q9" s="20">
        <f aca="true" t="shared" si="3" ref="Q9:Q78">K9*100/F9</f>
        <v>33.71569386833503</v>
      </c>
      <c r="R9" s="67">
        <f aca="true" t="shared" si="4" ref="R9:R78">K9*100/E9</f>
        <v>8.434986494378904</v>
      </c>
      <c r="S9" s="18">
        <f aca="true" t="shared" si="5" ref="S9:S72">K9*100/D9</f>
        <v>8.434986494378904</v>
      </c>
    </row>
    <row r="10" spans="1:19" ht="12.75">
      <c r="A10" s="12" t="s">
        <v>70</v>
      </c>
      <c r="B10" s="12"/>
      <c r="C10" s="28" t="s">
        <v>71</v>
      </c>
      <c r="D10" s="68">
        <v>5507.1</v>
      </c>
      <c r="E10" s="68">
        <f aca="true" t="shared" si="6" ref="E10:E26">G10+H10+I10+J10</f>
        <v>5507.1</v>
      </c>
      <c r="F10" s="51">
        <f aca="true" t="shared" si="7" ref="F10:F24">G10</f>
        <v>1375.8</v>
      </c>
      <c r="G10" s="68">
        <v>1375.8</v>
      </c>
      <c r="H10" s="68">
        <v>1376.1</v>
      </c>
      <c r="I10" s="17">
        <v>1376.1</v>
      </c>
      <c r="J10" s="18">
        <v>1379.1</v>
      </c>
      <c r="K10" s="18">
        <v>473.8</v>
      </c>
      <c r="L10" s="20"/>
      <c r="M10" s="20"/>
      <c r="N10" s="48"/>
      <c r="O10" s="48"/>
      <c r="P10" s="17"/>
      <c r="Q10" s="20">
        <f t="shared" si="3"/>
        <v>34.438145079226636</v>
      </c>
      <c r="R10" s="18">
        <f t="shared" si="4"/>
        <v>8.603439196673385</v>
      </c>
      <c r="S10" s="18">
        <f t="shared" si="5"/>
        <v>8.603439196673385</v>
      </c>
    </row>
    <row r="11" spans="1:19" ht="12.75">
      <c r="A11" s="12" t="s">
        <v>8</v>
      </c>
      <c r="B11" s="12"/>
      <c r="C11" s="28" t="s">
        <v>5</v>
      </c>
      <c r="D11" s="68">
        <v>44548</v>
      </c>
      <c r="E11" s="68">
        <f t="shared" si="6"/>
        <v>44548</v>
      </c>
      <c r="F11" s="51">
        <f t="shared" si="7"/>
        <v>7228</v>
      </c>
      <c r="G11" s="68">
        <v>7228</v>
      </c>
      <c r="H11" s="68">
        <v>17722</v>
      </c>
      <c r="I11" s="17">
        <v>9409.7</v>
      </c>
      <c r="J11" s="18">
        <v>10188.3</v>
      </c>
      <c r="K11" s="18">
        <v>3756.4</v>
      </c>
      <c r="L11" s="20" t="e">
        <f>K11/#REF!*100</f>
        <v>#REF!</v>
      </c>
      <c r="M11" s="20">
        <f t="shared" si="1"/>
        <v>39.92050756134627</v>
      </c>
      <c r="N11" s="48"/>
      <c r="O11" s="48"/>
      <c r="P11" s="17">
        <f t="shared" si="2"/>
        <v>36.86974274412807</v>
      </c>
      <c r="Q11" s="20">
        <f t="shared" si="3"/>
        <v>51.970116214720534</v>
      </c>
      <c r="R11" s="18">
        <f t="shared" si="4"/>
        <v>8.432252850857502</v>
      </c>
      <c r="S11" s="18">
        <f t="shared" si="5"/>
        <v>8.432252850857502</v>
      </c>
    </row>
    <row r="12" spans="1:19" ht="12.75">
      <c r="A12" s="12" t="s">
        <v>9</v>
      </c>
      <c r="B12" s="12"/>
      <c r="C12" s="28" t="s">
        <v>6</v>
      </c>
      <c r="D12" s="68">
        <v>8214</v>
      </c>
      <c r="E12" s="68">
        <f t="shared" si="6"/>
        <v>8214</v>
      </c>
      <c r="F12" s="51">
        <f t="shared" si="7"/>
        <v>1346.5</v>
      </c>
      <c r="G12" s="68">
        <v>1346.5</v>
      </c>
      <c r="H12" s="68">
        <v>1350</v>
      </c>
      <c r="I12" s="17">
        <v>1350</v>
      </c>
      <c r="J12" s="18">
        <v>4167.5</v>
      </c>
      <c r="K12" s="18">
        <v>1212.5</v>
      </c>
      <c r="L12" s="20" t="e">
        <f>K12/#REF!*100</f>
        <v>#REF!</v>
      </c>
      <c r="M12" s="20">
        <f t="shared" si="1"/>
        <v>89.81481481481481</v>
      </c>
      <c r="N12" s="48"/>
      <c r="O12" s="48"/>
      <c r="P12" s="17">
        <f t="shared" si="2"/>
        <v>29.094181163767246</v>
      </c>
      <c r="Q12" s="20">
        <f t="shared" si="3"/>
        <v>90.04827330115113</v>
      </c>
      <c r="R12" s="18">
        <f t="shared" si="4"/>
        <v>14.761383004626248</v>
      </c>
      <c r="S12" s="18">
        <f t="shared" si="5"/>
        <v>14.761383004626248</v>
      </c>
    </row>
    <row r="13" spans="1:19" ht="12.75">
      <c r="A13" s="12" t="s">
        <v>10</v>
      </c>
      <c r="B13" s="12"/>
      <c r="C13" s="28" t="s">
        <v>21</v>
      </c>
      <c r="D13" s="68">
        <v>3355</v>
      </c>
      <c r="E13" s="68">
        <f t="shared" si="6"/>
        <v>3355</v>
      </c>
      <c r="F13" s="51">
        <f t="shared" si="7"/>
        <v>830</v>
      </c>
      <c r="G13" s="68">
        <v>830</v>
      </c>
      <c r="H13" s="68">
        <v>840</v>
      </c>
      <c r="I13" s="17">
        <v>840</v>
      </c>
      <c r="J13" s="18">
        <v>845</v>
      </c>
      <c r="K13" s="18">
        <v>279.6</v>
      </c>
      <c r="L13" s="20" t="e">
        <f>K13/#REF!*100</f>
        <v>#REF!</v>
      </c>
      <c r="M13" s="20">
        <f t="shared" si="1"/>
        <v>33.28571428571429</v>
      </c>
      <c r="N13" s="48"/>
      <c r="O13" s="48"/>
      <c r="P13" s="17">
        <f t="shared" si="2"/>
        <v>33.08875739644971</v>
      </c>
      <c r="Q13" s="20">
        <f t="shared" si="3"/>
        <v>33.686746987951814</v>
      </c>
      <c r="R13" s="18">
        <f t="shared" si="4"/>
        <v>8.333830104321908</v>
      </c>
      <c r="S13" s="18">
        <f t="shared" si="5"/>
        <v>8.333830104321908</v>
      </c>
    </row>
    <row r="14" spans="1:19" ht="21.75" customHeight="1" hidden="1">
      <c r="A14" s="12" t="s">
        <v>37</v>
      </c>
      <c r="B14" s="12"/>
      <c r="C14" s="28" t="s">
        <v>38</v>
      </c>
      <c r="D14" s="68"/>
      <c r="E14" s="68">
        <f t="shared" si="6"/>
        <v>0</v>
      </c>
      <c r="F14" s="51">
        <f t="shared" si="7"/>
        <v>0</v>
      </c>
      <c r="G14" s="68"/>
      <c r="H14" s="68"/>
      <c r="I14" s="17"/>
      <c r="J14" s="18"/>
      <c r="K14" s="18"/>
      <c r="L14" s="20" t="e">
        <f>K14/#REF!*100</f>
        <v>#REF!</v>
      </c>
      <c r="M14" s="20"/>
      <c r="N14" s="48"/>
      <c r="O14" s="48"/>
      <c r="P14" s="17" t="e">
        <f t="shared" si="2"/>
        <v>#DIV/0!</v>
      </c>
      <c r="Q14" s="20"/>
      <c r="R14" s="18"/>
      <c r="S14" s="18" t="e">
        <f t="shared" si="5"/>
        <v>#DIV/0!</v>
      </c>
    </row>
    <row r="15" spans="1:19" ht="24">
      <c r="A15" s="13" t="s">
        <v>11</v>
      </c>
      <c r="B15" s="13"/>
      <c r="C15" s="28" t="s">
        <v>17</v>
      </c>
      <c r="D15" s="68">
        <v>104873.1</v>
      </c>
      <c r="E15" s="68">
        <f t="shared" si="6"/>
        <v>104873.1</v>
      </c>
      <c r="F15" s="51">
        <f t="shared" si="7"/>
        <v>25511</v>
      </c>
      <c r="G15" s="68">
        <v>25511</v>
      </c>
      <c r="H15" s="68">
        <v>26191.5</v>
      </c>
      <c r="I15" s="17">
        <v>26489</v>
      </c>
      <c r="J15" s="18">
        <v>26681.6</v>
      </c>
      <c r="K15" s="18">
        <v>1224.4</v>
      </c>
      <c r="L15" s="20" t="e">
        <f>K15/#REF!*100</f>
        <v>#REF!</v>
      </c>
      <c r="M15" s="20">
        <f t="shared" si="1"/>
        <v>4.622296047415909</v>
      </c>
      <c r="N15" s="48"/>
      <c r="O15" s="48"/>
      <c r="P15" s="17">
        <f t="shared" si="2"/>
        <v>4.588930199088511</v>
      </c>
      <c r="Q15" s="20">
        <f t="shared" si="3"/>
        <v>4.799498255654425</v>
      </c>
      <c r="R15" s="18">
        <f t="shared" si="4"/>
        <v>1.1675062527950448</v>
      </c>
      <c r="S15" s="18">
        <f t="shared" si="5"/>
        <v>1.1675062527950448</v>
      </c>
    </row>
    <row r="16" spans="1:19" ht="12.75">
      <c r="A16" s="29" t="s">
        <v>14</v>
      </c>
      <c r="B16" s="29"/>
      <c r="C16" s="28" t="s">
        <v>13</v>
      </c>
      <c r="D16" s="68">
        <v>9593.1</v>
      </c>
      <c r="E16" s="68">
        <f t="shared" si="6"/>
        <v>9593.1</v>
      </c>
      <c r="F16" s="51">
        <f t="shared" si="7"/>
        <v>2399.3</v>
      </c>
      <c r="G16" s="68">
        <v>2399.3</v>
      </c>
      <c r="H16" s="68">
        <v>2399.3</v>
      </c>
      <c r="I16" s="17">
        <v>2399.3</v>
      </c>
      <c r="J16" s="18">
        <v>2395.2</v>
      </c>
      <c r="K16" s="18">
        <v>103</v>
      </c>
      <c r="L16" s="20" t="e">
        <f>K16/#REF!*100</f>
        <v>#REF!</v>
      </c>
      <c r="M16" s="20">
        <f t="shared" si="1"/>
        <v>4.292918767973992</v>
      </c>
      <c r="N16" s="48"/>
      <c r="O16" s="48"/>
      <c r="P16" s="17">
        <f t="shared" si="2"/>
        <v>4.300267201068805</v>
      </c>
      <c r="Q16" s="20">
        <f t="shared" si="3"/>
        <v>4.292918767973992</v>
      </c>
      <c r="R16" s="18">
        <f t="shared" si="4"/>
        <v>1.0736883801899282</v>
      </c>
      <c r="S16" s="18">
        <f t="shared" si="5"/>
        <v>1.0736883801899282</v>
      </c>
    </row>
    <row r="17" spans="1:19" ht="24">
      <c r="A17" s="30" t="s">
        <v>42</v>
      </c>
      <c r="B17" s="30"/>
      <c r="C17" s="28" t="s">
        <v>43</v>
      </c>
      <c r="D17" s="68">
        <v>15967.8</v>
      </c>
      <c r="E17" s="68">
        <f t="shared" si="6"/>
        <v>15967.8</v>
      </c>
      <c r="F17" s="51">
        <f t="shared" si="7"/>
        <v>2717</v>
      </c>
      <c r="G17" s="68">
        <v>2717</v>
      </c>
      <c r="H17" s="68">
        <v>3527.4</v>
      </c>
      <c r="I17" s="17">
        <v>3213.9</v>
      </c>
      <c r="J17" s="18">
        <v>6509.5</v>
      </c>
      <c r="K17" s="18">
        <v>2679.8</v>
      </c>
      <c r="L17" s="20" t="e">
        <f>K17/#REF!*100</f>
        <v>#REF!</v>
      </c>
      <c r="M17" s="20">
        <f t="shared" si="1"/>
        <v>83.38156134291671</v>
      </c>
      <c r="N17" s="48"/>
      <c r="O17" s="48"/>
      <c r="P17" s="17">
        <f t="shared" si="2"/>
        <v>41.16752438743375</v>
      </c>
      <c r="Q17" s="20">
        <f t="shared" si="3"/>
        <v>98.63084284136916</v>
      </c>
      <c r="R17" s="18">
        <f t="shared" si="4"/>
        <v>16.782524831222837</v>
      </c>
      <c r="S17" s="18">
        <f t="shared" si="5"/>
        <v>16.782524831222837</v>
      </c>
    </row>
    <row r="18" spans="1:19" ht="24">
      <c r="A18" s="30" t="s">
        <v>18</v>
      </c>
      <c r="B18" s="30"/>
      <c r="C18" s="28" t="s">
        <v>15</v>
      </c>
      <c r="D18" s="68">
        <v>12538</v>
      </c>
      <c r="E18" s="68">
        <f t="shared" si="6"/>
        <v>12538</v>
      </c>
      <c r="F18" s="51">
        <f t="shared" si="7"/>
        <v>2484.4</v>
      </c>
      <c r="G18" s="68">
        <v>2484.4</v>
      </c>
      <c r="H18" s="68">
        <v>4684.4</v>
      </c>
      <c r="I18" s="17">
        <v>2684.4</v>
      </c>
      <c r="J18" s="18">
        <v>2684.8</v>
      </c>
      <c r="K18" s="18">
        <v>2254.3</v>
      </c>
      <c r="L18" s="20" t="e">
        <f>K18/#REF!*100</f>
        <v>#REF!</v>
      </c>
      <c r="M18" s="20">
        <f t="shared" si="1"/>
        <v>83.9777976456564</v>
      </c>
      <c r="N18" s="48"/>
      <c r="O18" s="48"/>
      <c r="P18" s="17">
        <f t="shared" si="2"/>
        <v>83.96528605482717</v>
      </c>
      <c r="Q18" s="20">
        <f t="shared" si="3"/>
        <v>90.73820640798584</v>
      </c>
      <c r="R18" s="18">
        <f t="shared" si="4"/>
        <v>17.97974158557984</v>
      </c>
      <c r="S18" s="18">
        <f t="shared" si="5"/>
        <v>17.97974158557984</v>
      </c>
    </row>
    <row r="19" spans="1:19" ht="12.75">
      <c r="A19" s="30" t="s">
        <v>60</v>
      </c>
      <c r="B19" s="30"/>
      <c r="C19" s="28" t="s">
        <v>61</v>
      </c>
      <c r="D19" s="68">
        <v>6</v>
      </c>
      <c r="E19" s="68">
        <f t="shared" si="6"/>
        <v>6</v>
      </c>
      <c r="F19" s="51">
        <f t="shared" si="7"/>
        <v>3</v>
      </c>
      <c r="G19" s="68">
        <v>3</v>
      </c>
      <c r="H19" s="68"/>
      <c r="I19" s="17">
        <v>3</v>
      </c>
      <c r="J19" s="18"/>
      <c r="K19" s="18">
        <v>0</v>
      </c>
      <c r="L19" s="20" t="e">
        <f>K19/#REF!*100</f>
        <v>#REF!</v>
      </c>
      <c r="M19" s="20">
        <f t="shared" si="1"/>
        <v>0</v>
      </c>
      <c r="N19" s="48"/>
      <c r="O19" s="48"/>
      <c r="P19" s="17" t="e">
        <f t="shared" si="2"/>
        <v>#DIV/0!</v>
      </c>
      <c r="Q19" s="20">
        <f t="shared" si="3"/>
        <v>0</v>
      </c>
      <c r="R19" s="18">
        <f t="shared" si="4"/>
        <v>0</v>
      </c>
      <c r="S19" s="18">
        <f t="shared" si="5"/>
        <v>0</v>
      </c>
    </row>
    <row r="20" spans="1:19" ht="12.75">
      <c r="A20" s="21" t="s">
        <v>12</v>
      </c>
      <c r="B20" s="21"/>
      <c r="C20" s="28" t="s">
        <v>7</v>
      </c>
      <c r="D20" s="68">
        <v>0</v>
      </c>
      <c r="E20" s="68">
        <f t="shared" si="6"/>
        <v>0</v>
      </c>
      <c r="F20" s="51">
        <f t="shared" si="7"/>
        <v>0</v>
      </c>
      <c r="G20" s="68"/>
      <c r="H20" s="68"/>
      <c r="I20" s="17"/>
      <c r="J20" s="18"/>
      <c r="K20" s="18">
        <v>672.5</v>
      </c>
      <c r="L20" s="20" t="e">
        <f>K20/#REF!*100</f>
        <v>#REF!</v>
      </c>
      <c r="M20" s="20" t="e">
        <f t="shared" si="1"/>
        <v>#DIV/0!</v>
      </c>
      <c r="N20" s="48"/>
      <c r="O20" s="48"/>
      <c r="P20" s="17" t="e">
        <f t="shared" si="2"/>
        <v>#DIV/0!</v>
      </c>
      <c r="Q20" s="20"/>
      <c r="R20" s="18"/>
      <c r="S20" s="18"/>
    </row>
    <row r="21" spans="1:19" ht="12.75">
      <c r="A21" s="31" t="s">
        <v>39</v>
      </c>
      <c r="B21" s="52"/>
      <c r="C21" s="16" t="s">
        <v>40</v>
      </c>
      <c r="D21" s="68">
        <v>0</v>
      </c>
      <c r="E21" s="68">
        <f t="shared" si="6"/>
        <v>0</v>
      </c>
      <c r="F21" s="51">
        <f t="shared" si="7"/>
        <v>0</v>
      </c>
      <c r="G21" s="68"/>
      <c r="H21" s="68"/>
      <c r="I21" s="17"/>
      <c r="J21" s="18"/>
      <c r="K21" s="18">
        <v>3.8</v>
      </c>
      <c r="L21" s="20"/>
      <c r="M21" s="20" t="e">
        <f t="shared" si="1"/>
        <v>#DIV/0!</v>
      </c>
      <c r="N21" s="48"/>
      <c r="O21" s="48"/>
      <c r="P21" s="17" t="e">
        <f t="shared" si="2"/>
        <v>#DIV/0!</v>
      </c>
      <c r="Q21" s="20"/>
      <c r="R21" s="18"/>
      <c r="S21" s="18"/>
    </row>
    <row r="22" spans="1:19" ht="12.75">
      <c r="A22" s="25" t="s">
        <v>1</v>
      </c>
      <c r="B22" s="25"/>
      <c r="C22" s="32" t="s">
        <v>0</v>
      </c>
      <c r="D22" s="33">
        <f aca="true" t="shared" si="8" ref="D22:J22">D23+D24+D26+D25</f>
        <v>3321098.9</v>
      </c>
      <c r="E22" s="33">
        <f>E23+E24+E26+E25</f>
        <v>3341900.5</v>
      </c>
      <c r="F22" s="33">
        <f t="shared" si="8"/>
        <v>792331.8</v>
      </c>
      <c r="G22" s="33">
        <f t="shared" si="8"/>
        <v>792331.8</v>
      </c>
      <c r="H22" s="33">
        <f t="shared" si="8"/>
        <v>978325.4</v>
      </c>
      <c r="I22" s="33">
        <f t="shared" si="8"/>
        <v>785958.1</v>
      </c>
      <c r="J22" s="33">
        <f t="shared" si="8"/>
        <v>785285.2</v>
      </c>
      <c r="K22" s="33">
        <f>K23+K24+K26+K25</f>
        <v>190091.5</v>
      </c>
      <c r="L22" s="27" t="e">
        <f>K22/#REF!*100</f>
        <v>#REF!</v>
      </c>
      <c r="M22" s="27">
        <f aca="true" t="shared" si="9" ref="M22:M27">K22/I22*100</f>
        <v>24.18595851356453</v>
      </c>
      <c r="N22" s="48"/>
      <c r="O22" s="48"/>
      <c r="P22" s="36">
        <f t="shared" si="2"/>
        <v>24.206683126079547</v>
      </c>
      <c r="Q22" s="27">
        <f t="shared" si="3"/>
        <v>23.99140107717499</v>
      </c>
      <c r="R22" s="24">
        <f t="shared" si="4"/>
        <v>5.68812566382512</v>
      </c>
      <c r="S22" s="24">
        <f t="shared" si="5"/>
        <v>5.723753062578172</v>
      </c>
    </row>
    <row r="23" spans="1:19" ht="24">
      <c r="A23" s="14" t="s">
        <v>67</v>
      </c>
      <c r="B23" s="12"/>
      <c r="C23" s="34" t="s">
        <v>20</v>
      </c>
      <c r="D23" s="37">
        <v>3321098.9</v>
      </c>
      <c r="E23" s="68">
        <f t="shared" si="6"/>
        <v>3341900.5</v>
      </c>
      <c r="F23" s="51">
        <f t="shared" si="7"/>
        <v>792331.8</v>
      </c>
      <c r="G23" s="68">
        <v>792331.8</v>
      </c>
      <c r="H23" s="68">
        <v>978325.4</v>
      </c>
      <c r="I23" s="18">
        <v>785958.1</v>
      </c>
      <c r="J23" s="18">
        <v>785285.2</v>
      </c>
      <c r="K23" s="18">
        <v>193937.2</v>
      </c>
      <c r="L23" s="20" t="e">
        <f>K23/#REF!*100</f>
        <v>#REF!</v>
      </c>
      <c r="M23" s="20">
        <f t="shared" si="9"/>
        <v>24.675259406322045</v>
      </c>
      <c r="N23" s="48"/>
      <c r="O23" s="48"/>
      <c r="P23" s="17">
        <f t="shared" si="2"/>
        <v>24.69640329398797</v>
      </c>
      <c r="Q23" s="20">
        <f t="shared" si="3"/>
        <v>24.476765920539854</v>
      </c>
      <c r="R23" s="18">
        <f t="shared" si="4"/>
        <v>5.803200903198644</v>
      </c>
      <c r="S23" s="18">
        <f t="shared" si="5"/>
        <v>5.83954907214597</v>
      </c>
    </row>
    <row r="24" spans="1:19" ht="13.5" customHeight="1" hidden="1">
      <c r="A24" s="14" t="s">
        <v>2</v>
      </c>
      <c r="B24" s="14"/>
      <c r="C24" s="35" t="s">
        <v>19</v>
      </c>
      <c r="D24" s="69">
        <v>0</v>
      </c>
      <c r="E24" s="68">
        <f t="shared" si="6"/>
        <v>0</v>
      </c>
      <c r="F24" s="51">
        <f t="shared" si="7"/>
        <v>0</v>
      </c>
      <c r="G24" s="69"/>
      <c r="H24" s="69"/>
      <c r="I24" s="18"/>
      <c r="J24" s="18"/>
      <c r="K24" s="18"/>
      <c r="L24" s="20" t="e">
        <f>K24/#REF!*100</f>
        <v>#REF!</v>
      </c>
      <c r="M24" s="20" t="e">
        <f t="shared" si="9"/>
        <v>#DIV/0!</v>
      </c>
      <c r="N24" s="48"/>
      <c r="O24" s="48"/>
      <c r="P24" s="17" t="e">
        <f t="shared" si="2"/>
        <v>#DIV/0!</v>
      </c>
      <c r="Q24" s="20"/>
      <c r="R24" s="18"/>
      <c r="S24" s="18"/>
    </row>
    <row r="25" spans="1:19" ht="40.5" customHeight="1" hidden="1">
      <c r="A25" s="14" t="s">
        <v>65</v>
      </c>
      <c r="B25" s="15" t="s">
        <v>64</v>
      </c>
      <c r="C25" s="16" t="s">
        <v>64</v>
      </c>
      <c r="D25" s="68">
        <v>0</v>
      </c>
      <c r="E25" s="68">
        <f t="shared" si="6"/>
        <v>0</v>
      </c>
      <c r="F25" s="51"/>
      <c r="G25" s="68"/>
      <c r="H25" s="68"/>
      <c r="I25" s="18"/>
      <c r="J25" s="18"/>
      <c r="K25" s="18"/>
      <c r="L25" s="20" t="e">
        <f>K25/#REF!*100</f>
        <v>#REF!</v>
      </c>
      <c r="M25" s="20"/>
      <c r="N25" s="48"/>
      <c r="O25" s="48"/>
      <c r="P25" s="17" t="e">
        <f t="shared" si="2"/>
        <v>#DIV/0!</v>
      </c>
      <c r="Q25" s="20" t="e">
        <f>K25*100/F25</f>
        <v>#DIV/0!</v>
      </c>
      <c r="R25" s="18" t="e">
        <f>K25*100/E25</f>
        <v>#DIV/0!</v>
      </c>
      <c r="S25" s="18"/>
    </row>
    <row r="26" spans="1:19" ht="39" customHeight="1">
      <c r="A26" s="14" t="s">
        <v>66</v>
      </c>
      <c r="B26" s="70"/>
      <c r="C26" s="19" t="s">
        <v>63</v>
      </c>
      <c r="D26" s="71">
        <v>0</v>
      </c>
      <c r="E26" s="68">
        <f t="shared" si="6"/>
        <v>0</v>
      </c>
      <c r="F26" s="51"/>
      <c r="G26" s="71"/>
      <c r="H26" s="71"/>
      <c r="I26" s="18"/>
      <c r="J26" s="18"/>
      <c r="K26" s="18">
        <v>-3845.7</v>
      </c>
      <c r="L26" s="20" t="e">
        <f>K26/#REF!*100</f>
        <v>#REF!</v>
      </c>
      <c r="M26" s="20"/>
      <c r="N26" s="48"/>
      <c r="O26" s="48"/>
      <c r="P26" s="17" t="e">
        <f t="shared" si="2"/>
        <v>#DIV/0!</v>
      </c>
      <c r="Q26" s="20"/>
      <c r="R26" s="18"/>
      <c r="S26" s="18"/>
    </row>
    <row r="27" spans="1:19" ht="12.75">
      <c r="A27" s="21"/>
      <c r="B27" s="22"/>
      <c r="C27" s="23" t="s">
        <v>4</v>
      </c>
      <c r="D27" s="24">
        <f aca="true" t="shared" si="10" ref="D27:K27">D22+D8</f>
        <v>4193978.3</v>
      </c>
      <c r="E27" s="24">
        <f t="shared" si="10"/>
        <v>4214779.9</v>
      </c>
      <c r="F27" s="24">
        <f t="shared" si="10"/>
        <v>1003416.3</v>
      </c>
      <c r="G27" s="24">
        <f t="shared" si="10"/>
        <v>1003416.3</v>
      </c>
      <c r="H27" s="24">
        <f t="shared" si="10"/>
        <v>1213579.1</v>
      </c>
      <c r="I27" s="24">
        <f t="shared" si="10"/>
        <v>978501.2</v>
      </c>
      <c r="J27" s="24">
        <f t="shared" si="10"/>
        <v>1019283.2999999999</v>
      </c>
      <c r="K27" s="24">
        <f t="shared" si="10"/>
        <v>259120.7</v>
      </c>
      <c r="L27" s="27" t="e">
        <f>K27/#REF!*100</f>
        <v>#REF!</v>
      </c>
      <c r="M27" s="27">
        <f t="shared" si="9"/>
        <v>26.4813880657479</v>
      </c>
      <c r="N27" s="48"/>
      <c r="O27" s="49" t="e">
        <f>J27+#REF!+#REF!</f>
        <v>#REF!</v>
      </c>
      <c r="P27" s="36">
        <f t="shared" si="2"/>
        <v>25.42185278616848</v>
      </c>
      <c r="Q27" s="27">
        <f t="shared" si="3"/>
        <v>25.823847988118192</v>
      </c>
      <c r="R27" s="24">
        <f t="shared" si="4"/>
        <v>6.147905849128681</v>
      </c>
      <c r="S27" s="24">
        <f t="shared" si="5"/>
        <v>6.178398681748067</v>
      </c>
    </row>
    <row r="28" spans="1:19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48"/>
      <c r="O28" s="48"/>
      <c r="P28" s="47"/>
      <c r="Q28" s="27"/>
      <c r="R28" s="24"/>
      <c r="S28" s="18"/>
    </row>
    <row r="29" spans="1:19" ht="12.75">
      <c r="A29" s="98" t="s">
        <v>25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</row>
    <row r="30" spans="1:19" ht="12.75">
      <c r="A30" s="25" t="s">
        <v>3</v>
      </c>
      <c r="B30" s="25"/>
      <c r="C30" s="26" t="s">
        <v>68</v>
      </c>
      <c r="D30" s="27">
        <f aca="true" t="shared" si="11" ref="D30:J30">D31+D33+D35+D37+D34+D36+D39+D32</f>
        <v>18956.600000000002</v>
      </c>
      <c r="E30" s="27">
        <f t="shared" si="11"/>
        <v>18956.600000000002</v>
      </c>
      <c r="F30" s="27">
        <f t="shared" si="11"/>
        <v>4739.099999999999</v>
      </c>
      <c r="G30" s="27">
        <f t="shared" si="11"/>
        <v>4739.099999999999</v>
      </c>
      <c r="H30" s="27">
        <f t="shared" si="11"/>
        <v>4739.2</v>
      </c>
      <c r="I30" s="27">
        <f t="shared" si="11"/>
        <v>4739.099999999999</v>
      </c>
      <c r="J30" s="27">
        <f t="shared" si="11"/>
        <v>4739.2</v>
      </c>
      <c r="K30" s="27">
        <f>K31+K33+K35+K37+K34+K36+K39+K32+K38</f>
        <v>1955.7000000000003</v>
      </c>
      <c r="L30" s="27" t="e">
        <f>K30/#REF!*100</f>
        <v>#REF!</v>
      </c>
      <c r="M30" s="27">
        <f aca="true" t="shared" si="12" ref="M30:M37">K30/I30*100</f>
        <v>41.26732923972907</v>
      </c>
      <c r="N30" s="48"/>
      <c r="O30" s="48"/>
      <c r="P30" s="27">
        <f t="shared" si="2"/>
        <v>41.26645847400406</v>
      </c>
      <c r="Q30" s="27">
        <f t="shared" si="3"/>
        <v>41.26732923972907</v>
      </c>
      <c r="R30" s="24">
        <f t="shared" si="4"/>
        <v>10.316723463068271</v>
      </c>
      <c r="S30" s="24">
        <f t="shared" si="5"/>
        <v>10.316723463068271</v>
      </c>
    </row>
    <row r="31" spans="1:19" ht="12.75">
      <c r="A31" s="12" t="s">
        <v>23</v>
      </c>
      <c r="B31" s="12"/>
      <c r="C31" s="66" t="s">
        <v>22</v>
      </c>
      <c r="D31" s="51">
        <v>14500</v>
      </c>
      <c r="E31" s="68">
        <f aca="true" t="shared" si="13" ref="E31:E37">G31+H31+I31+J31</f>
        <v>14500</v>
      </c>
      <c r="F31" s="51">
        <f aca="true" t="shared" si="14" ref="F31:F42">G31</f>
        <v>3625</v>
      </c>
      <c r="G31" s="51">
        <v>3625</v>
      </c>
      <c r="H31" s="51">
        <v>3625</v>
      </c>
      <c r="I31" s="17">
        <v>3625</v>
      </c>
      <c r="J31" s="18">
        <v>3625</v>
      </c>
      <c r="K31" s="67">
        <v>1298.4</v>
      </c>
      <c r="L31" s="20" t="e">
        <f>K31/#REF!*100</f>
        <v>#REF!</v>
      </c>
      <c r="M31" s="20">
        <f t="shared" si="12"/>
        <v>35.81793103448276</v>
      </c>
      <c r="N31" s="48"/>
      <c r="O31" s="48"/>
      <c r="P31" s="17">
        <f t="shared" si="2"/>
        <v>35.81793103448276</v>
      </c>
      <c r="Q31" s="20">
        <f>K31*100/F31</f>
        <v>35.81793103448276</v>
      </c>
      <c r="R31" s="18">
        <f t="shared" si="4"/>
        <v>8.95448275862069</v>
      </c>
      <c r="S31" s="18">
        <f t="shared" si="5"/>
        <v>8.95448275862069</v>
      </c>
    </row>
    <row r="32" spans="1:19" ht="12.75">
      <c r="A32" s="12" t="s">
        <v>70</v>
      </c>
      <c r="B32" s="12"/>
      <c r="C32" s="28" t="s">
        <v>71</v>
      </c>
      <c r="D32" s="68">
        <v>1652.9</v>
      </c>
      <c r="E32" s="68">
        <f t="shared" si="13"/>
        <v>1652.9</v>
      </c>
      <c r="F32" s="51">
        <f t="shared" si="14"/>
        <v>413.2</v>
      </c>
      <c r="G32" s="51">
        <v>413.2</v>
      </c>
      <c r="H32" s="51">
        <v>413.3</v>
      </c>
      <c r="I32" s="17">
        <v>413.2</v>
      </c>
      <c r="J32" s="18">
        <v>413.2</v>
      </c>
      <c r="K32" s="67">
        <v>142.2</v>
      </c>
      <c r="L32" s="20"/>
      <c r="M32" s="20"/>
      <c r="N32" s="48"/>
      <c r="O32" s="48"/>
      <c r="P32" s="17"/>
      <c r="Q32" s="20">
        <f>K32*100/F32</f>
        <v>34.41432720232333</v>
      </c>
      <c r="R32" s="18">
        <f>K32*100/E32</f>
        <v>8.60306128622421</v>
      </c>
      <c r="S32" s="18">
        <f t="shared" si="5"/>
        <v>8.60306128622421</v>
      </c>
    </row>
    <row r="33" spans="1:19" ht="12.75">
      <c r="A33" s="12" t="s">
        <v>9</v>
      </c>
      <c r="B33" s="12"/>
      <c r="C33" s="28" t="s">
        <v>6</v>
      </c>
      <c r="D33" s="68">
        <v>956.5</v>
      </c>
      <c r="E33" s="68">
        <f t="shared" si="13"/>
        <v>956.5</v>
      </c>
      <c r="F33" s="51">
        <f t="shared" si="14"/>
        <v>239.1</v>
      </c>
      <c r="G33" s="68">
        <v>239.1</v>
      </c>
      <c r="H33" s="68">
        <v>239.1</v>
      </c>
      <c r="I33" s="17">
        <v>239.1</v>
      </c>
      <c r="J33" s="18">
        <v>239.2</v>
      </c>
      <c r="K33" s="18">
        <v>189.9</v>
      </c>
      <c r="L33" s="20" t="e">
        <f>K33/#REF!*100</f>
        <v>#REF!</v>
      </c>
      <c r="M33" s="20">
        <f t="shared" si="12"/>
        <v>79.4228356336261</v>
      </c>
      <c r="N33" s="48"/>
      <c r="O33" s="48"/>
      <c r="P33" s="17">
        <f t="shared" si="2"/>
        <v>79.38963210702342</v>
      </c>
      <c r="Q33" s="20">
        <f t="shared" si="3"/>
        <v>79.4228356336261</v>
      </c>
      <c r="R33" s="18">
        <f t="shared" si="4"/>
        <v>19.85363303711448</v>
      </c>
      <c r="S33" s="18">
        <f t="shared" si="5"/>
        <v>19.85363303711448</v>
      </c>
    </row>
    <row r="34" spans="1:19" ht="12.75">
      <c r="A34" s="12" t="s">
        <v>10</v>
      </c>
      <c r="B34" s="12"/>
      <c r="C34" s="28" t="s">
        <v>21</v>
      </c>
      <c r="D34" s="68">
        <v>12</v>
      </c>
      <c r="E34" s="68">
        <f t="shared" si="13"/>
        <v>12</v>
      </c>
      <c r="F34" s="51">
        <f t="shared" si="14"/>
        <v>3</v>
      </c>
      <c r="G34" s="68">
        <v>3</v>
      </c>
      <c r="H34" s="68">
        <v>3</v>
      </c>
      <c r="I34" s="17">
        <v>3</v>
      </c>
      <c r="J34" s="18">
        <v>3</v>
      </c>
      <c r="K34" s="18">
        <v>0.2</v>
      </c>
      <c r="L34" s="20" t="e">
        <f>K34/#REF!*100</f>
        <v>#REF!</v>
      </c>
      <c r="M34" s="20">
        <f t="shared" si="12"/>
        <v>6.666666666666667</v>
      </c>
      <c r="N34" s="48"/>
      <c r="O34" s="48"/>
      <c r="P34" s="17">
        <f t="shared" si="2"/>
        <v>6.666666666666667</v>
      </c>
      <c r="Q34" s="20">
        <f t="shared" si="3"/>
        <v>6.666666666666667</v>
      </c>
      <c r="R34" s="18">
        <f t="shared" si="4"/>
        <v>1.6666666666666667</v>
      </c>
      <c r="S34" s="18">
        <f t="shared" si="5"/>
        <v>1.6666666666666667</v>
      </c>
    </row>
    <row r="35" spans="1:19" ht="24">
      <c r="A35" s="13" t="s">
        <v>11</v>
      </c>
      <c r="B35" s="13"/>
      <c r="C35" s="28" t="s">
        <v>17</v>
      </c>
      <c r="D35" s="68">
        <v>1735.2</v>
      </c>
      <c r="E35" s="68">
        <f t="shared" si="13"/>
        <v>1735.2</v>
      </c>
      <c r="F35" s="51">
        <f t="shared" si="14"/>
        <v>433.8</v>
      </c>
      <c r="G35" s="68">
        <v>433.8</v>
      </c>
      <c r="H35" s="68">
        <v>433.8</v>
      </c>
      <c r="I35" s="17">
        <v>433.8</v>
      </c>
      <c r="J35" s="18">
        <v>433.8</v>
      </c>
      <c r="K35" s="18">
        <v>46.5</v>
      </c>
      <c r="L35" s="20" t="e">
        <f>K35/#REF!*100</f>
        <v>#REF!</v>
      </c>
      <c r="M35" s="20">
        <f t="shared" si="12"/>
        <v>10.719225449515905</v>
      </c>
      <c r="N35" s="48"/>
      <c r="O35" s="48"/>
      <c r="P35" s="17">
        <f t="shared" si="2"/>
        <v>10.719225449515905</v>
      </c>
      <c r="Q35" s="20">
        <f t="shared" si="3"/>
        <v>10.719225449515905</v>
      </c>
      <c r="R35" s="18">
        <f t="shared" si="4"/>
        <v>2.6798063623789763</v>
      </c>
      <c r="S35" s="18">
        <f t="shared" si="5"/>
        <v>2.6798063623789763</v>
      </c>
    </row>
    <row r="36" spans="1:19" ht="15" customHeight="1">
      <c r="A36" s="30" t="s">
        <v>42</v>
      </c>
      <c r="B36" s="30"/>
      <c r="C36" s="28" t="s">
        <v>43</v>
      </c>
      <c r="D36" s="68"/>
      <c r="E36" s="68">
        <f t="shared" si="13"/>
        <v>0</v>
      </c>
      <c r="F36" s="51">
        <f t="shared" si="14"/>
        <v>0</v>
      </c>
      <c r="G36" s="68"/>
      <c r="H36" s="68"/>
      <c r="I36" s="17"/>
      <c r="J36" s="18"/>
      <c r="K36" s="18">
        <v>275</v>
      </c>
      <c r="L36" s="20"/>
      <c r="M36" s="20" t="e">
        <f t="shared" si="12"/>
        <v>#DIV/0!</v>
      </c>
      <c r="N36" s="48"/>
      <c r="O36" s="48"/>
      <c r="P36" s="17" t="e">
        <f t="shared" si="2"/>
        <v>#DIV/0!</v>
      </c>
      <c r="Q36" s="20"/>
      <c r="R36" s="18"/>
      <c r="S36" s="18"/>
    </row>
    <row r="37" spans="1:19" ht="13.5" customHeight="1">
      <c r="A37" s="29" t="s">
        <v>18</v>
      </c>
      <c r="B37" s="29"/>
      <c r="C37" s="28" t="s">
        <v>15</v>
      </c>
      <c r="D37" s="68">
        <v>100</v>
      </c>
      <c r="E37" s="68">
        <f t="shared" si="13"/>
        <v>100</v>
      </c>
      <c r="F37" s="51">
        <f t="shared" si="14"/>
        <v>25</v>
      </c>
      <c r="G37" s="68">
        <v>25</v>
      </c>
      <c r="H37" s="68">
        <v>25</v>
      </c>
      <c r="I37" s="17">
        <v>25</v>
      </c>
      <c r="J37" s="18">
        <v>25</v>
      </c>
      <c r="K37" s="18">
        <v>3.5</v>
      </c>
      <c r="L37" s="20" t="e">
        <f>K37/#REF!*100</f>
        <v>#REF!</v>
      </c>
      <c r="M37" s="20">
        <f t="shared" si="12"/>
        <v>14.000000000000002</v>
      </c>
      <c r="N37" s="48"/>
      <c r="O37" s="48"/>
      <c r="P37" s="17">
        <f t="shared" si="2"/>
        <v>14</v>
      </c>
      <c r="Q37" s="20">
        <f t="shared" si="3"/>
        <v>14</v>
      </c>
      <c r="R37" s="18">
        <f t="shared" si="4"/>
        <v>3.5</v>
      </c>
      <c r="S37" s="18">
        <f t="shared" si="5"/>
        <v>3.5</v>
      </c>
    </row>
    <row r="38" spans="1:19" ht="14.25" customHeight="1" hidden="1">
      <c r="A38" s="21" t="s">
        <v>12</v>
      </c>
      <c r="B38" s="54"/>
      <c r="C38" s="28" t="s">
        <v>7</v>
      </c>
      <c r="D38" s="72"/>
      <c r="E38" s="68"/>
      <c r="F38" s="51">
        <f t="shared" si="14"/>
        <v>0</v>
      </c>
      <c r="G38" s="68"/>
      <c r="H38" s="68"/>
      <c r="I38" s="17"/>
      <c r="J38" s="18"/>
      <c r="K38" s="18"/>
      <c r="L38" s="20"/>
      <c r="M38" s="20"/>
      <c r="N38" s="48"/>
      <c r="O38" s="48"/>
      <c r="P38" s="17"/>
      <c r="Q38" s="20"/>
      <c r="R38" s="18"/>
      <c r="S38" s="18"/>
    </row>
    <row r="39" spans="1:19" ht="15.75" customHeight="1">
      <c r="A39" s="31" t="s">
        <v>39</v>
      </c>
      <c r="B39" s="52"/>
      <c r="C39" s="16" t="s">
        <v>40</v>
      </c>
      <c r="D39" s="72"/>
      <c r="E39" s="28"/>
      <c r="F39" s="51">
        <f t="shared" si="14"/>
        <v>0</v>
      </c>
      <c r="G39" s="68"/>
      <c r="H39" s="68"/>
      <c r="I39" s="17"/>
      <c r="J39" s="18"/>
      <c r="K39" s="18"/>
      <c r="L39" s="20"/>
      <c r="M39" s="20"/>
      <c r="N39" s="48"/>
      <c r="O39" s="48"/>
      <c r="P39" s="17" t="e">
        <f t="shared" si="2"/>
        <v>#DIV/0!</v>
      </c>
      <c r="Q39" s="27"/>
      <c r="R39" s="24"/>
      <c r="S39" s="18"/>
    </row>
    <row r="40" spans="1:19" ht="12.75">
      <c r="A40" s="25" t="s">
        <v>1</v>
      </c>
      <c r="B40" s="25"/>
      <c r="C40" s="32" t="s">
        <v>0</v>
      </c>
      <c r="D40" s="33">
        <f>D41+D42</f>
        <v>13568.4</v>
      </c>
      <c r="E40" s="33">
        <f>E41+E42</f>
        <v>13568.4</v>
      </c>
      <c r="F40" s="33">
        <f aca="true" t="shared" si="15" ref="F40:K40">F41+F42</f>
        <v>3392.1</v>
      </c>
      <c r="G40" s="33">
        <f t="shared" si="15"/>
        <v>3392.1</v>
      </c>
      <c r="H40" s="33">
        <f t="shared" si="15"/>
        <v>3392.1</v>
      </c>
      <c r="I40" s="33">
        <f t="shared" si="15"/>
        <v>3392.1</v>
      </c>
      <c r="J40" s="33">
        <f t="shared" si="15"/>
        <v>3392.1</v>
      </c>
      <c r="K40" s="33">
        <f t="shared" si="15"/>
        <v>883.4</v>
      </c>
      <c r="L40" s="33" t="e">
        <f>L41</f>
        <v>#REF!</v>
      </c>
      <c r="M40" s="27">
        <f>K40/I40*100</f>
        <v>26.042864302349578</v>
      </c>
      <c r="N40" s="48"/>
      <c r="O40" s="48"/>
      <c r="P40" s="36">
        <f t="shared" si="2"/>
        <v>26.042864302349578</v>
      </c>
      <c r="Q40" s="27">
        <f t="shared" si="3"/>
        <v>26.042864302349578</v>
      </c>
      <c r="R40" s="24">
        <f t="shared" si="4"/>
        <v>6.5107160755873945</v>
      </c>
      <c r="S40" s="24">
        <f t="shared" si="5"/>
        <v>6.5107160755873945</v>
      </c>
    </row>
    <row r="41" spans="1:19" ht="24">
      <c r="A41" s="14" t="s">
        <v>67</v>
      </c>
      <c r="B41" s="12"/>
      <c r="C41" s="34" t="s">
        <v>20</v>
      </c>
      <c r="D41" s="37">
        <v>13568.4</v>
      </c>
      <c r="E41" s="68">
        <f>G41+H41+I41+J41</f>
        <v>13568.4</v>
      </c>
      <c r="F41" s="51">
        <f t="shared" si="14"/>
        <v>3392.1</v>
      </c>
      <c r="G41" s="37">
        <v>3392.1</v>
      </c>
      <c r="H41" s="37">
        <v>3392.1</v>
      </c>
      <c r="I41" s="17">
        <v>3392.1</v>
      </c>
      <c r="J41" s="37">
        <v>3392.1</v>
      </c>
      <c r="K41" s="18">
        <v>883.4</v>
      </c>
      <c r="L41" s="20" t="e">
        <f>K41/#REF!*100</f>
        <v>#REF!</v>
      </c>
      <c r="M41" s="20">
        <f>K41/I41*100</f>
        <v>26.042864302349578</v>
      </c>
      <c r="N41" s="48"/>
      <c r="O41" s="48"/>
      <c r="P41" s="17">
        <f t="shared" si="2"/>
        <v>26.042864302349578</v>
      </c>
      <c r="Q41" s="20">
        <f t="shared" si="3"/>
        <v>26.042864302349578</v>
      </c>
      <c r="R41" s="18">
        <f t="shared" si="4"/>
        <v>6.5107160755873945</v>
      </c>
      <c r="S41" s="18">
        <f t="shared" si="5"/>
        <v>6.5107160755873945</v>
      </c>
    </row>
    <row r="42" spans="1:19" ht="40.5" customHeight="1" hidden="1">
      <c r="A42" s="14" t="s">
        <v>66</v>
      </c>
      <c r="B42" s="70"/>
      <c r="C42" s="19" t="s">
        <v>63</v>
      </c>
      <c r="D42" s="71">
        <v>0</v>
      </c>
      <c r="E42" s="68">
        <f>G42+H42+I42+J42</f>
        <v>0</v>
      </c>
      <c r="F42" s="51">
        <f t="shared" si="14"/>
        <v>0</v>
      </c>
      <c r="G42" s="37"/>
      <c r="H42" s="37"/>
      <c r="I42" s="17"/>
      <c r="J42" s="37"/>
      <c r="K42" s="18"/>
      <c r="L42" s="20"/>
      <c r="M42" s="20"/>
      <c r="N42" s="48"/>
      <c r="O42" s="48"/>
      <c r="P42" s="17"/>
      <c r="Q42" s="20" t="e">
        <f t="shared" si="3"/>
        <v>#DIV/0!</v>
      </c>
      <c r="R42" s="18" t="e">
        <f t="shared" si="4"/>
        <v>#DIV/0!</v>
      </c>
      <c r="S42" s="18"/>
    </row>
    <row r="43" spans="1:19" ht="12.75">
      <c r="A43" s="21"/>
      <c r="B43" s="22"/>
      <c r="C43" s="23" t="s">
        <v>4</v>
      </c>
      <c r="D43" s="24">
        <f aca="true" t="shared" si="16" ref="D43:J43">D40+D30</f>
        <v>32525</v>
      </c>
      <c r="E43" s="24">
        <f t="shared" si="16"/>
        <v>32525</v>
      </c>
      <c r="F43" s="24">
        <f t="shared" si="16"/>
        <v>8131.199999999999</v>
      </c>
      <c r="G43" s="24">
        <f t="shared" si="16"/>
        <v>8131.199999999999</v>
      </c>
      <c r="H43" s="24">
        <f t="shared" si="16"/>
        <v>8131.299999999999</v>
      </c>
      <c r="I43" s="24">
        <f t="shared" si="16"/>
        <v>8131.199999999999</v>
      </c>
      <c r="J43" s="24">
        <f t="shared" si="16"/>
        <v>8131.299999999999</v>
      </c>
      <c r="K43" s="24">
        <f>K40+K30</f>
        <v>2839.1000000000004</v>
      </c>
      <c r="L43" s="27" t="e">
        <f>K43/#REF!*100</f>
        <v>#REF!</v>
      </c>
      <c r="M43" s="27">
        <f>K43/I43*100</f>
        <v>34.916125541125545</v>
      </c>
      <c r="N43" s="48"/>
      <c r="O43" s="49" t="e">
        <f>J43+#REF!+#REF!</f>
        <v>#REF!</v>
      </c>
      <c r="P43" s="36">
        <f t="shared" si="2"/>
        <v>34.91569613714905</v>
      </c>
      <c r="Q43" s="27">
        <f t="shared" si="3"/>
        <v>34.91612554112555</v>
      </c>
      <c r="R43" s="24">
        <f t="shared" si="4"/>
        <v>8.728977709454268</v>
      </c>
      <c r="S43" s="24">
        <f t="shared" si="5"/>
        <v>8.728977709454268</v>
      </c>
    </row>
    <row r="44" spans="1:19" ht="12.75">
      <c r="A44" s="73"/>
      <c r="B44" s="74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48"/>
      <c r="O44" s="48"/>
      <c r="P44" s="47"/>
      <c r="Q44" s="27"/>
      <c r="R44" s="24"/>
      <c r="S44" s="18"/>
    </row>
    <row r="45" spans="1:19" ht="12.75">
      <c r="A45" s="98" t="s">
        <v>26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</row>
    <row r="46" spans="1:19" ht="12.75">
      <c r="A46" s="25" t="s">
        <v>3</v>
      </c>
      <c r="B46" s="25"/>
      <c r="C46" s="26" t="s">
        <v>68</v>
      </c>
      <c r="D46" s="27">
        <f>D47+D50+D52+D54+D55+D56+D51+D49+D48+D53</f>
        <v>21958.699999999997</v>
      </c>
      <c r="E46" s="27">
        <f>E47+E50+E52+E54+E55+E56+E51+E49+E48+E53</f>
        <v>21958.699999999997</v>
      </c>
      <c r="F46" s="27">
        <f aca="true" t="shared" si="17" ref="F46:K46">F47+F50+F52+F54+F55+F56+F51+F49+F48+F53</f>
        <v>4583.6</v>
      </c>
      <c r="G46" s="27">
        <f t="shared" si="17"/>
        <v>4583.6</v>
      </c>
      <c r="H46" s="27">
        <f t="shared" si="17"/>
        <v>5194.2</v>
      </c>
      <c r="I46" s="27">
        <f t="shared" si="17"/>
        <v>4626.4</v>
      </c>
      <c r="J46" s="27">
        <f t="shared" si="17"/>
        <v>7554.5</v>
      </c>
      <c r="K46" s="27">
        <f t="shared" si="17"/>
        <v>1432.7000000000003</v>
      </c>
      <c r="L46" s="27" t="e">
        <f>K46/#REF!*100</f>
        <v>#REF!</v>
      </c>
      <c r="M46" s="27">
        <f>K46/I46*100</f>
        <v>30.96792322324054</v>
      </c>
      <c r="N46" s="48"/>
      <c r="O46" s="48"/>
      <c r="P46" s="27">
        <f t="shared" si="2"/>
        <v>18.964855384208093</v>
      </c>
      <c r="Q46" s="27">
        <f t="shared" si="3"/>
        <v>31.25709049655293</v>
      </c>
      <c r="R46" s="24">
        <f t="shared" si="4"/>
        <v>6.52452103266587</v>
      </c>
      <c r="S46" s="24">
        <f t="shared" si="5"/>
        <v>6.52452103266587</v>
      </c>
    </row>
    <row r="47" spans="1:19" ht="12.75">
      <c r="A47" s="21" t="s">
        <v>23</v>
      </c>
      <c r="B47" s="12"/>
      <c r="C47" s="66" t="s">
        <v>22</v>
      </c>
      <c r="D47" s="51">
        <v>14200</v>
      </c>
      <c r="E47" s="68">
        <f aca="true" t="shared" si="18" ref="E47:E60">G47+H47+I47+J47</f>
        <v>14200</v>
      </c>
      <c r="F47" s="51">
        <f aca="true" t="shared" si="19" ref="F47:F58">G47</f>
        <v>3213</v>
      </c>
      <c r="G47" s="68">
        <v>3213</v>
      </c>
      <c r="H47" s="68">
        <v>3944</v>
      </c>
      <c r="I47" s="17">
        <v>2923.5</v>
      </c>
      <c r="J47" s="18">
        <v>4119.5</v>
      </c>
      <c r="K47" s="67">
        <v>782.1</v>
      </c>
      <c r="L47" s="20" t="e">
        <f>K47/#REF!*100</f>
        <v>#REF!</v>
      </c>
      <c r="M47" s="20">
        <f>K47/I47*100</f>
        <v>26.752180605438685</v>
      </c>
      <c r="N47" s="48"/>
      <c r="O47" s="48"/>
      <c r="P47" s="17">
        <f t="shared" si="2"/>
        <v>18.98531375166889</v>
      </c>
      <c r="Q47" s="20">
        <f t="shared" si="3"/>
        <v>24.34173669467787</v>
      </c>
      <c r="R47" s="18">
        <f t="shared" si="4"/>
        <v>5.50774647887324</v>
      </c>
      <c r="S47" s="18">
        <f t="shared" si="5"/>
        <v>5.50774647887324</v>
      </c>
    </row>
    <row r="48" spans="1:19" ht="12.75">
      <c r="A48" s="12" t="s">
        <v>70</v>
      </c>
      <c r="B48" s="12"/>
      <c r="C48" s="28" t="s">
        <v>71</v>
      </c>
      <c r="D48" s="68">
        <v>3866.1</v>
      </c>
      <c r="E48" s="68">
        <f t="shared" si="18"/>
        <v>3866.1000000000004</v>
      </c>
      <c r="F48" s="51">
        <f t="shared" si="19"/>
        <v>959.6</v>
      </c>
      <c r="G48" s="68">
        <v>959.6</v>
      </c>
      <c r="H48" s="68">
        <v>912.9</v>
      </c>
      <c r="I48" s="17">
        <v>1001.9</v>
      </c>
      <c r="J48" s="18">
        <v>991.7</v>
      </c>
      <c r="K48" s="67">
        <v>332.6</v>
      </c>
      <c r="L48" s="20"/>
      <c r="M48" s="20"/>
      <c r="N48" s="48"/>
      <c r="O48" s="48"/>
      <c r="P48" s="17"/>
      <c r="Q48" s="20">
        <f>K48*100/F48</f>
        <v>34.6602751146311</v>
      </c>
      <c r="R48" s="18">
        <f>K48*100/E48</f>
        <v>8.602984920203822</v>
      </c>
      <c r="S48" s="18">
        <f t="shared" si="5"/>
        <v>8.602984920203824</v>
      </c>
    </row>
    <row r="49" spans="1:19" ht="12.75">
      <c r="A49" s="12" t="s">
        <v>8</v>
      </c>
      <c r="B49" s="12"/>
      <c r="C49" s="28" t="s">
        <v>5</v>
      </c>
      <c r="D49" s="68">
        <v>16</v>
      </c>
      <c r="E49" s="68">
        <f t="shared" si="18"/>
        <v>16</v>
      </c>
      <c r="F49" s="51">
        <f t="shared" si="19"/>
        <v>0</v>
      </c>
      <c r="G49" s="68"/>
      <c r="H49" s="68">
        <v>16</v>
      </c>
      <c r="I49" s="17"/>
      <c r="J49" s="18"/>
      <c r="K49" s="67">
        <v>0</v>
      </c>
      <c r="L49" s="20" t="e">
        <f>K49/#REF!*100</f>
        <v>#REF!</v>
      </c>
      <c r="M49" s="20" t="e">
        <f>K49/I49*100</f>
        <v>#DIV/0!</v>
      </c>
      <c r="N49" s="48"/>
      <c r="O49" s="48"/>
      <c r="P49" s="17" t="e">
        <f t="shared" si="2"/>
        <v>#DIV/0!</v>
      </c>
      <c r="Q49" s="20"/>
      <c r="R49" s="18">
        <f t="shared" si="4"/>
        <v>0</v>
      </c>
      <c r="S49" s="18">
        <f t="shared" si="5"/>
        <v>0</v>
      </c>
    </row>
    <row r="50" spans="1:19" ht="14.25" customHeight="1">
      <c r="A50" s="12" t="s">
        <v>9</v>
      </c>
      <c r="B50" s="12"/>
      <c r="C50" s="28" t="s">
        <v>6</v>
      </c>
      <c r="D50" s="68">
        <v>3028.5</v>
      </c>
      <c r="E50" s="68">
        <f t="shared" si="18"/>
        <v>3028.5</v>
      </c>
      <c r="F50" s="51">
        <f t="shared" si="19"/>
        <v>316</v>
      </c>
      <c r="G50" s="68">
        <v>316</v>
      </c>
      <c r="H50" s="68">
        <v>227</v>
      </c>
      <c r="I50" s="17">
        <v>408</v>
      </c>
      <c r="J50" s="18">
        <v>2077.5</v>
      </c>
      <c r="K50" s="18">
        <v>219.3</v>
      </c>
      <c r="L50" s="20" t="e">
        <f>K50/#REF!*100</f>
        <v>#REF!</v>
      </c>
      <c r="M50" s="20">
        <f>K50/I50*100</f>
        <v>53.75</v>
      </c>
      <c r="N50" s="48"/>
      <c r="O50" s="48"/>
      <c r="P50" s="17">
        <f t="shared" si="2"/>
        <v>10.555956678700362</v>
      </c>
      <c r="Q50" s="20">
        <f t="shared" si="3"/>
        <v>69.39873417721519</v>
      </c>
      <c r="R50" s="18">
        <f t="shared" si="4"/>
        <v>7.241208519068846</v>
      </c>
      <c r="S50" s="18">
        <f t="shared" si="5"/>
        <v>7.241208519068846</v>
      </c>
    </row>
    <row r="51" spans="1:19" ht="18" customHeight="1" hidden="1">
      <c r="A51" s="12" t="s">
        <v>10</v>
      </c>
      <c r="B51" s="12"/>
      <c r="C51" s="28" t="s">
        <v>21</v>
      </c>
      <c r="D51" s="68"/>
      <c r="E51" s="68">
        <f t="shared" si="18"/>
        <v>0</v>
      </c>
      <c r="F51" s="51">
        <f t="shared" si="19"/>
        <v>0</v>
      </c>
      <c r="G51" s="68"/>
      <c r="H51" s="68"/>
      <c r="I51" s="17"/>
      <c r="J51" s="18"/>
      <c r="K51" s="18"/>
      <c r="L51" s="20"/>
      <c r="M51" s="20"/>
      <c r="N51" s="48"/>
      <c r="O51" s="48"/>
      <c r="P51" s="17" t="e">
        <f t="shared" si="2"/>
        <v>#DIV/0!</v>
      </c>
      <c r="Q51" s="20" t="e">
        <f t="shared" si="3"/>
        <v>#DIV/0!</v>
      </c>
      <c r="R51" s="18" t="e">
        <f t="shared" si="4"/>
        <v>#DIV/0!</v>
      </c>
      <c r="S51" s="18" t="e">
        <f t="shared" si="5"/>
        <v>#DIV/0!</v>
      </c>
    </row>
    <row r="52" spans="1:19" ht="24">
      <c r="A52" s="13" t="s">
        <v>11</v>
      </c>
      <c r="B52" s="13"/>
      <c r="C52" s="28" t="s">
        <v>17</v>
      </c>
      <c r="D52" s="68">
        <v>698.1</v>
      </c>
      <c r="E52" s="68">
        <f t="shared" si="18"/>
        <v>698.1</v>
      </c>
      <c r="F52" s="51">
        <f t="shared" si="19"/>
        <v>66</v>
      </c>
      <c r="G52" s="68">
        <v>66</v>
      </c>
      <c r="H52" s="68">
        <v>82.8</v>
      </c>
      <c r="I52" s="17">
        <v>204</v>
      </c>
      <c r="J52" s="18">
        <v>345.3</v>
      </c>
      <c r="K52" s="18">
        <v>98.7</v>
      </c>
      <c r="L52" s="20" t="e">
        <f>K52/#REF!*100</f>
        <v>#REF!</v>
      </c>
      <c r="M52" s="20">
        <f>K52/I52*100</f>
        <v>48.38235294117647</v>
      </c>
      <c r="N52" s="48"/>
      <c r="O52" s="48"/>
      <c r="P52" s="17">
        <f t="shared" si="2"/>
        <v>28.583840139009556</v>
      </c>
      <c r="Q52" s="20">
        <f t="shared" si="3"/>
        <v>149.54545454545453</v>
      </c>
      <c r="R52" s="18">
        <f t="shared" si="4"/>
        <v>14.138375590889558</v>
      </c>
      <c r="S52" s="18">
        <f t="shared" si="5"/>
        <v>14.138375590889558</v>
      </c>
    </row>
    <row r="53" spans="1:19" ht="24" hidden="1">
      <c r="A53" s="30" t="s">
        <v>42</v>
      </c>
      <c r="B53" s="30"/>
      <c r="C53" s="28" t="s">
        <v>43</v>
      </c>
      <c r="D53" s="68"/>
      <c r="E53" s="68"/>
      <c r="F53" s="51">
        <f t="shared" si="19"/>
        <v>0</v>
      </c>
      <c r="G53" s="68"/>
      <c r="H53" s="68"/>
      <c r="I53" s="17"/>
      <c r="J53" s="18"/>
      <c r="K53" s="18"/>
      <c r="L53" s="20"/>
      <c r="M53" s="20"/>
      <c r="N53" s="48"/>
      <c r="O53" s="48"/>
      <c r="P53" s="17"/>
      <c r="Q53" s="20"/>
      <c r="R53" s="18"/>
      <c r="S53" s="18"/>
    </row>
    <row r="54" spans="1:19" ht="24">
      <c r="A54" s="30" t="s">
        <v>18</v>
      </c>
      <c r="B54" s="30"/>
      <c r="C54" s="28" t="s">
        <v>15</v>
      </c>
      <c r="D54" s="68">
        <v>150</v>
      </c>
      <c r="E54" s="68">
        <f t="shared" si="18"/>
        <v>150</v>
      </c>
      <c r="F54" s="51">
        <f t="shared" si="19"/>
        <v>29</v>
      </c>
      <c r="G54" s="68">
        <v>29</v>
      </c>
      <c r="H54" s="68">
        <v>11.5</v>
      </c>
      <c r="I54" s="17">
        <v>89</v>
      </c>
      <c r="J54" s="18">
        <v>20.5</v>
      </c>
      <c r="K54" s="18"/>
      <c r="L54" s="20" t="e">
        <f>K54/#REF!*100</f>
        <v>#REF!</v>
      </c>
      <c r="M54" s="20">
        <f>K54/I54*100</f>
        <v>0</v>
      </c>
      <c r="N54" s="48"/>
      <c r="O54" s="48"/>
      <c r="P54" s="17">
        <f t="shared" si="2"/>
        <v>0</v>
      </c>
      <c r="Q54" s="20">
        <f t="shared" si="3"/>
        <v>0</v>
      </c>
      <c r="R54" s="18">
        <f t="shared" si="4"/>
        <v>0</v>
      </c>
      <c r="S54" s="18">
        <f t="shared" si="5"/>
        <v>0</v>
      </c>
    </row>
    <row r="55" spans="1:19" ht="16.5" customHeight="1" hidden="1">
      <c r="A55" s="21" t="s">
        <v>12</v>
      </c>
      <c r="B55" s="21"/>
      <c r="C55" s="28" t="s">
        <v>7</v>
      </c>
      <c r="D55" s="68">
        <v>0</v>
      </c>
      <c r="E55" s="68">
        <f t="shared" si="18"/>
        <v>0</v>
      </c>
      <c r="F55" s="51">
        <f t="shared" si="19"/>
        <v>0</v>
      </c>
      <c r="G55" s="68"/>
      <c r="H55" s="68"/>
      <c r="I55" s="17"/>
      <c r="J55" s="18"/>
      <c r="K55" s="18"/>
      <c r="L55" s="20" t="e">
        <f>K55/#REF!*100</f>
        <v>#REF!</v>
      </c>
      <c r="M55" s="20"/>
      <c r="N55" s="48"/>
      <c r="O55" s="48"/>
      <c r="P55" s="17" t="e">
        <f t="shared" si="2"/>
        <v>#DIV/0!</v>
      </c>
      <c r="Q55" s="20"/>
      <c r="R55" s="18"/>
      <c r="S55" s="18"/>
    </row>
    <row r="56" spans="1:19" ht="14.25" customHeight="1">
      <c r="A56" s="53" t="s">
        <v>39</v>
      </c>
      <c r="B56" s="52"/>
      <c r="C56" s="16" t="s">
        <v>40</v>
      </c>
      <c r="D56" s="68"/>
      <c r="E56" s="68">
        <f t="shared" si="18"/>
        <v>0</v>
      </c>
      <c r="F56" s="51">
        <f t="shared" si="19"/>
        <v>0</v>
      </c>
      <c r="G56" s="68"/>
      <c r="H56" s="68"/>
      <c r="I56" s="17"/>
      <c r="J56" s="18"/>
      <c r="K56" s="18"/>
      <c r="L56" s="20"/>
      <c r="M56" s="20"/>
      <c r="N56" s="48"/>
      <c r="O56" s="48"/>
      <c r="P56" s="17" t="e">
        <f t="shared" si="2"/>
        <v>#DIV/0!</v>
      </c>
      <c r="Q56" s="20"/>
      <c r="R56" s="18"/>
      <c r="S56" s="18"/>
    </row>
    <row r="57" spans="1:19" ht="12.75">
      <c r="A57" s="63" t="s">
        <v>1</v>
      </c>
      <c r="B57" s="63"/>
      <c r="C57" s="32" t="s">
        <v>0</v>
      </c>
      <c r="D57" s="33">
        <f>D58+D60+D59</f>
        <v>20853</v>
      </c>
      <c r="E57" s="33">
        <f>E58+E60+E59</f>
        <v>20853</v>
      </c>
      <c r="F57" s="33">
        <f aca="true" t="shared" si="20" ref="F57:P57">F58+F60+F59</f>
        <v>2453.4</v>
      </c>
      <c r="G57" s="33">
        <f t="shared" si="20"/>
        <v>2453.4</v>
      </c>
      <c r="H57" s="33">
        <f t="shared" si="20"/>
        <v>4158</v>
      </c>
      <c r="I57" s="33">
        <f t="shared" si="20"/>
        <v>6340.1</v>
      </c>
      <c r="J57" s="33">
        <f t="shared" si="20"/>
        <v>7901.5</v>
      </c>
      <c r="K57" s="33">
        <f t="shared" si="20"/>
        <v>676.5</v>
      </c>
      <c r="L57" s="33" t="e">
        <f t="shared" si="20"/>
        <v>#REF!</v>
      </c>
      <c r="M57" s="33">
        <f t="shared" si="20"/>
        <v>10.670178703805933</v>
      </c>
      <c r="N57" s="33">
        <f t="shared" si="20"/>
        <v>0.1</v>
      </c>
      <c r="O57" s="33">
        <f t="shared" si="20"/>
        <v>0</v>
      </c>
      <c r="P57" s="33" t="e">
        <f t="shared" si="20"/>
        <v>#DIV/0!</v>
      </c>
      <c r="Q57" s="27">
        <f t="shared" si="3"/>
        <v>27.573978967962827</v>
      </c>
      <c r="R57" s="24">
        <f t="shared" si="4"/>
        <v>3.244137534167746</v>
      </c>
      <c r="S57" s="24">
        <f t="shared" si="5"/>
        <v>3.244137534167746</v>
      </c>
    </row>
    <row r="58" spans="1:19" ht="24">
      <c r="A58" s="14" t="s">
        <v>67</v>
      </c>
      <c r="B58" s="12"/>
      <c r="C58" s="34" t="s">
        <v>20</v>
      </c>
      <c r="D58" s="37">
        <v>20853</v>
      </c>
      <c r="E58" s="68">
        <f t="shared" si="18"/>
        <v>20853</v>
      </c>
      <c r="F58" s="51">
        <f t="shared" si="19"/>
        <v>2453.4</v>
      </c>
      <c r="G58" s="37">
        <v>2453.4</v>
      </c>
      <c r="H58" s="37">
        <v>4158</v>
      </c>
      <c r="I58" s="17">
        <v>6340.1</v>
      </c>
      <c r="J58" s="17">
        <v>7901.5</v>
      </c>
      <c r="K58" s="18">
        <v>676.5</v>
      </c>
      <c r="L58" s="20" t="e">
        <f>K58/#REF!*100</f>
        <v>#REF!</v>
      </c>
      <c r="M58" s="20">
        <f>K58/I58*100</f>
        <v>10.670178703805933</v>
      </c>
      <c r="N58" s="48">
        <v>0.1</v>
      </c>
      <c r="O58" s="48"/>
      <c r="P58" s="17">
        <f t="shared" si="2"/>
        <v>8.561665506549389</v>
      </c>
      <c r="Q58" s="20">
        <f t="shared" si="3"/>
        <v>27.573978967962827</v>
      </c>
      <c r="R58" s="18">
        <f t="shared" si="4"/>
        <v>3.244137534167746</v>
      </c>
      <c r="S58" s="18">
        <f t="shared" si="5"/>
        <v>3.244137534167746</v>
      </c>
    </row>
    <row r="59" spans="1:19" ht="12.75" hidden="1">
      <c r="A59" s="14" t="s">
        <v>2</v>
      </c>
      <c r="B59" s="14"/>
      <c r="C59" s="35" t="s">
        <v>19</v>
      </c>
      <c r="D59" s="35"/>
      <c r="E59" s="68">
        <f>G59+H59+I59+J59</f>
        <v>0</v>
      </c>
      <c r="F59" s="68">
        <f>G59</f>
        <v>0</v>
      </c>
      <c r="G59" s="37"/>
      <c r="H59" s="37"/>
      <c r="I59" s="17"/>
      <c r="J59" s="47"/>
      <c r="K59" s="18"/>
      <c r="L59" s="20"/>
      <c r="M59" s="20"/>
      <c r="N59" s="48"/>
      <c r="O59" s="48"/>
      <c r="P59" s="17"/>
      <c r="Q59" s="20" t="e">
        <f t="shared" si="3"/>
        <v>#DIV/0!</v>
      </c>
      <c r="R59" s="18" t="e">
        <f t="shared" si="4"/>
        <v>#DIV/0!</v>
      </c>
      <c r="S59" s="18" t="e">
        <f t="shared" si="5"/>
        <v>#DIV/0!</v>
      </c>
    </row>
    <row r="60" spans="1:19" ht="36" hidden="1">
      <c r="A60" s="14" t="s">
        <v>66</v>
      </c>
      <c r="B60" s="70"/>
      <c r="C60" s="19" t="s">
        <v>63</v>
      </c>
      <c r="D60" s="19"/>
      <c r="E60" s="68">
        <f t="shared" si="18"/>
        <v>0</v>
      </c>
      <c r="F60" s="68">
        <f>G60</f>
        <v>0</v>
      </c>
      <c r="G60" s="75"/>
      <c r="H60" s="75"/>
      <c r="I60" s="17"/>
      <c r="J60" s="47"/>
      <c r="K60" s="18"/>
      <c r="L60" s="20" t="e">
        <f>K60/#REF!*100</f>
        <v>#REF!</v>
      </c>
      <c r="M60" s="20"/>
      <c r="N60" s="48"/>
      <c r="O60" s="48"/>
      <c r="P60" s="17" t="e">
        <f t="shared" si="2"/>
        <v>#DIV/0!</v>
      </c>
      <c r="Q60" s="20"/>
      <c r="R60" s="18"/>
      <c r="S60" s="18" t="e">
        <f t="shared" si="5"/>
        <v>#DIV/0!</v>
      </c>
    </row>
    <row r="61" spans="1:19" ht="12.75">
      <c r="A61" s="13"/>
      <c r="B61" s="76"/>
      <c r="C61" s="77" t="s">
        <v>4</v>
      </c>
      <c r="D61" s="78">
        <f aca="true" t="shared" si="21" ref="D61:K61">D57+D46</f>
        <v>42811.7</v>
      </c>
      <c r="E61" s="78">
        <f t="shared" si="21"/>
        <v>42811.7</v>
      </c>
      <c r="F61" s="78">
        <f t="shared" si="21"/>
        <v>7037</v>
      </c>
      <c r="G61" s="78">
        <f t="shared" si="21"/>
        <v>7037</v>
      </c>
      <c r="H61" s="78">
        <f t="shared" si="21"/>
        <v>9352.2</v>
      </c>
      <c r="I61" s="78">
        <f t="shared" si="21"/>
        <v>10966.5</v>
      </c>
      <c r="J61" s="78">
        <f t="shared" si="21"/>
        <v>15456</v>
      </c>
      <c r="K61" s="78">
        <f t="shared" si="21"/>
        <v>2109.2000000000003</v>
      </c>
      <c r="L61" s="27" t="e">
        <f>K61/#REF!*100</f>
        <v>#REF!</v>
      </c>
      <c r="M61" s="27">
        <f>K61/I61*100</f>
        <v>19.23311904436238</v>
      </c>
      <c r="N61" s="48"/>
      <c r="O61" s="49" t="e">
        <f>J61+#REF!+#REF!</f>
        <v>#REF!</v>
      </c>
      <c r="P61" s="36">
        <f t="shared" si="2"/>
        <v>13.646480331262941</v>
      </c>
      <c r="Q61" s="27">
        <f t="shared" si="3"/>
        <v>29.972999857893992</v>
      </c>
      <c r="R61" s="24">
        <f t="shared" si="4"/>
        <v>4.926690600933858</v>
      </c>
      <c r="S61" s="24">
        <f t="shared" si="5"/>
        <v>4.926690600933858</v>
      </c>
    </row>
    <row r="62" spans="1:19" ht="12.75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  <c r="N62" s="48"/>
      <c r="O62" s="48"/>
      <c r="P62" s="47"/>
      <c r="Q62" s="27"/>
      <c r="R62" s="24"/>
      <c r="S62" s="18"/>
    </row>
    <row r="63" spans="1:19" ht="12.75">
      <c r="A63" s="98" t="s">
        <v>27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0"/>
    </row>
    <row r="64" spans="1:19" ht="12.75">
      <c r="A64" s="63" t="s">
        <v>3</v>
      </c>
      <c r="B64" s="63"/>
      <c r="C64" s="64" t="s">
        <v>68</v>
      </c>
      <c r="D64" s="36">
        <f>D65+D68+D70+D72+D69+D74+D73+D67+D71+D66</f>
        <v>43308.299999999996</v>
      </c>
      <c r="E64" s="36">
        <f>E65+E68+E70+E72+E69+E74+E73+E67+E71+E66</f>
        <v>43308.3</v>
      </c>
      <c r="F64" s="36">
        <f>F65+F68+F70+F72+F69+F74+F73+F67+F71+F66</f>
        <v>9267.3</v>
      </c>
      <c r="G64" s="36">
        <f aca="true" t="shared" si="22" ref="G64:P64">G65+G68+G70+G72+G69+G74+G73+G67+G71+G66</f>
        <v>9267.3</v>
      </c>
      <c r="H64" s="36">
        <f t="shared" si="22"/>
        <v>9136.6</v>
      </c>
      <c r="I64" s="36">
        <f t="shared" si="22"/>
        <v>11006.9</v>
      </c>
      <c r="J64" s="36">
        <f t="shared" si="22"/>
        <v>13897.5</v>
      </c>
      <c r="K64" s="36">
        <f t="shared" si="22"/>
        <v>2485.8</v>
      </c>
      <c r="L64" s="36" t="e">
        <f t="shared" si="22"/>
        <v>#REF!</v>
      </c>
      <c r="M64" s="36" t="e">
        <f t="shared" si="22"/>
        <v>#DIV/0!</v>
      </c>
      <c r="N64" s="36">
        <f t="shared" si="22"/>
        <v>0</v>
      </c>
      <c r="O64" s="36">
        <f t="shared" si="22"/>
        <v>0</v>
      </c>
      <c r="P64" s="36" t="e">
        <f t="shared" si="22"/>
        <v>#DIV/0!</v>
      </c>
      <c r="Q64" s="27">
        <f t="shared" si="3"/>
        <v>26.823346605807522</v>
      </c>
      <c r="R64" s="24">
        <f t="shared" si="4"/>
        <v>5.7397773636924105</v>
      </c>
      <c r="S64" s="24">
        <f t="shared" si="5"/>
        <v>5.739777363692411</v>
      </c>
    </row>
    <row r="65" spans="1:19" ht="12.75">
      <c r="A65" s="12" t="s">
        <v>23</v>
      </c>
      <c r="B65" s="12"/>
      <c r="C65" s="66" t="s">
        <v>22</v>
      </c>
      <c r="D65" s="51">
        <v>21100</v>
      </c>
      <c r="E65" s="68">
        <f>G65+H65+I65+J65</f>
        <v>21100</v>
      </c>
      <c r="F65" s="51">
        <f aca="true" t="shared" si="23" ref="F65:F77">G65</f>
        <v>5156</v>
      </c>
      <c r="G65" s="79">
        <v>5156</v>
      </c>
      <c r="H65" s="79">
        <v>5309</v>
      </c>
      <c r="I65" s="20">
        <v>5627</v>
      </c>
      <c r="J65" s="20">
        <v>5008</v>
      </c>
      <c r="K65" s="20">
        <v>1068.1</v>
      </c>
      <c r="L65" s="20" t="e">
        <f>K65/#REF!*100</f>
        <v>#REF!</v>
      </c>
      <c r="M65" s="20">
        <f aca="true" t="shared" si="24" ref="M65:M72">K65/I65*100</f>
        <v>18.98169539719211</v>
      </c>
      <c r="N65" s="48"/>
      <c r="O65" s="48"/>
      <c r="P65" s="20">
        <f t="shared" si="2"/>
        <v>21.32787539936102</v>
      </c>
      <c r="Q65" s="20">
        <f t="shared" si="3"/>
        <v>20.71567106283941</v>
      </c>
      <c r="R65" s="18">
        <f t="shared" si="4"/>
        <v>5.062085308056871</v>
      </c>
      <c r="S65" s="18">
        <f t="shared" si="5"/>
        <v>5.062085308056871</v>
      </c>
    </row>
    <row r="66" spans="1:19" ht="12.75">
      <c r="A66" s="12" t="s">
        <v>70</v>
      </c>
      <c r="B66" s="12"/>
      <c r="C66" s="28" t="s">
        <v>71</v>
      </c>
      <c r="D66" s="68">
        <v>6651.7</v>
      </c>
      <c r="E66" s="68">
        <f>G66+H66+I66+J66</f>
        <v>6651.700000000001</v>
      </c>
      <c r="F66" s="51">
        <f t="shared" si="23"/>
        <v>1687</v>
      </c>
      <c r="G66" s="79">
        <v>1687</v>
      </c>
      <c r="H66" s="79">
        <v>1665.9</v>
      </c>
      <c r="I66" s="20">
        <v>1662.9</v>
      </c>
      <c r="J66" s="20">
        <v>1635.9</v>
      </c>
      <c r="K66" s="20">
        <v>572.2</v>
      </c>
      <c r="L66" s="20"/>
      <c r="M66" s="20"/>
      <c r="N66" s="48"/>
      <c r="O66" s="48"/>
      <c r="P66" s="20"/>
      <c r="Q66" s="20">
        <f>K66*100/F66</f>
        <v>33.91819798458803</v>
      </c>
      <c r="R66" s="18">
        <f>K66*100/E66</f>
        <v>8.6023121908685</v>
      </c>
      <c r="S66" s="18">
        <f t="shared" si="5"/>
        <v>8.602312190868501</v>
      </c>
    </row>
    <row r="67" spans="1:19" ht="12.75">
      <c r="A67" s="12" t="s">
        <v>8</v>
      </c>
      <c r="B67" s="12"/>
      <c r="C67" s="28" t="s">
        <v>5</v>
      </c>
      <c r="D67" s="68">
        <v>90</v>
      </c>
      <c r="E67" s="68">
        <f aca="true" t="shared" si="25" ref="E67:E77">G67+H67+I67+J67</f>
        <v>90</v>
      </c>
      <c r="F67" s="51">
        <f t="shared" si="23"/>
        <v>22.5</v>
      </c>
      <c r="G67" s="37">
        <v>22.5</v>
      </c>
      <c r="H67" s="37">
        <v>22.5</v>
      </c>
      <c r="I67" s="17">
        <v>22.5</v>
      </c>
      <c r="J67" s="17">
        <v>22.5</v>
      </c>
      <c r="K67" s="17">
        <v>0</v>
      </c>
      <c r="L67" s="20" t="e">
        <f>K67/#REF!*100</f>
        <v>#REF!</v>
      </c>
      <c r="M67" s="20">
        <f t="shared" si="24"/>
        <v>0</v>
      </c>
      <c r="N67" s="48"/>
      <c r="O67" s="48"/>
      <c r="P67" s="17">
        <f t="shared" si="2"/>
        <v>0</v>
      </c>
      <c r="Q67" s="20">
        <f t="shared" si="3"/>
        <v>0</v>
      </c>
      <c r="R67" s="18">
        <f t="shared" si="4"/>
        <v>0</v>
      </c>
      <c r="S67" s="18">
        <f t="shared" si="5"/>
        <v>0</v>
      </c>
    </row>
    <row r="68" spans="1:19" ht="12.75">
      <c r="A68" s="12" t="s">
        <v>9</v>
      </c>
      <c r="B68" s="12"/>
      <c r="C68" s="28" t="s">
        <v>6</v>
      </c>
      <c r="D68" s="68">
        <v>9748.7</v>
      </c>
      <c r="E68" s="68">
        <f t="shared" si="25"/>
        <v>9748.7</v>
      </c>
      <c r="F68" s="51">
        <f t="shared" si="23"/>
        <v>1011.5</v>
      </c>
      <c r="G68" s="37">
        <v>1011.5</v>
      </c>
      <c r="H68" s="37">
        <v>691.5</v>
      </c>
      <c r="I68" s="17">
        <v>2241.5</v>
      </c>
      <c r="J68" s="17">
        <v>5804.2</v>
      </c>
      <c r="K68" s="17">
        <v>758.2</v>
      </c>
      <c r="L68" s="20" t="e">
        <f>K68/#REF!*100</f>
        <v>#REF!</v>
      </c>
      <c r="M68" s="20">
        <f t="shared" si="24"/>
        <v>33.825563238902525</v>
      </c>
      <c r="N68" s="48"/>
      <c r="O68" s="48"/>
      <c r="P68" s="17">
        <f t="shared" si="2"/>
        <v>13.062954412322112</v>
      </c>
      <c r="Q68" s="20">
        <f t="shared" si="3"/>
        <v>74.95798319327731</v>
      </c>
      <c r="R68" s="18">
        <f t="shared" si="4"/>
        <v>7.77744724937684</v>
      </c>
      <c r="S68" s="18">
        <f t="shared" si="5"/>
        <v>7.77744724937684</v>
      </c>
    </row>
    <row r="69" spans="1:19" ht="18.75" customHeight="1">
      <c r="A69" s="12" t="s">
        <v>10</v>
      </c>
      <c r="B69" s="12"/>
      <c r="C69" s="28" t="s">
        <v>21</v>
      </c>
      <c r="D69" s="68">
        <v>44.1</v>
      </c>
      <c r="E69" s="68">
        <f t="shared" si="25"/>
        <v>44.1</v>
      </c>
      <c r="F69" s="51">
        <f t="shared" si="23"/>
        <v>0</v>
      </c>
      <c r="G69" s="37"/>
      <c r="H69" s="37">
        <v>22.1</v>
      </c>
      <c r="I69" s="17">
        <v>22</v>
      </c>
      <c r="J69" s="17"/>
      <c r="K69" s="17">
        <v>0</v>
      </c>
      <c r="L69" s="20"/>
      <c r="M69" s="20">
        <f t="shared" si="24"/>
        <v>0</v>
      </c>
      <c r="N69" s="48"/>
      <c r="O69" s="48"/>
      <c r="P69" s="17" t="e">
        <f t="shared" si="2"/>
        <v>#DIV/0!</v>
      </c>
      <c r="Q69" s="20"/>
      <c r="R69" s="18">
        <f>K69*100/E69</f>
        <v>0</v>
      </c>
      <c r="S69" s="18">
        <f t="shared" si="5"/>
        <v>0</v>
      </c>
    </row>
    <row r="70" spans="1:19" ht="23.25" customHeight="1">
      <c r="A70" s="13" t="s">
        <v>11</v>
      </c>
      <c r="B70" s="13"/>
      <c r="C70" s="28" t="s">
        <v>17</v>
      </c>
      <c r="D70" s="68">
        <v>5558.8</v>
      </c>
      <c r="E70" s="68">
        <f t="shared" si="25"/>
        <v>5558.799999999999</v>
      </c>
      <c r="F70" s="51">
        <f t="shared" si="23"/>
        <v>1389.3</v>
      </c>
      <c r="G70" s="37">
        <v>1389.3</v>
      </c>
      <c r="H70" s="37">
        <v>1387.6</v>
      </c>
      <c r="I70" s="17">
        <v>1393</v>
      </c>
      <c r="J70" s="17">
        <v>1388.9</v>
      </c>
      <c r="K70" s="17">
        <v>72.7</v>
      </c>
      <c r="L70" s="20" t="e">
        <f>K70/#REF!*100</f>
        <v>#REF!</v>
      </c>
      <c r="M70" s="20">
        <f t="shared" si="24"/>
        <v>5.218951902368988</v>
      </c>
      <c r="N70" s="48"/>
      <c r="O70" s="48"/>
      <c r="P70" s="17">
        <f t="shared" si="2"/>
        <v>5.234358125134999</v>
      </c>
      <c r="Q70" s="20">
        <f t="shared" si="3"/>
        <v>5.23285107608148</v>
      </c>
      <c r="R70" s="18">
        <f t="shared" si="4"/>
        <v>1.3078362236453913</v>
      </c>
      <c r="S70" s="18">
        <f t="shared" si="5"/>
        <v>1.307836223645391</v>
      </c>
    </row>
    <row r="71" spans="1:19" ht="14.25" customHeight="1" hidden="1">
      <c r="A71" s="30" t="s">
        <v>42</v>
      </c>
      <c r="B71" s="30"/>
      <c r="C71" s="28" t="s">
        <v>43</v>
      </c>
      <c r="D71" s="68"/>
      <c r="E71" s="68">
        <f t="shared" si="25"/>
        <v>0</v>
      </c>
      <c r="F71" s="51">
        <f t="shared" si="23"/>
        <v>0</v>
      </c>
      <c r="G71" s="37"/>
      <c r="H71" s="37"/>
      <c r="I71" s="17"/>
      <c r="J71" s="17"/>
      <c r="K71" s="17"/>
      <c r="L71" s="20" t="e">
        <f>K71/#REF!*100</f>
        <v>#REF!</v>
      </c>
      <c r="M71" s="20" t="e">
        <f t="shared" si="24"/>
        <v>#DIV/0!</v>
      </c>
      <c r="N71" s="48"/>
      <c r="O71" s="48"/>
      <c r="P71" s="17" t="e">
        <f t="shared" si="2"/>
        <v>#DIV/0!</v>
      </c>
      <c r="Q71" s="20"/>
      <c r="R71" s="18"/>
      <c r="S71" s="18"/>
    </row>
    <row r="72" spans="1:19" ht="24">
      <c r="A72" s="29" t="s">
        <v>18</v>
      </c>
      <c r="B72" s="29"/>
      <c r="C72" s="28" t="s">
        <v>15</v>
      </c>
      <c r="D72" s="68">
        <v>115</v>
      </c>
      <c r="E72" s="68">
        <f t="shared" si="25"/>
        <v>115</v>
      </c>
      <c r="F72" s="51">
        <f t="shared" si="23"/>
        <v>1</v>
      </c>
      <c r="G72" s="37">
        <v>1</v>
      </c>
      <c r="H72" s="37">
        <v>38</v>
      </c>
      <c r="I72" s="17">
        <v>38</v>
      </c>
      <c r="J72" s="17">
        <v>38</v>
      </c>
      <c r="K72" s="17">
        <v>14.6</v>
      </c>
      <c r="L72" s="20" t="e">
        <f>K72/#REF!*100</f>
        <v>#REF!</v>
      </c>
      <c r="M72" s="20">
        <f t="shared" si="24"/>
        <v>38.421052631578945</v>
      </c>
      <c r="N72" s="48"/>
      <c r="O72" s="48"/>
      <c r="P72" s="17">
        <f t="shared" si="2"/>
        <v>38.421052631578945</v>
      </c>
      <c r="Q72" s="20">
        <f t="shared" si="3"/>
        <v>1460</v>
      </c>
      <c r="R72" s="18">
        <f t="shared" si="4"/>
        <v>12.695652173913043</v>
      </c>
      <c r="S72" s="18">
        <f t="shared" si="5"/>
        <v>12.695652173913043</v>
      </c>
    </row>
    <row r="73" spans="1:19" ht="12.75" customHeight="1" hidden="1">
      <c r="A73" s="21" t="s">
        <v>12</v>
      </c>
      <c r="B73" s="21"/>
      <c r="C73" s="28" t="s">
        <v>7</v>
      </c>
      <c r="D73" s="68"/>
      <c r="E73" s="68">
        <f t="shared" si="25"/>
        <v>0</v>
      </c>
      <c r="F73" s="51">
        <f t="shared" si="23"/>
        <v>0</v>
      </c>
      <c r="G73" s="37"/>
      <c r="H73" s="37"/>
      <c r="I73" s="17"/>
      <c r="J73" s="17"/>
      <c r="K73" s="17"/>
      <c r="L73" s="20"/>
      <c r="M73" s="20"/>
      <c r="N73" s="48"/>
      <c r="O73" s="48"/>
      <c r="P73" s="17" t="e">
        <f t="shared" si="2"/>
        <v>#DIV/0!</v>
      </c>
      <c r="Q73" s="20"/>
      <c r="R73" s="18"/>
      <c r="S73" s="18"/>
    </row>
    <row r="74" spans="1:19" ht="12.75">
      <c r="A74" s="31" t="s">
        <v>39</v>
      </c>
      <c r="B74" s="52"/>
      <c r="C74" s="16" t="s">
        <v>40</v>
      </c>
      <c r="D74" s="68"/>
      <c r="E74" s="68">
        <f t="shared" si="25"/>
        <v>0</v>
      </c>
      <c r="F74" s="51">
        <f t="shared" si="23"/>
        <v>0</v>
      </c>
      <c r="G74" s="37"/>
      <c r="H74" s="37"/>
      <c r="I74" s="17"/>
      <c r="J74" s="17"/>
      <c r="K74" s="17"/>
      <c r="L74" s="20"/>
      <c r="M74" s="20"/>
      <c r="N74" s="48"/>
      <c r="O74" s="48"/>
      <c r="P74" s="17" t="e">
        <f t="shared" si="2"/>
        <v>#DIV/0!</v>
      </c>
      <c r="Q74" s="20"/>
      <c r="R74" s="18"/>
      <c r="S74" s="18"/>
    </row>
    <row r="75" spans="1:19" ht="12.75">
      <c r="A75" s="25" t="s">
        <v>1</v>
      </c>
      <c r="B75" s="25"/>
      <c r="C75" s="32" t="s">
        <v>0</v>
      </c>
      <c r="D75" s="33">
        <f aca="true" t="shared" si="26" ref="D75:K75">D76+D77</f>
        <v>31268.9</v>
      </c>
      <c r="E75" s="33">
        <f t="shared" si="26"/>
        <v>42115.49999999999</v>
      </c>
      <c r="F75" s="33">
        <f t="shared" si="26"/>
        <v>17319.1</v>
      </c>
      <c r="G75" s="33">
        <f t="shared" si="26"/>
        <v>17319.1</v>
      </c>
      <c r="H75" s="33">
        <f t="shared" si="26"/>
        <v>9159.8</v>
      </c>
      <c r="I75" s="33">
        <f t="shared" si="26"/>
        <v>9162.5</v>
      </c>
      <c r="J75" s="33">
        <f t="shared" si="26"/>
        <v>6474.1</v>
      </c>
      <c r="K75" s="33">
        <f t="shared" si="26"/>
        <v>1854.1</v>
      </c>
      <c r="L75" s="27" t="e">
        <f>K75/#REF!*100</f>
        <v>#REF!</v>
      </c>
      <c r="M75" s="27">
        <f>K75/I75*100</f>
        <v>20.235743519781717</v>
      </c>
      <c r="N75" s="48"/>
      <c r="O75" s="48"/>
      <c r="P75" s="36">
        <f t="shared" si="2"/>
        <v>28.638729707604146</v>
      </c>
      <c r="Q75" s="27">
        <f t="shared" si="3"/>
        <v>10.705521649508347</v>
      </c>
      <c r="R75" s="24">
        <f t="shared" si="4"/>
        <v>4.40241716232741</v>
      </c>
      <c r="S75" s="24">
        <f aca="true" t="shared" si="27" ref="S75:S137">K75*100/D75</f>
        <v>5.929533817946905</v>
      </c>
    </row>
    <row r="76" spans="1:19" ht="24">
      <c r="A76" s="14" t="s">
        <v>67</v>
      </c>
      <c r="B76" s="12"/>
      <c r="C76" s="34" t="s">
        <v>20</v>
      </c>
      <c r="D76" s="37">
        <v>31268.9</v>
      </c>
      <c r="E76" s="68">
        <f t="shared" si="25"/>
        <v>42115.49999999999</v>
      </c>
      <c r="F76" s="51">
        <f t="shared" si="23"/>
        <v>17319.1</v>
      </c>
      <c r="G76" s="37">
        <v>17319.1</v>
      </c>
      <c r="H76" s="37">
        <v>9159.8</v>
      </c>
      <c r="I76" s="17">
        <v>9162.5</v>
      </c>
      <c r="J76" s="18">
        <v>6474.1</v>
      </c>
      <c r="K76" s="18">
        <v>1854.1</v>
      </c>
      <c r="L76" s="20" t="e">
        <f>K76/#REF!*100</f>
        <v>#REF!</v>
      </c>
      <c r="M76" s="20">
        <f>K76/I76*100</f>
        <v>20.235743519781717</v>
      </c>
      <c r="N76" s="48"/>
      <c r="O76" s="48"/>
      <c r="P76" s="17">
        <f t="shared" si="2"/>
        <v>28.638729707604146</v>
      </c>
      <c r="Q76" s="20">
        <f t="shared" si="3"/>
        <v>10.705521649508347</v>
      </c>
      <c r="R76" s="18">
        <f t="shared" si="4"/>
        <v>4.40241716232741</v>
      </c>
      <c r="S76" s="18">
        <f t="shared" si="27"/>
        <v>5.929533817946905</v>
      </c>
    </row>
    <row r="77" spans="1:19" ht="23.25" customHeight="1" hidden="1">
      <c r="A77" s="14" t="s">
        <v>2</v>
      </c>
      <c r="B77" s="14"/>
      <c r="C77" s="35" t="s">
        <v>19</v>
      </c>
      <c r="D77" s="69"/>
      <c r="E77" s="68">
        <f t="shared" si="25"/>
        <v>0</v>
      </c>
      <c r="F77" s="51">
        <f t="shared" si="23"/>
        <v>0</v>
      </c>
      <c r="G77" s="75"/>
      <c r="H77" s="75"/>
      <c r="I77" s="17"/>
      <c r="J77" s="18"/>
      <c r="K77" s="18"/>
      <c r="L77" s="20" t="e">
        <f>K77/#REF!*100</f>
        <v>#REF!</v>
      </c>
      <c r="M77" s="20"/>
      <c r="N77" s="48"/>
      <c r="O77" s="48"/>
      <c r="P77" s="17" t="e">
        <f t="shared" si="2"/>
        <v>#DIV/0!</v>
      </c>
      <c r="Q77" s="27"/>
      <c r="R77" s="24"/>
      <c r="S77" s="18"/>
    </row>
    <row r="78" spans="1:19" ht="12.75">
      <c r="A78" s="21"/>
      <c r="B78" s="22"/>
      <c r="C78" s="23" t="s">
        <v>4</v>
      </c>
      <c r="D78" s="24">
        <f aca="true" t="shared" si="28" ref="D78:L78">D75+D64</f>
        <v>74577.2</v>
      </c>
      <c r="E78" s="24">
        <f t="shared" si="28"/>
        <v>85423.79999999999</v>
      </c>
      <c r="F78" s="24">
        <f t="shared" si="28"/>
        <v>26586.399999999998</v>
      </c>
      <c r="G78" s="24">
        <f t="shared" si="28"/>
        <v>26586.399999999998</v>
      </c>
      <c r="H78" s="24">
        <f t="shared" si="28"/>
        <v>18296.4</v>
      </c>
      <c r="I78" s="24">
        <f t="shared" si="28"/>
        <v>20169.4</v>
      </c>
      <c r="J78" s="24">
        <f t="shared" si="28"/>
        <v>20371.6</v>
      </c>
      <c r="K78" s="24">
        <f t="shared" si="28"/>
        <v>4339.9</v>
      </c>
      <c r="L78" s="24" t="e">
        <f t="shared" si="28"/>
        <v>#REF!</v>
      </c>
      <c r="M78" s="27">
        <f>K78/I78*100</f>
        <v>21.517248901801736</v>
      </c>
      <c r="N78" s="48"/>
      <c r="O78" s="49" t="e">
        <f>J78+#REF!+#REF!</f>
        <v>#REF!</v>
      </c>
      <c r="P78" s="36">
        <f t="shared" si="2"/>
        <v>21.30367766891162</v>
      </c>
      <c r="Q78" s="27">
        <f t="shared" si="3"/>
        <v>16.323759516143593</v>
      </c>
      <c r="R78" s="24">
        <f t="shared" si="4"/>
        <v>5.0804342583682764</v>
      </c>
      <c r="S78" s="24">
        <f t="shared" si="27"/>
        <v>5.819338886415687</v>
      </c>
    </row>
    <row r="79" spans="1:19" ht="12.75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1"/>
      <c r="N79" s="48"/>
      <c r="O79" s="48"/>
      <c r="P79" s="47"/>
      <c r="Q79" s="27"/>
      <c r="R79" s="24"/>
      <c r="S79" s="18"/>
    </row>
    <row r="80" spans="1:19" ht="12.75">
      <c r="A80" s="98" t="s">
        <v>28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00"/>
    </row>
    <row r="81" spans="1:19" ht="12.75">
      <c r="A81" s="25" t="s">
        <v>3</v>
      </c>
      <c r="B81" s="25"/>
      <c r="C81" s="26" t="s">
        <v>68</v>
      </c>
      <c r="D81" s="27">
        <f aca="true" t="shared" si="29" ref="D81:J81">D82+D84+D85+D86+D87+D88+D89+D90+D91+D83</f>
        <v>43172.200000000004</v>
      </c>
      <c r="E81" s="27">
        <f t="shared" si="29"/>
        <v>43172.2</v>
      </c>
      <c r="F81" s="27">
        <f t="shared" si="29"/>
        <v>11820.800000000001</v>
      </c>
      <c r="G81" s="27">
        <f t="shared" si="29"/>
        <v>11820.800000000001</v>
      </c>
      <c r="H81" s="27">
        <f t="shared" si="29"/>
        <v>8992.599999999999</v>
      </c>
      <c r="I81" s="27">
        <f t="shared" si="29"/>
        <v>9094.900000000001</v>
      </c>
      <c r="J81" s="27">
        <f t="shared" si="29"/>
        <v>13263.900000000001</v>
      </c>
      <c r="K81" s="27">
        <f>K82+K84+K85+K86+K87+K88+K89+K90+K91+K83</f>
        <v>2588.8999999999996</v>
      </c>
      <c r="L81" s="27" t="e">
        <f>K81/#REF!*100</f>
        <v>#REF!</v>
      </c>
      <c r="M81" s="27">
        <f>K81/I81*100</f>
        <v>28.465403687781055</v>
      </c>
      <c r="N81" s="48"/>
      <c r="O81" s="48"/>
      <c r="P81" s="27">
        <f t="shared" si="2"/>
        <v>19.51839202647788</v>
      </c>
      <c r="Q81" s="27">
        <f aca="true" t="shared" si="30" ref="Q81:Q150">K81*100/F81</f>
        <v>21.901224959393605</v>
      </c>
      <c r="R81" s="24">
        <f aca="true" t="shared" si="31" ref="R81:R150">K81*100/E81</f>
        <v>5.9966830506668645</v>
      </c>
      <c r="S81" s="24">
        <f t="shared" si="27"/>
        <v>5.996683050666863</v>
      </c>
    </row>
    <row r="82" spans="1:19" ht="13.5" customHeight="1">
      <c r="A82" s="21" t="s">
        <v>23</v>
      </c>
      <c r="B82" s="21"/>
      <c r="C82" s="28" t="s">
        <v>22</v>
      </c>
      <c r="D82" s="68">
        <v>29500</v>
      </c>
      <c r="E82" s="68">
        <f>G82+H82+I82+J82</f>
        <v>29500</v>
      </c>
      <c r="F82" s="51">
        <f aca="true" t="shared" si="32" ref="F82:F94">G82</f>
        <v>8850</v>
      </c>
      <c r="G82" s="37">
        <v>8850</v>
      </c>
      <c r="H82" s="37">
        <v>5900</v>
      </c>
      <c r="I82" s="17">
        <v>5900</v>
      </c>
      <c r="J82" s="17">
        <v>8850</v>
      </c>
      <c r="K82" s="18">
        <v>1765.5</v>
      </c>
      <c r="L82" s="20" t="e">
        <f>K82/#REF!*100</f>
        <v>#REF!</v>
      </c>
      <c r="M82" s="20">
        <f>K82/I82*100</f>
        <v>29.92372881355932</v>
      </c>
      <c r="N82" s="48"/>
      <c r="O82" s="48"/>
      <c r="P82" s="17">
        <f aca="true" t="shared" si="33" ref="P82:P155">K82*100/J82</f>
        <v>19.949152542372882</v>
      </c>
      <c r="Q82" s="20">
        <f t="shared" si="30"/>
        <v>19.949152542372882</v>
      </c>
      <c r="R82" s="18">
        <f t="shared" si="31"/>
        <v>5.9847457627118645</v>
      </c>
      <c r="S82" s="18">
        <f t="shared" si="27"/>
        <v>5.9847457627118645</v>
      </c>
    </row>
    <row r="83" spans="1:19" ht="15.75" customHeight="1">
      <c r="A83" s="12" t="s">
        <v>70</v>
      </c>
      <c r="B83" s="12"/>
      <c r="C83" s="28" t="s">
        <v>71</v>
      </c>
      <c r="D83" s="68">
        <v>4257.3</v>
      </c>
      <c r="E83" s="68">
        <f>G83+H83+I83+J83</f>
        <v>4257.299999999999</v>
      </c>
      <c r="F83" s="51">
        <f t="shared" si="32"/>
        <v>1277.2</v>
      </c>
      <c r="G83" s="37">
        <v>1277.2</v>
      </c>
      <c r="H83" s="37">
        <v>851.5</v>
      </c>
      <c r="I83" s="17">
        <v>851.5</v>
      </c>
      <c r="J83" s="17">
        <v>1277.1</v>
      </c>
      <c r="K83" s="18">
        <v>366.3</v>
      </c>
      <c r="L83" s="20"/>
      <c r="M83" s="20"/>
      <c r="N83" s="48"/>
      <c r="O83" s="48"/>
      <c r="P83" s="17"/>
      <c r="Q83" s="20">
        <f>K83*100/F83</f>
        <v>28.679924835577825</v>
      </c>
      <c r="R83" s="18">
        <f>K83*100/E83</f>
        <v>8.604044817137623</v>
      </c>
      <c r="S83" s="18">
        <f t="shared" si="27"/>
        <v>8.604044817137622</v>
      </c>
    </row>
    <row r="84" spans="1:19" ht="15" customHeight="1" hidden="1">
      <c r="A84" s="12" t="s">
        <v>8</v>
      </c>
      <c r="B84" s="12"/>
      <c r="C84" s="28" t="s">
        <v>5</v>
      </c>
      <c r="D84" s="68"/>
      <c r="E84" s="68">
        <f aca="true" t="shared" si="34" ref="E84:E91">G84+H84+I84+J84</f>
        <v>0</v>
      </c>
      <c r="F84" s="51">
        <f t="shared" si="32"/>
        <v>0</v>
      </c>
      <c r="G84" s="37"/>
      <c r="H84" s="37"/>
      <c r="I84" s="17"/>
      <c r="J84" s="17"/>
      <c r="K84" s="18"/>
      <c r="L84" s="20"/>
      <c r="M84" s="20"/>
      <c r="N84" s="48"/>
      <c r="O84" s="48"/>
      <c r="P84" s="17" t="e">
        <f t="shared" si="33"/>
        <v>#DIV/0!</v>
      </c>
      <c r="Q84" s="20" t="e">
        <f>K84*100/F84</f>
        <v>#DIV/0!</v>
      </c>
      <c r="R84" s="18" t="e">
        <f>K84*100/E84</f>
        <v>#DIV/0!</v>
      </c>
      <c r="S84" s="18" t="e">
        <f t="shared" si="27"/>
        <v>#DIV/0!</v>
      </c>
    </row>
    <row r="85" spans="1:19" ht="12.75">
      <c r="A85" s="12" t="s">
        <v>9</v>
      </c>
      <c r="B85" s="12"/>
      <c r="C85" s="28" t="s">
        <v>6</v>
      </c>
      <c r="D85" s="68">
        <v>2312.9</v>
      </c>
      <c r="E85" s="68">
        <f t="shared" si="34"/>
        <v>2312.9</v>
      </c>
      <c r="F85" s="51">
        <f t="shared" si="32"/>
        <v>462.6</v>
      </c>
      <c r="G85" s="37">
        <v>462.6</v>
      </c>
      <c r="H85" s="37">
        <v>412.9</v>
      </c>
      <c r="I85" s="17">
        <v>512.2</v>
      </c>
      <c r="J85" s="17">
        <v>925.2</v>
      </c>
      <c r="K85" s="18">
        <v>335.2</v>
      </c>
      <c r="L85" s="20" t="e">
        <f>K85/#REF!*100</f>
        <v>#REF!</v>
      </c>
      <c r="M85" s="20">
        <f>K85/I85*100</f>
        <v>65.44318625536899</v>
      </c>
      <c r="N85" s="48"/>
      <c r="O85" s="48"/>
      <c r="P85" s="17">
        <f t="shared" si="33"/>
        <v>36.23000432338954</v>
      </c>
      <c r="Q85" s="20">
        <f t="shared" si="30"/>
        <v>72.46000864677907</v>
      </c>
      <c r="R85" s="18">
        <f t="shared" si="31"/>
        <v>14.492628302131523</v>
      </c>
      <c r="S85" s="18">
        <f t="shared" si="27"/>
        <v>14.492628302131523</v>
      </c>
    </row>
    <row r="86" spans="1:19" ht="12.75" hidden="1">
      <c r="A86" s="12" t="s">
        <v>10</v>
      </c>
      <c r="B86" s="12"/>
      <c r="C86" s="28" t="s">
        <v>21</v>
      </c>
      <c r="D86" s="68"/>
      <c r="E86" s="68">
        <f t="shared" si="34"/>
        <v>0</v>
      </c>
      <c r="F86" s="51">
        <f t="shared" si="32"/>
        <v>0</v>
      </c>
      <c r="G86" s="37"/>
      <c r="H86" s="37"/>
      <c r="I86" s="17"/>
      <c r="J86" s="17"/>
      <c r="K86" s="18"/>
      <c r="L86" s="20"/>
      <c r="M86" s="20"/>
      <c r="N86" s="48"/>
      <c r="O86" s="48"/>
      <c r="P86" s="17" t="e">
        <f t="shared" si="33"/>
        <v>#DIV/0!</v>
      </c>
      <c r="Q86" s="20" t="e">
        <f t="shared" si="30"/>
        <v>#DIV/0!</v>
      </c>
      <c r="R86" s="18" t="e">
        <f t="shared" si="31"/>
        <v>#DIV/0!</v>
      </c>
      <c r="S86" s="18" t="e">
        <f t="shared" si="27"/>
        <v>#DIV/0!</v>
      </c>
    </row>
    <row r="87" spans="1:19" ht="23.25" customHeight="1">
      <c r="A87" s="13" t="s">
        <v>11</v>
      </c>
      <c r="B87" s="13"/>
      <c r="C87" s="28" t="s">
        <v>17</v>
      </c>
      <c r="D87" s="68">
        <v>6954</v>
      </c>
      <c r="E87" s="68">
        <f t="shared" si="34"/>
        <v>6954</v>
      </c>
      <c r="F87" s="51">
        <f t="shared" si="32"/>
        <v>1223.6</v>
      </c>
      <c r="G87" s="37">
        <v>1223.6</v>
      </c>
      <c r="H87" s="37">
        <v>1806</v>
      </c>
      <c r="I87" s="17">
        <v>1809</v>
      </c>
      <c r="J87" s="17">
        <v>2115.4</v>
      </c>
      <c r="K87" s="18">
        <v>116</v>
      </c>
      <c r="L87" s="20" t="e">
        <f>K87/#REF!*100</f>
        <v>#REF!</v>
      </c>
      <c r="M87" s="20">
        <f>K87/I87*100</f>
        <v>6.412382531785517</v>
      </c>
      <c r="N87" s="48"/>
      <c r="O87" s="48"/>
      <c r="P87" s="17">
        <f t="shared" si="33"/>
        <v>5.4835964829346695</v>
      </c>
      <c r="Q87" s="20">
        <f t="shared" si="30"/>
        <v>9.480222294867605</v>
      </c>
      <c r="R87" s="18">
        <f t="shared" si="31"/>
        <v>1.6681046879493817</v>
      </c>
      <c r="S87" s="18">
        <f t="shared" si="27"/>
        <v>1.6681046879493817</v>
      </c>
    </row>
    <row r="88" spans="1:19" ht="25.5" customHeight="1">
      <c r="A88" s="30" t="s">
        <v>42</v>
      </c>
      <c r="B88" s="30"/>
      <c r="C88" s="28" t="s">
        <v>43</v>
      </c>
      <c r="D88" s="68">
        <v>0</v>
      </c>
      <c r="E88" s="68">
        <f t="shared" si="34"/>
        <v>0</v>
      </c>
      <c r="F88" s="51">
        <f t="shared" si="32"/>
        <v>0</v>
      </c>
      <c r="G88" s="37"/>
      <c r="H88" s="37"/>
      <c r="I88" s="17"/>
      <c r="J88" s="17"/>
      <c r="K88" s="18">
        <v>2.7</v>
      </c>
      <c r="L88" s="20" t="e">
        <f>K88/#REF!*100</f>
        <v>#REF!</v>
      </c>
      <c r="M88" s="20" t="e">
        <f>K88/I88*100</f>
        <v>#DIV/0!</v>
      </c>
      <c r="N88" s="48"/>
      <c r="O88" s="48"/>
      <c r="P88" s="17" t="e">
        <f t="shared" si="33"/>
        <v>#DIV/0!</v>
      </c>
      <c r="Q88" s="20"/>
      <c r="R88" s="18"/>
      <c r="S88" s="18"/>
    </row>
    <row r="89" spans="1:19" ht="24">
      <c r="A89" s="29" t="s">
        <v>18</v>
      </c>
      <c r="B89" s="29"/>
      <c r="C89" s="28" t="s">
        <v>15</v>
      </c>
      <c r="D89" s="68">
        <v>148</v>
      </c>
      <c r="E89" s="68">
        <f t="shared" si="34"/>
        <v>148</v>
      </c>
      <c r="F89" s="51">
        <f t="shared" si="32"/>
        <v>7.4</v>
      </c>
      <c r="G89" s="37">
        <v>7.4</v>
      </c>
      <c r="H89" s="37">
        <v>22.2</v>
      </c>
      <c r="I89" s="17">
        <v>22.2</v>
      </c>
      <c r="J89" s="17">
        <v>96.2</v>
      </c>
      <c r="K89" s="18">
        <v>3.2</v>
      </c>
      <c r="L89" s="20" t="e">
        <f>K89/#REF!*100</f>
        <v>#REF!</v>
      </c>
      <c r="M89" s="20">
        <f>K89/I89*100</f>
        <v>14.414414414414415</v>
      </c>
      <c r="N89" s="48"/>
      <c r="O89" s="48"/>
      <c r="P89" s="17">
        <f t="shared" si="33"/>
        <v>3.326403326403326</v>
      </c>
      <c r="Q89" s="20">
        <f t="shared" si="30"/>
        <v>43.24324324324324</v>
      </c>
      <c r="R89" s="18">
        <f t="shared" si="31"/>
        <v>2.1621621621621623</v>
      </c>
      <c r="S89" s="18">
        <f t="shared" si="27"/>
        <v>2.1621621621621623</v>
      </c>
    </row>
    <row r="90" spans="1:19" ht="14.25" customHeight="1" hidden="1">
      <c r="A90" s="21" t="s">
        <v>12</v>
      </c>
      <c r="B90" s="21"/>
      <c r="C90" s="28" t="s">
        <v>7</v>
      </c>
      <c r="D90" s="68"/>
      <c r="E90" s="68">
        <f t="shared" si="34"/>
        <v>0</v>
      </c>
      <c r="F90" s="51">
        <f t="shared" si="32"/>
        <v>0</v>
      </c>
      <c r="G90" s="37"/>
      <c r="H90" s="37"/>
      <c r="I90" s="17"/>
      <c r="J90" s="17"/>
      <c r="K90" s="18"/>
      <c r="L90" s="27"/>
      <c r="M90" s="27"/>
      <c r="N90" s="48"/>
      <c r="O90" s="48"/>
      <c r="P90" s="17" t="e">
        <f t="shared" si="33"/>
        <v>#DIV/0!</v>
      </c>
      <c r="Q90" s="20" t="e">
        <f t="shared" si="30"/>
        <v>#DIV/0!</v>
      </c>
      <c r="R90" s="18" t="e">
        <f t="shared" si="31"/>
        <v>#DIV/0!</v>
      </c>
      <c r="S90" s="18"/>
    </row>
    <row r="91" spans="1:19" ht="12.75">
      <c r="A91" s="31" t="s">
        <v>39</v>
      </c>
      <c r="B91" s="52"/>
      <c r="C91" s="16" t="s">
        <v>40</v>
      </c>
      <c r="D91" s="68"/>
      <c r="E91" s="68">
        <f t="shared" si="34"/>
        <v>0</v>
      </c>
      <c r="F91" s="51">
        <f t="shared" si="32"/>
        <v>0</v>
      </c>
      <c r="G91" s="37"/>
      <c r="H91" s="37"/>
      <c r="I91" s="17"/>
      <c r="J91" s="17"/>
      <c r="K91" s="18"/>
      <c r="L91" s="27"/>
      <c r="M91" s="27"/>
      <c r="N91" s="48"/>
      <c r="O91" s="48"/>
      <c r="P91" s="17" t="e">
        <f t="shared" si="33"/>
        <v>#DIV/0!</v>
      </c>
      <c r="Q91" s="20"/>
      <c r="R91" s="18"/>
      <c r="S91" s="18"/>
    </row>
    <row r="92" spans="1:19" ht="12.75" hidden="1">
      <c r="A92" s="31" t="s">
        <v>44</v>
      </c>
      <c r="B92" s="52"/>
      <c r="C92" s="16" t="s">
        <v>45</v>
      </c>
      <c r="D92" s="72"/>
      <c r="E92" s="16"/>
      <c r="F92" s="51">
        <f t="shared" si="32"/>
        <v>0</v>
      </c>
      <c r="G92" s="37"/>
      <c r="H92" s="37"/>
      <c r="I92" s="17" t="e">
        <f>J92+#REF!+#REF!+#REF!</f>
        <v>#REF!</v>
      </c>
      <c r="J92" s="17"/>
      <c r="K92" s="18"/>
      <c r="L92" s="27"/>
      <c r="M92" s="27"/>
      <c r="N92" s="48"/>
      <c r="O92" s="48"/>
      <c r="P92" s="17" t="e">
        <f t="shared" si="33"/>
        <v>#DIV/0!</v>
      </c>
      <c r="Q92" s="27" t="e">
        <f t="shared" si="30"/>
        <v>#DIV/0!</v>
      </c>
      <c r="R92" s="24" t="e">
        <f t="shared" si="31"/>
        <v>#DIV/0!</v>
      </c>
      <c r="S92" s="18" t="e">
        <f t="shared" si="27"/>
        <v>#DIV/0!</v>
      </c>
    </row>
    <row r="93" spans="1:19" ht="12.75">
      <c r="A93" s="25" t="s">
        <v>1</v>
      </c>
      <c r="B93" s="25"/>
      <c r="C93" s="32" t="s">
        <v>0</v>
      </c>
      <c r="D93" s="33">
        <f aca="true" t="shared" si="35" ref="D93:K93">D94+D95</f>
        <v>44557.1</v>
      </c>
      <c r="E93" s="33">
        <f t="shared" si="35"/>
        <v>53045.600000000006</v>
      </c>
      <c r="F93" s="80">
        <f t="shared" si="35"/>
        <v>15633.1</v>
      </c>
      <c r="G93" s="33">
        <f t="shared" si="35"/>
        <v>15633.1</v>
      </c>
      <c r="H93" s="33">
        <f t="shared" si="35"/>
        <v>17397.3</v>
      </c>
      <c r="I93" s="33">
        <f t="shared" si="35"/>
        <v>10220.5</v>
      </c>
      <c r="J93" s="33">
        <f t="shared" si="35"/>
        <v>9794.7</v>
      </c>
      <c r="K93" s="33">
        <f t="shared" si="35"/>
        <v>5228</v>
      </c>
      <c r="L93" s="27" t="e">
        <f>K93/#REF!*100</f>
        <v>#REF!</v>
      </c>
      <c r="M93" s="27">
        <f>K93/I93*100</f>
        <v>51.152096277090166</v>
      </c>
      <c r="N93" s="48"/>
      <c r="O93" s="48"/>
      <c r="P93" s="36">
        <f t="shared" si="33"/>
        <v>53.37580528244867</v>
      </c>
      <c r="Q93" s="27">
        <f t="shared" si="30"/>
        <v>33.441863737838304</v>
      </c>
      <c r="R93" s="24">
        <f t="shared" si="31"/>
        <v>9.855671346916614</v>
      </c>
      <c r="S93" s="24">
        <f t="shared" si="27"/>
        <v>11.733259121441925</v>
      </c>
    </row>
    <row r="94" spans="1:19" ht="24">
      <c r="A94" s="14" t="s">
        <v>67</v>
      </c>
      <c r="B94" s="12"/>
      <c r="C94" s="34" t="s">
        <v>20</v>
      </c>
      <c r="D94" s="37">
        <v>44557.1</v>
      </c>
      <c r="E94" s="68">
        <f>G94+H94+I94+J94</f>
        <v>53045.600000000006</v>
      </c>
      <c r="F94" s="51">
        <f t="shared" si="32"/>
        <v>15633.1</v>
      </c>
      <c r="G94" s="37">
        <v>15633.1</v>
      </c>
      <c r="H94" s="37">
        <v>17397.3</v>
      </c>
      <c r="I94" s="17">
        <v>10220.5</v>
      </c>
      <c r="J94" s="17">
        <v>9794.7</v>
      </c>
      <c r="K94" s="18">
        <v>5228</v>
      </c>
      <c r="L94" s="20" t="e">
        <f>K94/#REF!*100</f>
        <v>#REF!</v>
      </c>
      <c r="M94" s="20">
        <f>K94/I94*100</f>
        <v>51.152096277090166</v>
      </c>
      <c r="N94" s="48"/>
      <c r="O94" s="48"/>
      <c r="P94" s="17">
        <f t="shared" si="33"/>
        <v>53.37580528244867</v>
      </c>
      <c r="Q94" s="20">
        <f t="shared" si="30"/>
        <v>33.441863737838304</v>
      </c>
      <c r="R94" s="18">
        <f t="shared" si="31"/>
        <v>9.855671346916614</v>
      </c>
      <c r="S94" s="18">
        <f t="shared" si="27"/>
        <v>11.733259121441925</v>
      </c>
    </row>
    <row r="95" spans="1:19" ht="21.75" customHeight="1" hidden="1">
      <c r="A95" s="14" t="s">
        <v>2</v>
      </c>
      <c r="B95" s="14"/>
      <c r="C95" s="35" t="s">
        <v>19</v>
      </c>
      <c r="D95" s="69"/>
      <c r="E95" s="68">
        <f>G95+H95+I95+J95</f>
        <v>0</v>
      </c>
      <c r="F95" s="51"/>
      <c r="G95" s="81"/>
      <c r="H95" s="81"/>
      <c r="I95" s="17"/>
      <c r="J95" s="17"/>
      <c r="K95" s="18"/>
      <c r="L95" s="20" t="e">
        <f>K95/#REF!*100</f>
        <v>#REF!</v>
      </c>
      <c r="M95" s="20"/>
      <c r="N95" s="48"/>
      <c r="O95" s="48"/>
      <c r="P95" s="17" t="e">
        <f t="shared" si="33"/>
        <v>#DIV/0!</v>
      </c>
      <c r="Q95" s="20"/>
      <c r="R95" s="18"/>
      <c r="S95" s="18"/>
    </row>
    <row r="96" spans="1:19" ht="12.75">
      <c r="A96" s="21"/>
      <c r="B96" s="22"/>
      <c r="C96" s="23" t="s">
        <v>4</v>
      </c>
      <c r="D96" s="24">
        <f aca="true" t="shared" si="36" ref="D96:K96">D93+D81</f>
        <v>87729.3</v>
      </c>
      <c r="E96" s="24">
        <f t="shared" si="36"/>
        <v>96217.8</v>
      </c>
      <c r="F96" s="24">
        <f t="shared" si="36"/>
        <v>27453.9</v>
      </c>
      <c r="G96" s="24">
        <f t="shared" si="36"/>
        <v>27453.9</v>
      </c>
      <c r="H96" s="24">
        <f t="shared" si="36"/>
        <v>26389.899999999998</v>
      </c>
      <c r="I96" s="24">
        <f t="shared" si="36"/>
        <v>19315.4</v>
      </c>
      <c r="J96" s="24">
        <f t="shared" si="36"/>
        <v>23058.600000000002</v>
      </c>
      <c r="K96" s="24">
        <f t="shared" si="36"/>
        <v>7816.9</v>
      </c>
      <c r="L96" s="27" t="e">
        <f>K96/#REF!*100</f>
        <v>#REF!</v>
      </c>
      <c r="M96" s="27">
        <f>K96/I96*100</f>
        <v>40.46978058958137</v>
      </c>
      <c r="N96" s="48"/>
      <c r="O96" s="49" t="e">
        <f>J96+#REF!+#REF!</f>
        <v>#REF!</v>
      </c>
      <c r="P96" s="36">
        <f t="shared" si="33"/>
        <v>33.900150052475</v>
      </c>
      <c r="Q96" s="27">
        <f t="shared" si="30"/>
        <v>28.472821712033625</v>
      </c>
      <c r="R96" s="24">
        <f t="shared" si="31"/>
        <v>8.124172450419776</v>
      </c>
      <c r="S96" s="24">
        <f t="shared" si="27"/>
        <v>8.910250053288923</v>
      </c>
    </row>
    <row r="97" spans="1:19" ht="12.75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1"/>
      <c r="N97" s="48"/>
      <c r="O97" s="48"/>
      <c r="P97" s="47"/>
      <c r="Q97" s="27"/>
      <c r="R97" s="24"/>
      <c r="S97" s="18"/>
    </row>
    <row r="98" spans="1:19" ht="12.75">
      <c r="A98" s="98" t="s">
        <v>29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00"/>
    </row>
    <row r="99" spans="1:19" ht="12.75">
      <c r="A99" s="25" t="s">
        <v>3</v>
      </c>
      <c r="B99" s="25"/>
      <c r="C99" s="26" t="s">
        <v>68</v>
      </c>
      <c r="D99" s="27">
        <f aca="true" t="shared" si="37" ref="D99:K99">D100+D103+D107+D104+D105+D108+D106+D102+D101</f>
        <v>3213.8</v>
      </c>
      <c r="E99" s="27">
        <f t="shared" si="37"/>
        <v>3213.7999999999997</v>
      </c>
      <c r="F99" s="27">
        <f t="shared" si="37"/>
        <v>775.7</v>
      </c>
      <c r="G99" s="27">
        <f t="shared" si="37"/>
        <v>775.7</v>
      </c>
      <c r="H99" s="27">
        <f t="shared" si="37"/>
        <v>814.3000000000001</v>
      </c>
      <c r="I99" s="27">
        <f t="shared" si="37"/>
        <v>809.3</v>
      </c>
      <c r="J99" s="27">
        <f t="shared" si="37"/>
        <v>814.5</v>
      </c>
      <c r="K99" s="27">
        <f t="shared" si="37"/>
        <v>157.89999999999998</v>
      </c>
      <c r="L99" s="27" t="e">
        <f>K99/#REF!*100</f>
        <v>#REF!</v>
      </c>
      <c r="M99" s="27">
        <f>K99/I99*100</f>
        <v>19.510688249104163</v>
      </c>
      <c r="N99" s="48"/>
      <c r="O99" s="48"/>
      <c r="P99" s="27">
        <f t="shared" si="33"/>
        <v>19.38612645794966</v>
      </c>
      <c r="Q99" s="27">
        <f t="shared" si="30"/>
        <v>20.355807657599584</v>
      </c>
      <c r="R99" s="24">
        <f t="shared" si="31"/>
        <v>4.913186881573215</v>
      </c>
      <c r="S99" s="24">
        <f t="shared" si="27"/>
        <v>4.913186881573215</v>
      </c>
    </row>
    <row r="100" spans="1:19" ht="12.75">
      <c r="A100" s="21" t="s">
        <v>23</v>
      </c>
      <c r="B100" s="21"/>
      <c r="C100" s="28" t="s">
        <v>22</v>
      </c>
      <c r="D100" s="68">
        <v>1650</v>
      </c>
      <c r="E100" s="68">
        <f>G100+H100+I100+J100</f>
        <v>1650</v>
      </c>
      <c r="F100" s="51">
        <f aca="true" t="shared" si="38" ref="F100:F110">G100</f>
        <v>412.5</v>
      </c>
      <c r="G100" s="37">
        <v>412.5</v>
      </c>
      <c r="H100" s="37">
        <v>412.5</v>
      </c>
      <c r="I100" s="17">
        <v>412.5</v>
      </c>
      <c r="J100" s="18">
        <v>412.5</v>
      </c>
      <c r="K100" s="18">
        <v>33</v>
      </c>
      <c r="L100" s="20"/>
      <c r="M100" s="20">
        <f>K100/I100*100</f>
        <v>8</v>
      </c>
      <c r="N100" s="49"/>
      <c r="O100" s="48"/>
      <c r="P100" s="17">
        <f t="shared" si="33"/>
        <v>8</v>
      </c>
      <c r="Q100" s="20">
        <f t="shared" si="30"/>
        <v>8</v>
      </c>
      <c r="R100" s="18">
        <f t="shared" si="31"/>
        <v>2</v>
      </c>
      <c r="S100" s="18">
        <f t="shared" si="27"/>
        <v>2</v>
      </c>
    </row>
    <row r="101" spans="1:19" ht="12.75">
      <c r="A101" s="12" t="s">
        <v>70</v>
      </c>
      <c r="B101" s="12"/>
      <c r="C101" s="28" t="s">
        <v>71</v>
      </c>
      <c r="D101" s="68">
        <v>1384.2</v>
      </c>
      <c r="E101" s="68">
        <f>G101+H101+I101+J101</f>
        <v>1384.1999999999998</v>
      </c>
      <c r="F101" s="51">
        <f t="shared" si="38"/>
        <v>346</v>
      </c>
      <c r="G101" s="37">
        <v>346</v>
      </c>
      <c r="H101" s="37">
        <v>346.1</v>
      </c>
      <c r="I101" s="17">
        <v>346</v>
      </c>
      <c r="J101" s="18">
        <v>346.1</v>
      </c>
      <c r="K101" s="18">
        <v>119.1</v>
      </c>
      <c r="L101" s="20"/>
      <c r="M101" s="20"/>
      <c r="N101" s="49"/>
      <c r="O101" s="48"/>
      <c r="P101" s="17"/>
      <c r="Q101" s="20">
        <f>K101*100/F101</f>
        <v>34.421965317919074</v>
      </c>
      <c r="R101" s="18">
        <f>K101*100/E101</f>
        <v>8.604247941048982</v>
      </c>
      <c r="S101" s="18">
        <f t="shared" si="27"/>
        <v>8.604247941048982</v>
      </c>
    </row>
    <row r="102" spans="1:19" ht="12.75" hidden="1">
      <c r="A102" s="12" t="s">
        <v>8</v>
      </c>
      <c r="B102" s="12"/>
      <c r="C102" s="28" t="s">
        <v>5</v>
      </c>
      <c r="D102" s="68"/>
      <c r="E102" s="68">
        <f>G102+H102+I102+J102</f>
        <v>0</v>
      </c>
      <c r="F102" s="51">
        <f t="shared" si="38"/>
        <v>0</v>
      </c>
      <c r="G102" s="37"/>
      <c r="H102" s="37"/>
      <c r="I102" s="17"/>
      <c r="J102" s="18"/>
      <c r="K102" s="18"/>
      <c r="L102" s="20"/>
      <c r="M102" s="20"/>
      <c r="N102" s="49"/>
      <c r="O102" s="48"/>
      <c r="P102" s="17"/>
      <c r="Q102" s="20" t="e">
        <f>K102*100/F102</f>
        <v>#DIV/0!</v>
      </c>
      <c r="R102" s="18" t="e">
        <f>K102*100/E102</f>
        <v>#DIV/0!</v>
      </c>
      <c r="S102" s="18" t="e">
        <f t="shared" si="27"/>
        <v>#DIV/0!</v>
      </c>
    </row>
    <row r="103" spans="1:19" ht="12.75">
      <c r="A103" s="12" t="s">
        <v>9</v>
      </c>
      <c r="B103" s="12"/>
      <c r="C103" s="28" t="s">
        <v>6</v>
      </c>
      <c r="D103" s="68">
        <v>152.1</v>
      </c>
      <c r="E103" s="68">
        <f aca="true" t="shared" si="39" ref="E103:E111">G103+H103+I103+J103</f>
        <v>152.10000000000002</v>
      </c>
      <c r="F103" s="51">
        <f t="shared" si="38"/>
        <v>14.2</v>
      </c>
      <c r="G103" s="37">
        <v>14.2</v>
      </c>
      <c r="H103" s="37">
        <v>47.6</v>
      </c>
      <c r="I103" s="17">
        <v>42.6</v>
      </c>
      <c r="J103" s="18">
        <v>47.7</v>
      </c>
      <c r="K103" s="18">
        <v>5.8</v>
      </c>
      <c r="L103" s="20"/>
      <c r="M103" s="20">
        <f aca="true" t="shared" si="40" ref="M103:M110">K103/I103*100</f>
        <v>13.615023474178404</v>
      </c>
      <c r="N103" s="49"/>
      <c r="O103" s="48"/>
      <c r="P103" s="17">
        <f t="shared" si="33"/>
        <v>12.159329140461216</v>
      </c>
      <c r="Q103" s="20">
        <f t="shared" si="30"/>
        <v>40.845070422535215</v>
      </c>
      <c r="R103" s="18">
        <f t="shared" si="31"/>
        <v>3.813280736357659</v>
      </c>
      <c r="S103" s="18">
        <f t="shared" si="27"/>
        <v>3.8132807363576595</v>
      </c>
    </row>
    <row r="104" spans="1:19" ht="12.75">
      <c r="A104" s="12" t="s">
        <v>10</v>
      </c>
      <c r="B104" s="12"/>
      <c r="C104" s="28" t="s">
        <v>21</v>
      </c>
      <c r="D104" s="68">
        <v>1.5</v>
      </c>
      <c r="E104" s="68">
        <f t="shared" si="39"/>
        <v>1.5</v>
      </c>
      <c r="F104" s="51">
        <f t="shared" si="38"/>
        <v>0.4</v>
      </c>
      <c r="G104" s="37">
        <v>0.4</v>
      </c>
      <c r="H104" s="37">
        <v>0.3</v>
      </c>
      <c r="I104" s="17">
        <v>0.4</v>
      </c>
      <c r="J104" s="18">
        <v>0.4</v>
      </c>
      <c r="K104" s="18">
        <v>0.9</v>
      </c>
      <c r="L104" s="20"/>
      <c r="M104" s="20">
        <f t="shared" si="40"/>
        <v>225</v>
      </c>
      <c r="N104" s="48"/>
      <c r="O104" s="48"/>
      <c r="P104" s="17">
        <f t="shared" si="33"/>
        <v>225</v>
      </c>
      <c r="Q104" s="20">
        <f t="shared" si="30"/>
        <v>225</v>
      </c>
      <c r="R104" s="18">
        <f t="shared" si="31"/>
        <v>60</v>
      </c>
      <c r="S104" s="18">
        <f t="shared" si="27"/>
        <v>60</v>
      </c>
    </row>
    <row r="105" spans="1:19" ht="24">
      <c r="A105" s="13" t="s">
        <v>11</v>
      </c>
      <c r="B105" s="13"/>
      <c r="C105" s="28" t="s">
        <v>17</v>
      </c>
      <c r="D105" s="68">
        <v>26</v>
      </c>
      <c r="E105" s="68">
        <f t="shared" si="39"/>
        <v>26</v>
      </c>
      <c r="F105" s="51">
        <f t="shared" si="38"/>
        <v>2.6</v>
      </c>
      <c r="G105" s="37">
        <v>2.6</v>
      </c>
      <c r="H105" s="37">
        <v>7.8</v>
      </c>
      <c r="I105" s="17">
        <v>7.8</v>
      </c>
      <c r="J105" s="18">
        <v>7.8</v>
      </c>
      <c r="K105" s="18">
        <v>4.1</v>
      </c>
      <c r="L105" s="20"/>
      <c r="M105" s="20">
        <f t="shared" si="40"/>
        <v>52.56410256410257</v>
      </c>
      <c r="N105" s="48"/>
      <c r="O105" s="48"/>
      <c r="P105" s="17">
        <f t="shared" si="33"/>
        <v>52.564102564102555</v>
      </c>
      <c r="Q105" s="20">
        <f t="shared" si="30"/>
        <v>157.69230769230768</v>
      </c>
      <c r="R105" s="18">
        <f t="shared" si="31"/>
        <v>15.769230769230766</v>
      </c>
      <c r="S105" s="18">
        <f t="shared" si="27"/>
        <v>15.769230769230766</v>
      </c>
    </row>
    <row r="106" spans="1:19" ht="24" hidden="1">
      <c r="A106" s="30" t="s">
        <v>42</v>
      </c>
      <c r="B106" s="30"/>
      <c r="C106" s="28" t="s">
        <v>43</v>
      </c>
      <c r="D106" s="68">
        <v>0</v>
      </c>
      <c r="E106" s="68">
        <f t="shared" si="39"/>
        <v>0</v>
      </c>
      <c r="F106" s="51">
        <f t="shared" si="38"/>
        <v>0</v>
      </c>
      <c r="G106" s="37"/>
      <c r="H106" s="37"/>
      <c r="I106" s="17"/>
      <c r="J106" s="18"/>
      <c r="K106" s="18"/>
      <c r="L106" s="20"/>
      <c r="M106" s="20" t="e">
        <f t="shared" si="40"/>
        <v>#DIV/0!</v>
      </c>
      <c r="N106" s="48"/>
      <c r="O106" s="48"/>
      <c r="P106" s="17" t="e">
        <f t="shared" si="33"/>
        <v>#DIV/0!</v>
      </c>
      <c r="Q106" s="20"/>
      <c r="R106" s="18"/>
      <c r="S106" s="18"/>
    </row>
    <row r="107" spans="1:19" ht="18.75" customHeight="1" hidden="1">
      <c r="A107" s="21" t="s">
        <v>12</v>
      </c>
      <c r="B107" s="21"/>
      <c r="C107" s="82" t="s">
        <v>7</v>
      </c>
      <c r="D107" s="68"/>
      <c r="E107" s="68">
        <f t="shared" si="39"/>
        <v>0</v>
      </c>
      <c r="F107" s="51">
        <f t="shared" si="38"/>
        <v>0</v>
      </c>
      <c r="G107" s="37"/>
      <c r="H107" s="37"/>
      <c r="I107" s="17"/>
      <c r="J107" s="18"/>
      <c r="K107" s="18"/>
      <c r="L107" s="20"/>
      <c r="M107" s="20" t="e">
        <f t="shared" si="40"/>
        <v>#DIV/0!</v>
      </c>
      <c r="N107" s="48"/>
      <c r="O107" s="48"/>
      <c r="P107" s="17" t="e">
        <f t="shared" si="33"/>
        <v>#DIV/0!</v>
      </c>
      <c r="Q107" s="20"/>
      <c r="R107" s="18"/>
      <c r="S107" s="18"/>
    </row>
    <row r="108" spans="1:19" ht="16.5" customHeight="1">
      <c r="A108" s="30" t="s">
        <v>39</v>
      </c>
      <c r="B108" s="83"/>
      <c r="C108" s="16" t="s">
        <v>40</v>
      </c>
      <c r="D108" s="68"/>
      <c r="E108" s="68">
        <f t="shared" si="39"/>
        <v>0</v>
      </c>
      <c r="F108" s="51">
        <f t="shared" si="38"/>
        <v>0</v>
      </c>
      <c r="G108" s="37"/>
      <c r="H108" s="37"/>
      <c r="I108" s="17"/>
      <c r="J108" s="18"/>
      <c r="K108" s="18">
        <v>-5</v>
      </c>
      <c r="L108" s="27"/>
      <c r="M108" s="20" t="e">
        <f t="shared" si="40"/>
        <v>#DIV/0!</v>
      </c>
      <c r="N108" s="48"/>
      <c r="O108" s="48"/>
      <c r="P108" s="17" t="e">
        <f t="shared" si="33"/>
        <v>#DIV/0!</v>
      </c>
      <c r="Q108" s="27"/>
      <c r="R108" s="24"/>
      <c r="S108" s="18"/>
    </row>
    <row r="109" spans="1:19" ht="12.75">
      <c r="A109" s="63" t="s">
        <v>1</v>
      </c>
      <c r="B109" s="63"/>
      <c r="C109" s="32" t="s">
        <v>0</v>
      </c>
      <c r="D109" s="33">
        <f aca="true" t="shared" si="41" ref="D109:L109">D110+D111</f>
        <v>24834.8</v>
      </c>
      <c r="E109" s="33">
        <f t="shared" si="41"/>
        <v>24834.8</v>
      </c>
      <c r="F109" s="33">
        <f t="shared" si="41"/>
        <v>6208.7</v>
      </c>
      <c r="G109" s="33">
        <f t="shared" si="41"/>
        <v>6208.7</v>
      </c>
      <c r="H109" s="33">
        <f t="shared" si="41"/>
        <v>6208.7</v>
      </c>
      <c r="I109" s="33">
        <f t="shared" si="41"/>
        <v>6208.7</v>
      </c>
      <c r="J109" s="33">
        <f t="shared" si="41"/>
        <v>6208.7</v>
      </c>
      <c r="K109" s="33">
        <f t="shared" si="41"/>
        <v>2406.6</v>
      </c>
      <c r="L109" s="33">
        <f t="shared" si="41"/>
        <v>0</v>
      </c>
      <c r="M109" s="27">
        <f>K109/I109*100</f>
        <v>38.76173756180843</v>
      </c>
      <c r="N109" s="48"/>
      <c r="O109" s="48"/>
      <c r="P109" s="36">
        <f t="shared" si="33"/>
        <v>38.76173756180843</v>
      </c>
      <c r="Q109" s="27">
        <f t="shared" si="30"/>
        <v>38.76173756180843</v>
      </c>
      <c r="R109" s="24">
        <f t="shared" si="31"/>
        <v>9.690434390452108</v>
      </c>
      <c r="S109" s="24">
        <f t="shared" si="27"/>
        <v>9.690434390452108</v>
      </c>
    </row>
    <row r="110" spans="1:19" ht="24">
      <c r="A110" s="14" t="s">
        <v>67</v>
      </c>
      <c r="B110" s="12"/>
      <c r="C110" s="34" t="s">
        <v>20</v>
      </c>
      <c r="D110" s="37">
        <v>24834.8</v>
      </c>
      <c r="E110" s="68">
        <f t="shared" si="39"/>
        <v>24834.8</v>
      </c>
      <c r="F110" s="51">
        <f t="shared" si="38"/>
        <v>6208.7</v>
      </c>
      <c r="G110" s="37">
        <v>6208.7</v>
      </c>
      <c r="H110" s="37">
        <v>6208.7</v>
      </c>
      <c r="I110" s="17">
        <v>6208.7</v>
      </c>
      <c r="J110" s="18">
        <v>6208.7</v>
      </c>
      <c r="K110" s="18">
        <v>2406.6</v>
      </c>
      <c r="L110" s="20"/>
      <c r="M110" s="20">
        <f t="shared" si="40"/>
        <v>38.76173756180843</v>
      </c>
      <c r="N110" s="48"/>
      <c r="O110" s="48"/>
      <c r="P110" s="17">
        <f t="shared" si="33"/>
        <v>38.76173756180843</v>
      </c>
      <c r="Q110" s="20">
        <f t="shared" si="30"/>
        <v>38.76173756180843</v>
      </c>
      <c r="R110" s="18">
        <f t="shared" si="31"/>
        <v>9.690434390452108</v>
      </c>
      <c r="S110" s="18">
        <f t="shared" si="27"/>
        <v>9.690434390452108</v>
      </c>
    </row>
    <row r="111" spans="1:19" ht="12.75" hidden="1">
      <c r="A111" s="14" t="s">
        <v>2</v>
      </c>
      <c r="B111" s="14"/>
      <c r="C111" s="35" t="s">
        <v>19</v>
      </c>
      <c r="D111" s="35"/>
      <c r="E111" s="68">
        <f t="shared" si="39"/>
        <v>0</v>
      </c>
      <c r="F111" s="68">
        <f>G111+H111</f>
        <v>0</v>
      </c>
      <c r="G111" s="81"/>
      <c r="H111" s="81"/>
      <c r="I111" s="17"/>
      <c r="J111" s="18"/>
      <c r="K111" s="18"/>
      <c r="L111" s="20"/>
      <c r="M111" s="20"/>
      <c r="N111" s="48"/>
      <c r="O111" s="48"/>
      <c r="P111" s="17" t="e">
        <f t="shared" si="33"/>
        <v>#DIV/0!</v>
      </c>
      <c r="Q111" s="27"/>
      <c r="R111" s="24"/>
      <c r="S111" s="18" t="e">
        <f t="shared" si="27"/>
        <v>#DIV/0!</v>
      </c>
    </row>
    <row r="112" spans="1:19" ht="12.75">
      <c r="A112" s="21"/>
      <c r="B112" s="22"/>
      <c r="C112" s="23" t="s">
        <v>4</v>
      </c>
      <c r="D112" s="24">
        <f aca="true" t="shared" si="42" ref="D112:L112">D109+D99</f>
        <v>28048.6</v>
      </c>
      <c r="E112" s="24">
        <f t="shared" si="42"/>
        <v>28048.6</v>
      </c>
      <c r="F112" s="36">
        <f t="shared" si="42"/>
        <v>6984.4</v>
      </c>
      <c r="G112" s="36">
        <f t="shared" si="42"/>
        <v>6984.4</v>
      </c>
      <c r="H112" s="36">
        <f>H109+H99</f>
        <v>7023</v>
      </c>
      <c r="I112" s="24">
        <f t="shared" si="42"/>
        <v>7018</v>
      </c>
      <c r="J112" s="24">
        <f t="shared" si="42"/>
        <v>7023.2</v>
      </c>
      <c r="K112" s="24">
        <f t="shared" si="42"/>
        <v>2564.5</v>
      </c>
      <c r="L112" s="24" t="e">
        <f t="shared" si="42"/>
        <v>#REF!</v>
      </c>
      <c r="M112" s="27">
        <f>K112/I112*100</f>
        <v>36.54174978626389</v>
      </c>
      <c r="N112" s="48"/>
      <c r="O112" s="49" t="e">
        <f>J112+#REF!+#REF!</f>
        <v>#REF!</v>
      </c>
      <c r="P112" s="36">
        <f t="shared" si="33"/>
        <v>36.514694156509854</v>
      </c>
      <c r="Q112" s="27">
        <f t="shared" si="30"/>
        <v>36.71754195063284</v>
      </c>
      <c r="R112" s="24">
        <f t="shared" si="31"/>
        <v>9.143058833595973</v>
      </c>
      <c r="S112" s="24">
        <f t="shared" si="27"/>
        <v>9.143058833595973</v>
      </c>
    </row>
    <row r="113" spans="1:19" ht="12.75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1"/>
      <c r="N113" s="48"/>
      <c r="O113" s="48"/>
      <c r="P113" s="47"/>
      <c r="Q113" s="27"/>
      <c r="R113" s="24"/>
      <c r="S113" s="18"/>
    </row>
    <row r="114" spans="1:19" ht="12.75">
      <c r="A114" s="98" t="s">
        <v>30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00"/>
    </row>
    <row r="115" spans="1:19" ht="12.75">
      <c r="A115" s="25" t="s">
        <v>3</v>
      </c>
      <c r="B115" s="25"/>
      <c r="C115" s="26" t="s">
        <v>68</v>
      </c>
      <c r="D115" s="27">
        <f>D116+D120+D124+D121+D122+D125+D123+D126+D117+D118+D119</f>
        <v>5233.8</v>
      </c>
      <c r="E115" s="27">
        <f aca="true" t="shared" si="43" ref="E115:J115">E116+E120+E124+E121+E122+E125+E123+E126+E117+E118+E119</f>
        <v>5233.8</v>
      </c>
      <c r="F115" s="27">
        <f t="shared" si="43"/>
        <v>1317</v>
      </c>
      <c r="G115" s="27">
        <f t="shared" si="43"/>
        <v>1317</v>
      </c>
      <c r="H115" s="27">
        <f t="shared" si="43"/>
        <v>1271</v>
      </c>
      <c r="I115" s="27">
        <f t="shared" si="43"/>
        <v>1271</v>
      </c>
      <c r="J115" s="27">
        <f t="shared" si="43"/>
        <v>1374.8</v>
      </c>
      <c r="K115" s="27">
        <f>K116+K120+K124+K121+K122+K125+K123+K126+K117+K118+K119</f>
        <v>357.29999999999995</v>
      </c>
      <c r="L115" s="27" t="e">
        <f>K115/#REF!*100</f>
        <v>#REF!</v>
      </c>
      <c r="M115" s="27">
        <f aca="true" t="shared" si="44" ref="M115:M124">K115/I115*100</f>
        <v>28.111723052714392</v>
      </c>
      <c r="N115" s="48"/>
      <c r="O115" s="48"/>
      <c r="P115" s="27">
        <f t="shared" si="33"/>
        <v>25.989234797788765</v>
      </c>
      <c r="Q115" s="27">
        <f t="shared" si="30"/>
        <v>27.129840546697032</v>
      </c>
      <c r="R115" s="24">
        <f t="shared" si="31"/>
        <v>6.826779777599448</v>
      </c>
      <c r="S115" s="24">
        <f t="shared" si="27"/>
        <v>6.826779777599448</v>
      </c>
    </row>
    <row r="116" spans="1:19" ht="12.75">
      <c r="A116" s="21" t="s">
        <v>23</v>
      </c>
      <c r="B116" s="21"/>
      <c r="C116" s="28" t="s">
        <v>22</v>
      </c>
      <c r="D116" s="68">
        <v>1220</v>
      </c>
      <c r="E116" s="68">
        <f>G116+H116+I116+J116</f>
        <v>1220</v>
      </c>
      <c r="F116" s="51">
        <f aca="true" t="shared" si="45" ref="F116:F128">G116</f>
        <v>300</v>
      </c>
      <c r="G116" s="68">
        <v>300</v>
      </c>
      <c r="H116" s="68">
        <v>300</v>
      </c>
      <c r="I116" s="18">
        <v>300</v>
      </c>
      <c r="J116" s="18">
        <v>320</v>
      </c>
      <c r="K116" s="18">
        <v>36</v>
      </c>
      <c r="L116" s="20" t="e">
        <f>K116/#REF!*100</f>
        <v>#REF!</v>
      </c>
      <c r="M116" s="20">
        <f t="shared" si="44"/>
        <v>12</v>
      </c>
      <c r="N116" s="48"/>
      <c r="O116" s="48"/>
      <c r="P116" s="17">
        <f t="shared" si="33"/>
        <v>11.25</v>
      </c>
      <c r="Q116" s="20">
        <f t="shared" si="30"/>
        <v>12</v>
      </c>
      <c r="R116" s="18">
        <f t="shared" si="31"/>
        <v>2.9508196721311477</v>
      </c>
      <c r="S116" s="18">
        <f t="shared" si="27"/>
        <v>2.9508196721311477</v>
      </c>
    </row>
    <row r="117" spans="1:19" ht="12.75" hidden="1">
      <c r="A117" s="12" t="s">
        <v>8</v>
      </c>
      <c r="B117" s="12"/>
      <c r="C117" s="28" t="s">
        <v>5</v>
      </c>
      <c r="D117" s="68"/>
      <c r="E117" s="68">
        <f>G117+H117+I117+J117</f>
        <v>0</v>
      </c>
      <c r="F117" s="51">
        <f t="shared" si="45"/>
        <v>0</v>
      </c>
      <c r="G117" s="68"/>
      <c r="H117" s="68"/>
      <c r="I117" s="18"/>
      <c r="J117" s="18"/>
      <c r="K117" s="18"/>
      <c r="L117" s="20"/>
      <c r="M117" s="20"/>
      <c r="N117" s="48"/>
      <c r="O117" s="48"/>
      <c r="P117" s="17"/>
      <c r="Q117" s="20" t="e">
        <f>K117*100/F117</f>
        <v>#DIV/0!</v>
      </c>
      <c r="R117" s="18" t="e">
        <f>K117*100/E117</f>
        <v>#DIV/0!</v>
      </c>
      <c r="S117" s="18" t="e">
        <f t="shared" si="27"/>
        <v>#DIV/0!</v>
      </c>
    </row>
    <row r="118" spans="1:19" ht="13.5" customHeight="1">
      <c r="A118" s="12" t="s">
        <v>70</v>
      </c>
      <c r="B118" s="12"/>
      <c r="C118" s="28" t="s">
        <v>71</v>
      </c>
      <c r="D118" s="68">
        <v>2995.9</v>
      </c>
      <c r="E118" s="68">
        <f>G118+H118+I118+J118</f>
        <v>2995.9</v>
      </c>
      <c r="F118" s="51">
        <f t="shared" si="45"/>
        <v>747</v>
      </c>
      <c r="G118" s="68">
        <v>747</v>
      </c>
      <c r="H118" s="68">
        <v>747</v>
      </c>
      <c r="I118" s="18">
        <v>747</v>
      </c>
      <c r="J118" s="18">
        <v>754.9</v>
      </c>
      <c r="K118" s="18">
        <v>257.7</v>
      </c>
      <c r="L118" s="20"/>
      <c r="M118" s="20"/>
      <c r="N118" s="48"/>
      <c r="O118" s="48"/>
      <c r="P118" s="17"/>
      <c r="Q118" s="20">
        <f>K118*100/F118</f>
        <v>34.497991967871485</v>
      </c>
      <c r="R118" s="18">
        <f>K118*100/E118</f>
        <v>8.601755732834874</v>
      </c>
      <c r="S118" s="18">
        <f t="shared" si="27"/>
        <v>8.601755732834874</v>
      </c>
    </row>
    <row r="119" spans="1:19" ht="13.5" customHeight="1">
      <c r="A119" s="12" t="s">
        <v>8</v>
      </c>
      <c r="B119" s="12"/>
      <c r="C119" s="28" t="s">
        <v>5</v>
      </c>
      <c r="D119" s="68">
        <v>10</v>
      </c>
      <c r="E119" s="68">
        <f>G119+H119+I119+J119</f>
        <v>10</v>
      </c>
      <c r="F119" s="51">
        <f t="shared" si="45"/>
        <v>2</v>
      </c>
      <c r="G119" s="68">
        <v>2</v>
      </c>
      <c r="H119" s="68">
        <v>3</v>
      </c>
      <c r="I119" s="18">
        <v>3</v>
      </c>
      <c r="J119" s="18">
        <v>2</v>
      </c>
      <c r="K119" s="18">
        <v>0</v>
      </c>
      <c r="L119" s="20"/>
      <c r="M119" s="20"/>
      <c r="N119" s="48"/>
      <c r="O119" s="48"/>
      <c r="P119" s="17"/>
      <c r="Q119" s="20">
        <f>K119*100/F119</f>
        <v>0</v>
      </c>
      <c r="R119" s="18">
        <f>K119*100/E119</f>
        <v>0</v>
      </c>
      <c r="S119" s="18">
        <f>K119*100/D119</f>
        <v>0</v>
      </c>
    </row>
    <row r="120" spans="1:19" ht="12.75">
      <c r="A120" s="12" t="s">
        <v>9</v>
      </c>
      <c r="B120" s="12"/>
      <c r="C120" s="28" t="s">
        <v>6</v>
      </c>
      <c r="D120" s="68">
        <v>231.2</v>
      </c>
      <c r="E120" s="68">
        <f aca="true" t="shared" si="46" ref="E120:E128">G120+H120+I120+J120</f>
        <v>231.2</v>
      </c>
      <c r="F120" s="51">
        <f t="shared" si="45"/>
        <v>90</v>
      </c>
      <c r="G120" s="68">
        <v>90</v>
      </c>
      <c r="H120" s="68">
        <v>33</v>
      </c>
      <c r="I120" s="18">
        <v>33</v>
      </c>
      <c r="J120" s="18">
        <v>75.2</v>
      </c>
      <c r="K120" s="18">
        <v>6.2</v>
      </c>
      <c r="L120" s="20" t="e">
        <f>K120/#REF!*100</f>
        <v>#REF!</v>
      </c>
      <c r="M120" s="20">
        <f t="shared" si="44"/>
        <v>18.78787878787879</v>
      </c>
      <c r="N120" s="48"/>
      <c r="O120" s="48"/>
      <c r="P120" s="17">
        <f t="shared" si="33"/>
        <v>8.24468085106383</v>
      </c>
      <c r="Q120" s="20">
        <f t="shared" si="30"/>
        <v>6.888888888888889</v>
      </c>
      <c r="R120" s="18">
        <f t="shared" si="31"/>
        <v>2.6816608996539792</v>
      </c>
      <c r="S120" s="18">
        <f t="shared" si="27"/>
        <v>2.6816608996539792</v>
      </c>
    </row>
    <row r="121" spans="1:19" ht="12.75">
      <c r="A121" s="12" t="s">
        <v>10</v>
      </c>
      <c r="B121" s="12"/>
      <c r="C121" s="28" t="s">
        <v>21</v>
      </c>
      <c r="D121" s="68">
        <v>13.5</v>
      </c>
      <c r="E121" s="68">
        <f t="shared" si="46"/>
        <v>13.5</v>
      </c>
      <c r="F121" s="51">
        <f t="shared" si="45"/>
        <v>3</v>
      </c>
      <c r="G121" s="68">
        <v>3</v>
      </c>
      <c r="H121" s="68">
        <v>3</v>
      </c>
      <c r="I121" s="18">
        <v>3</v>
      </c>
      <c r="J121" s="18">
        <v>4.5</v>
      </c>
      <c r="K121" s="18">
        <v>1</v>
      </c>
      <c r="L121" s="20" t="e">
        <f>K121/#REF!*100</f>
        <v>#REF!</v>
      </c>
      <c r="M121" s="20">
        <f t="shared" si="44"/>
        <v>33.33333333333333</v>
      </c>
      <c r="N121" s="48"/>
      <c r="O121" s="48"/>
      <c r="P121" s="17">
        <f t="shared" si="33"/>
        <v>22.22222222222222</v>
      </c>
      <c r="Q121" s="20">
        <f t="shared" si="30"/>
        <v>33.333333333333336</v>
      </c>
      <c r="R121" s="18">
        <f t="shared" si="31"/>
        <v>7.407407407407407</v>
      </c>
      <c r="S121" s="18">
        <f t="shared" si="27"/>
        <v>7.407407407407407</v>
      </c>
    </row>
    <row r="122" spans="1:19" ht="23.25" customHeight="1">
      <c r="A122" s="13" t="s">
        <v>11</v>
      </c>
      <c r="B122" s="13"/>
      <c r="C122" s="28" t="s">
        <v>17</v>
      </c>
      <c r="D122" s="68">
        <v>763.2</v>
      </c>
      <c r="E122" s="68">
        <f t="shared" si="46"/>
        <v>763.2</v>
      </c>
      <c r="F122" s="51">
        <f t="shared" si="45"/>
        <v>175</v>
      </c>
      <c r="G122" s="68">
        <v>175</v>
      </c>
      <c r="H122" s="68">
        <v>185</v>
      </c>
      <c r="I122" s="18">
        <v>185</v>
      </c>
      <c r="J122" s="18">
        <v>218.2</v>
      </c>
      <c r="K122" s="18">
        <v>56.4</v>
      </c>
      <c r="L122" s="20" t="e">
        <f>K122/#REF!*100</f>
        <v>#REF!</v>
      </c>
      <c r="M122" s="20">
        <f t="shared" si="44"/>
        <v>30.486486486486484</v>
      </c>
      <c r="N122" s="48"/>
      <c r="O122" s="48"/>
      <c r="P122" s="17">
        <f t="shared" si="33"/>
        <v>25.847846012832264</v>
      </c>
      <c r="Q122" s="20">
        <f t="shared" si="30"/>
        <v>32.22857142857143</v>
      </c>
      <c r="R122" s="18">
        <f t="shared" si="31"/>
        <v>7.3899371069182385</v>
      </c>
      <c r="S122" s="18">
        <f t="shared" si="27"/>
        <v>7.3899371069182385</v>
      </c>
    </row>
    <row r="123" spans="1:19" ht="24" hidden="1">
      <c r="A123" s="30" t="s">
        <v>42</v>
      </c>
      <c r="B123" s="30"/>
      <c r="C123" s="28" t="s">
        <v>43</v>
      </c>
      <c r="D123" s="68">
        <v>0</v>
      </c>
      <c r="E123" s="68">
        <f t="shared" si="46"/>
        <v>0</v>
      </c>
      <c r="F123" s="51">
        <f t="shared" si="45"/>
        <v>0</v>
      </c>
      <c r="G123" s="68"/>
      <c r="H123" s="68"/>
      <c r="I123" s="18"/>
      <c r="J123" s="18"/>
      <c r="K123" s="18"/>
      <c r="L123" s="20" t="e">
        <f>K123/#REF!*100</f>
        <v>#REF!</v>
      </c>
      <c r="M123" s="20" t="e">
        <f t="shared" si="44"/>
        <v>#DIV/0!</v>
      </c>
      <c r="N123" s="48"/>
      <c r="O123" s="48"/>
      <c r="P123" s="17" t="e">
        <f t="shared" si="33"/>
        <v>#DIV/0!</v>
      </c>
      <c r="Q123" s="20"/>
      <c r="R123" s="18"/>
      <c r="S123" s="18"/>
    </row>
    <row r="124" spans="1:19" ht="18" customHeight="1" hidden="1">
      <c r="A124" s="29" t="s">
        <v>18</v>
      </c>
      <c r="B124" s="29"/>
      <c r="C124" s="28" t="s">
        <v>15</v>
      </c>
      <c r="D124" s="68"/>
      <c r="E124" s="68">
        <f t="shared" si="46"/>
        <v>0</v>
      </c>
      <c r="F124" s="51">
        <f t="shared" si="45"/>
        <v>0</v>
      </c>
      <c r="G124" s="68"/>
      <c r="H124" s="68"/>
      <c r="I124" s="18"/>
      <c r="J124" s="18"/>
      <c r="K124" s="18"/>
      <c r="L124" s="20" t="e">
        <f>K124/#REF!*100</f>
        <v>#REF!</v>
      </c>
      <c r="M124" s="20" t="e">
        <f t="shared" si="44"/>
        <v>#DIV/0!</v>
      </c>
      <c r="N124" s="48"/>
      <c r="O124" s="48"/>
      <c r="P124" s="17" t="e">
        <f t="shared" si="33"/>
        <v>#DIV/0!</v>
      </c>
      <c r="Q124" s="20"/>
      <c r="R124" s="18"/>
      <c r="S124" s="18"/>
    </row>
    <row r="125" spans="1:19" ht="16.5" customHeight="1" hidden="1">
      <c r="A125" s="21" t="s">
        <v>12</v>
      </c>
      <c r="B125" s="21"/>
      <c r="C125" s="28" t="s">
        <v>7</v>
      </c>
      <c r="D125" s="68"/>
      <c r="E125" s="68">
        <f t="shared" si="46"/>
        <v>0</v>
      </c>
      <c r="F125" s="51">
        <f t="shared" si="45"/>
        <v>0</v>
      </c>
      <c r="G125" s="68"/>
      <c r="H125" s="68"/>
      <c r="I125" s="18"/>
      <c r="J125" s="18"/>
      <c r="K125" s="18"/>
      <c r="L125" s="20"/>
      <c r="M125" s="20"/>
      <c r="N125" s="48"/>
      <c r="O125" s="48"/>
      <c r="P125" s="17" t="e">
        <f t="shared" si="33"/>
        <v>#DIV/0!</v>
      </c>
      <c r="Q125" s="27" t="e">
        <f t="shared" si="30"/>
        <v>#DIV/0!</v>
      </c>
      <c r="R125" s="24" t="e">
        <f t="shared" si="31"/>
        <v>#DIV/0!</v>
      </c>
      <c r="S125" s="18" t="e">
        <f t="shared" si="27"/>
        <v>#DIV/0!</v>
      </c>
    </row>
    <row r="126" spans="1:19" ht="14.25" customHeight="1">
      <c r="A126" s="29" t="s">
        <v>39</v>
      </c>
      <c r="B126" s="83"/>
      <c r="C126" s="16" t="s">
        <v>40</v>
      </c>
      <c r="D126" s="68"/>
      <c r="E126" s="68">
        <f t="shared" si="46"/>
        <v>0</v>
      </c>
      <c r="F126" s="51">
        <f t="shared" si="45"/>
        <v>0</v>
      </c>
      <c r="G126" s="68"/>
      <c r="H126" s="68"/>
      <c r="I126" s="18"/>
      <c r="J126" s="18"/>
      <c r="K126" s="18"/>
      <c r="L126" s="20"/>
      <c r="M126" s="20"/>
      <c r="N126" s="48"/>
      <c r="O126" s="48"/>
      <c r="P126" s="17" t="e">
        <f t="shared" si="33"/>
        <v>#DIV/0!</v>
      </c>
      <c r="Q126" s="27"/>
      <c r="R126" s="24"/>
      <c r="S126" s="18"/>
    </row>
    <row r="127" spans="1:19" ht="12.75">
      <c r="A127" s="25" t="s">
        <v>1</v>
      </c>
      <c r="B127" s="25"/>
      <c r="C127" s="32" t="s">
        <v>0</v>
      </c>
      <c r="D127" s="33">
        <f aca="true" t="shared" si="47" ref="D127:L127">D128</f>
        <v>29441.3</v>
      </c>
      <c r="E127" s="33">
        <f t="shared" si="47"/>
        <v>29441.300000000003</v>
      </c>
      <c r="F127" s="84">
        <f t="shared" si="47"/>
        <v>6375.9</v>
      </c>
      <c r="G127" s="84">
        <f t="shared" si="47"/>
        <v>6375.9</v>
      </c>
      <c r="H127" s="84">
        <f t="shared" si="47"/>
        <v>8507.2</v>
      </c>
      <c r="I127" s="84">
        <f t="shared" si="47"/>
        <v>8201.3</v>
      </c>
      <c r="J127" s="33">
        <f t="shared" si="47"/>
        <v>6356.9</v>
      </c>
      <c r="K127" s="33">
        <f t="shared" si="47"/>
        <v>1539</v>
      </c>
      <c r="L127" s="33" t="e">
        <f t="shared" si="47"/>
        <v>#REF!</v>
      </c>
      <c r="M127" s="27">
        <f>K127/I127*100</f>
        <v>18.765317693536392</v>
      </c>
      <c r="N127" s="48"/>
      <c r="O127" s="48"/>
      <c r="P127" s="36">
        <f t="shared" si="33"/>
        <v>24.209913637150184</v>
      </c>
      <c r="Q127" s="27">
        <f t="shared" si="30"/>
        <v>24.137768785583212</v>
      </c>
      <c r="R127" s="24">
        <f t="shared" si="31"/>
        <v>5.22735069443265</v>
      </c>
      <c r="S127" s="24">
        <f t="shared" si="27"/>
        <v>5.22735069443265</v>
      </c>
    </row>
    <row r="128" spans="1:19" ht="24">
      <c r="A128" s="14" t="s">
        <v>67</v>
      </c>
      <c r="B128" s="12"/>
      <c r="C128" s="34" t="s">
        <v>20</v>
      </c>
      <c r="D128" s="37">
        <v>29441.3</v>
      </c>
      <c r="E128" s="68">
        <f t="shared" si="46"/>
        <v>29441.300000000003</v>
      </c>
      <c r="F128" s="51">
        <f t="shared" si="45"/>
        <v>6375.9</v>
      </c>
      <c r="G128" s="68">
        <v>6375.9</v>
      </c>
      <c r="H128" s="68">
        <v>8507.2</v>
      </c>
      <c r="I128" s="18">
        <v>8201.3</v>
      </c>
      <c r="J128" s="18">
        <v>6356.9</v>
      </c>
      <c r="K128" s="18">
        <v>1539</v>
      </c>
      <c r="L128" s="20" t="e">
        <f>K128/#REF!*100</f>
        <v>#REF!</v>
      </c>
      <c r="M128" s="20">
        <f>K128/I128*100</f>
        <v>18.765317693536392</v>
      </c>
      <c r="N128" s="48"/>
      <c r="O128" s="48"/>
      <c r="P128" s="17">
        <f t="shared" si="33"/>
        <v>24.209913637150184</v>
      </c>
      <c r="Q128" s="20">
        <f t="shared" si="30"/>
        <v>24.137768785583212</v>
      </c>
      <c r="R128" s="18">
        <f t="shared" si="31"/>
        <v>5.22735069443265</v>
      </c>
      <c r="S128" s="18">
        <f t="shared" si="27"/>
        <v>5.22735069443265</v>
      </c>
    </row>
    <row r="129" spans="1:19" ht="12.75">
      <c r="A129" s="21"/>
      <c r="B129" s="22"/>
      <c r="C129" s="23" t="s">
        <v>4</v>
      </c>
      <c r="D129" s="24">
        <f aca="true" t="shared" si="48" ref="D129:K129">D127+D115</f>
        <v>34675.1</v>
      </c>
      <c r="E129" s="24">
        <f t="shared" si="48"/>
        <v>34675.100000000006</v>
      </c>
      <c r="F129" s="24">
        <f t="shared" si="48"/>
        <v>7692.9</v>
      </c>
      <c r="G129" s="24">
        <f t="shared" si="48"/>
        <v>7692.9</v>
      </c>
      <c r="H129" s="24">
        <f t="shared" si="48"/>
        <v>9778.2</v>
      </c>
      <c r="I129" s="24">
        <f t="shared" si="48"/>
        <v>9472.3</v>
      </c>
      <c r="J129" s="24">
        <f t="shared" si="48"/>
        <v>7731.7</v>
      </c>
      <c r="K129" s="24">
        <f t="shared" si="48"/>
        <v>1896.3</v>
      </c>
      <c r="L129" s="27" t="e">
        <f>K129/#REF!*100</f>
        <v>#REF!</v>
      </c>
      <c r="M129" s="27">
        <f>K129/I129*100</f>
        <v>20.01942506043939</v>
      </c>
      <c r="N129" s="48"/>
      <c r="O129" s="49" t="e">
        <f>J129+#REF!+#REF!</f>
        <v>#REF!</v>
      </c>
      <c r="P129" s="36">
        <f t="shared" si="33"/>
        <v>24.526300813533894</v>
      </c>
      <c r="Q129" s="27">
        <f t="shared" si="30"/>
        <v>24.650001949849862</v>
      </c>
      <c r="R129" s="24">
        <f t="shared" si="31"/>
        <v>5.468765771403686</v>
      </c>
      <c r="S129" s="24">
        <f t="shared" si="27"/>
        <v>5.468765771403688</v>
      </c>
    </row>
    <row r="130" spans="1:19" ht="12.75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1"/>
      <c r="N130" s="48"/>
      <c r="O130" s="48"/>
      <c r="P130" s="47"/>
      <c r="Q130" s="27"/>
      <c r="R130" s="24"/>
      <c r="S130" s="18"/>
    </row>
    <row r="131" spans="1:19" ht="12.75">
      <c r="A131" s="98" t="s">
        <v>31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100"/>
    </row>
    <row r="132" spans="1:19" ht="12.75">
      <c r="A132" s="25" t="s">
        <v>3</v>
      </c>
      <c r="B132" s="25"/>
      <c r="C132" s="26" t="s">
        <v>68</v>
      </c>
      <c r="D132" s="27">
        <f aca="true" t="shared" si="49" ref="D132:J132">D133+D135+D136+D137+D139+D141+D138+D140+D134</f>
        <v>9968.5</v>
      </c>
      <c r="E132" s="27">
        <f t="shared" si="49"/>
        <v>9968.5</v>
      </c>
      <c r="F132" s="27">
        <f t="shared" si="49"/>
        <v>1877</v>
      </c>
      <c r="G132" s="27">
        <f t="shared" si="49"/>
        <v>1877</v>
      </c>
      <c r="H132" s="27">
        <f t="shared" si="49"/>
        <v>2817.5</v>
      </c>
      <c r="I132" s="27">
        <f t="shared" si="49"/>
        <v>2583.6</v>
      </c>
      <c r="J132" s="27">
        <f t="shared" si="49"/>
        <v>2690.4</v>
      </c>
      <c r="K132" s="27">
        <f>K133+K135+K136+K137+K139+K141+K138+K140+K134</f>
        <v>743.8000000000001</v>
      </c>
      <c r="L132" s="27" t="e">
        <f>K132/#REF!*100</f>
        <v>#REF!</v>
      </c>
      <c r="M132" s="27">
        <f aca="true" t="shared" si="50" ref="M132:M139">K132/I132*100</f>
        <v>28.789286267224035</v>
      </c>
      <c r="N132" s="48"/>
      <c r="O132" s="48"/>
      <c r="P132" s="27">
        <f t="shared" si="33"/>
        <v>27.646446625037168</v>
      </c>
      <c r="Q132" s="27">
        <f t="shared" si="30"/>
        <v>39.62706446457113</v>
      </c>
      <c r="R132" s="24">
        <f t="shared" si="31"/>
        <v>7.461503736770828</v>
      </c>
      <c r="S132" s="24">
        <f t="shared" si="27"/>
        <v>7.461503736770828</v>
      </c>
    </row>
    <row r="133" spans="1:19" ht="12.75">
      <c r="A133" s="21" t="s">
        <v>23</v>
      </c>
      <c r="B133" s="21"/>
      <c r="C133" s="28" t="s">
        <v>22</v>
      </c>
      <c r="D133" s="68">
        <v>2675</v>
      </c>
      <c r="E133" s="68">
        <f>G133+H133+I133+J133</f>
        <v>2675</v>
      </c>
      <c r="F133" s="51">
        <f aca="true" t="shared" si="51" ref="F133:F145">G133</f>
        <v>605.6</v>
      </c>
      <c r="G133" s="37">
        <v>605.6</v>
      </c>
      <c r="H133" s="37">
        <v>898.1</v>
      </c>
      <c r="I133" s="17">
        <v>607.5</v>
      </c>
      <c r="J133" s="18">
        <v>563.8</v>
      </c>
      <c r="K133" s="18">
        <v>105</v>
      </c>
      <c r="L133" s="20" t="e">
        <f>K133/#REF!*100</f>
        <v>#REF!</v>
      </c>
      <c r="M133" s="20">
        <f t="shared" si="50"/>
        <v>17.28395061728395</v>
      </c>
      <c r="N133" s="48"/>
      <c r="O133" s="48"/>
      <c r="P133" s="17">
        <f t="shared" si="33"/>
        <v>18.62362539907769</v>
      </c>
      <c r="Q133" s="20">
        <f t="shared" si="30"/>
        <v>17.33817701453104</v>
      </c>
      <c r="R133" s="18">
        <f t="shared" si="31"/>
        <v>3.925233644859813</v>
      </c>
      <c r="S133" s="18">
        <f t="shared" si="27"/>
        <v>3.925233644859813</v>
      </c>
    </row>
    <row r="134" spans="1:19" ht="12.75">
      <c r="A134" s="12" t="s">
        <v>70</v>
      </c>
      <c r="B134" s="12"/>
      <c r="C134" s="28" t="s">
        <v>71</v>
      </c>
      <c r="D134" s="68">
        <v>6546.6</v>
      </c>
      <c r="E134" s="68">
        <f>G134+H134+I134+J134</f>
        <v>6546.599999999999</v>
      </c>
      <c r="F134" s="51">
        <f t="shared" si="51"/>
        <v>1174</v>
      </c>
      <c r="G134" s="37">
        <v>1174</v>
      </c>
      <c r="H134" s="37">
        <v>1756.6</v>
      </c>
      <c r="I134" s="17">
        <v>1738.3</v>
      </c>
      <c r="J134" s="18">
        <v>1877.7</v>
      </c>
      <c r="K134" s="18">
        <v>563.2</v>
      </c>
      <c r="L134" s="20"/>
      <c r="M134" s="20"/>
      <c r="N134" s="48"/>
      <c r="O134" s="48"/>
      <c r="P134" s="17"/>
      <c r="Q134" s="20">
        <f>K134*100/F134</f>
        <v>47.97274275979558</v>
      </c>
      <c r="R134" s="18">
        <f>K134*100/E134</f>
        <v>8.602938930131673</v>
      </c>
      <c r="S134" s="18">
        <f t="shared" si="27"/>
        <v>8.602938930131671</v>
      </c>
    </row>
    <row r="135" spans="1:19" ht="12.75">
      <c r="A135" s="12" t="s">
        <v>9</v>
      </c>
      <c r="B135" s="12"/>
      <c r="C135" s="28" t="s">
        <v>6</v>
      </c>
      <c r="D135" s="68">
        <v>506.9</v>
      </c>
      <c r="E135" s="68">
        <f aca="true" t="shared" si="52" ref="E135:E144">G135+H135+I135+J135</f>
        <v>506.9</v>
      </c>
      <c r="F135" s="51">
        <f t="shared" si="51"/>
        <v>75.4</v>
      </c>
      <c r="G135" s="37">
        <v>75.4</v>
      </c>
      <c r="H135" s="37">
        <v>111.3</v>
      </c>
      <c r="I135" s="17">
        <v>160.8</v>
      </c>
      <c r="J135" s="18">
        <v>159.4</v>
      </c>
      <c r="K135" s="18">
        <v>67</v>
      </c>
      <c r="L135" s="20" t="e">
        <f>K135/#REF!*100</f>
        <v>#REF!</v>
      </c>
      <c r="M135" s="20">
        <f t="shared" si="50"/>
        <v>41.666666666666664</v>
      </c>
      <c r="N135" s="48"/>
      <c r="O135" s="48"/>
      <c r="P135" s="17">
        <f t="shared" si="33"/>
        <v>42.03262233375157</v>
      </c>
      <c r="Q135" s="20">
        <f t="shared" si="30"/>
        <v>88.85941644562334</v>
      </c>
      <c r="R135" s="18">
        <f t="shared" si="31"/>
        <v>13.217597159202999</v>
      </c>
      <c r="S135" s="18">
        <f t="shared" si="27"/>
        <v>13.217597159202999</v>
      </c>
    </row>
    <row r="136" spans="1:19" ht="12.75">
      <c r="A136" s="12" t="s">
        <v>10</v>
      </c>
      <c r="B136" s="12"/>
      <c r="C136" s="28" t="s">
        <v>21</v>
      </c>
      <c r="D136" s="68">
        <v>20</v>
      </c>
      <c r="E136" s="68">
        <f t="shared" si="52"/>
        <v>20</v>
      </c>
      <c r="F136" s="51">
        <f t="shared" si="51"/>
        <v>2.5</v>
      </c>
      <c r="G136" s="37">
        <v>2.5</v>
      </c>
      <c r="H136" s="37">
        <v>6.5</v>
      </c>
      <c r="I136" s="17">
        <v>9</v>
      </c>
      <c r="J136" s="18">
        <v>2</v>
      </c>
      <c r="K136" s="18">
        <v>0.6</v>
      </c>
      <c r="L136" s="20" t="e">
        <f>K136/#REF!*100</f>
        <v>#REF!</v>
      </c>
      <c r="M136" s="20">
        <f t="shared" si="50"/>
        <v>6.666666666666667</v>
      </c>
      <c r="N136" s="48"/>
      <c r="O136" s="48"/>
      <c r="P136" s="17">
        <f t="shared" si="33"/>
        <v>30</v>
      </c>
      <c r="Q136" s="20">
        <f t="shared" si="30"/>
        <v>24</v>
      </c>
      <c r="R136" s="18">
        <f t="shared" si="31"/>
        <v>3</v>
      </c>
      <c r="S136" s="18">
        <f t="shared" si="27"/>
        <v>3</v>
      </c>
    </row>
    <row r="137" spans="1:19" ht="24">
      <c r="A137" s="13" t="s">
        <v>11</v>
      </c>
      <c r="B137" s="13"/>
      <c r="C137" s="28" t="s">
        <v>17</v>
      </c>
      <c r="D137" s="68">
        <v>220</v>
      </c>
      <c r="E137" s="68">
        <f t="shared" si="52"/>
        <v>220</v>
      </c>
      <c r="F137" s="51">
        <f t="shared" si="51"/>
        <v>19.5</v>
      </c>
      <c r="G137" s="37">
        <v>19.5</v>
      </c>
      <c r="H137" s="37">
        <v>45</v>
      </c>
      <c r="I137" s="17">
        <v>68</v>
      </c>
      <c r="J137" s="18">
        <v>87.5</v>
      </c>
      <c r="K137" s="18">
        <v>0</v>
      </c>
      <c r="L137" s="20" t="e">
        <f>K137/#REF!*100</f>
        <v>#REF!</v>
      </c>
      <c r="M137" s="20">
        <f t="shared" si="50"/>
        <v>0</v>
      </c>
      <c r="N137" s="48"/>
      <c r="O137" s="48"/>
      <c r="P137" s="17">
        <f t="shared" si="33"/>
        <v>0</v>
      </c>
      <c r="Q137" s="20">
        <f t="shared" si="30"/>
        <v>0</v>
      </c>
      <c r="R137" s="18">
        <f t="shared" si="31"/>
        <v>0</v>
      </c>
      <c r="S137" s="18">
        <f t="shared" si="27"/>
        <v>0</v>
      </c>
    </row>
    <row r="138" spans="1:19" ht="24" hidden="1">
      <c r="A138" s="30" t="s">
        <v>42</v>
      </c>
      <c r="B138" s="30"/>
      <c r="C138" s="28" t="s">
        <v>43</v>
      </c>
      <c r="D138" s="68">
        <v>0</v>
      </c>
      <c r="E138" s="68">
        <f t="shared" si="52"/>
        <v>0</v>
      </c>
      <c r="F138" s="51">
        <f t="shared" si="51"/>
        <v>0</v>
      </c>
      <c r="G138" s="37"/>
      <c r="H138" s="37"/>
      <c r="I138" s="17"/>
      <c r="J138" s="18"/>
      <c r="K138" s="18"/>
      <c r="L138" s="20" t="e">
        <f>K138/#REF!*100</f>
        <v>#REF!</v>
      </c>
      <c r="M138" s="20" t="e">
        <f t="shared" si="50"/>
        <v>#DIV/0!</v>
      </c>
      <c r="N138" s="48"/>
      <c r="O138" s="48"/>
      <c r="P138" s="17" t="e">
        <f t="shared" si="33"/>
        <v>#DIV/0!</v>
      </c>
      <c r="Q138" s="20"/>
      <c r="R138" s="18"/>
      <c r="S138" s="18"/>
    </row>
    <row r="139" spans="1:19" ht="18.75" customHeight="1" hidden="1">
      <c r="A139" s="30" t="s">
        <v>18</v>
      </c>
      <c r="B139" s="30"/>
      <c r="C139" s="28" t="s">
        <v>15</v>
      </c>
      <c r="D139" s="68">
        <v>0</v>
      </c>
      <c r="E139" s="68">
        <f t="shared" si="52"/>
        <v>0</v>
      </c>
      <c r="F139" s="51">
        <f t="shared" si="51"/>
        <v>0</v>
      </c>
      <c r="G139" s="37"/>
      <c r="H139" s="37"/>
      <c r="I139" s="17"/>
      <c r="J139" s="18"/>
      <c r="K139" s="18"/>
      <c r="L139" s="20" t="e">
        <f>K139/#REF!*100</f>
        <v>#REF!</v>
      </c>
      <c r="M139" s="20" t="e">
        <f t="shared" si="50"/>
        <v>#DIV/0!</v>
      </c>
      <c r="N139" s="48"/>
      <c r="O139" s="48"/>
      <c r="P139" s="17" t="e">
        <f t="shared" si="33"/>
        <v>#DIV/0!</v>
      </c>
      <c r="Q139" s="20" t="e">
        <f t="shared" si="30"/>
        <v>#DIV/0!</v>
      </c>
      <c r="R139" s="18" t="e">
        <f t="shared" si="31"/>
        <v>#DIV/0!</v>
      </c>
      <c r="S139" s="18"/>
    </row>
    <row r="140" spans="1:19" ht="15" customHeight="1" hidden="1">
      <c r="A140" s="21" t="s">
        <v>12</v>
      </c>
      <c r="B140" s="21"/>
      <c r="C140" s="28" t="s">
        <v>7</v>
      </c>
      <c r="D140" s="68"/>
      <c r="E140" s="68">
        <f t="shared" si="52"/>
        <v>0</v>
      </c>
      <c r="F140" s="51">
        <f t="shared" si="51"/>
        <v>0</v>
      </c>
      <c r="G140" s="37"/>
      <c r="H140" s="37"/>
      <c r="I140" s="17"/>
      <c r="J140" s="18"/>
      <c r="K140" s="18"/>
      <c r="L140" s="20"/>
      <c r="M140" s="20"/>
      <c r="N140" s="48"/>
      <c r="O140" s="48"/>
      <c r="P140" s="17"/>
      <c r="Q140" s="20"/>
      <c r="R140" s="18"/>
      <c r="S140" s="18"/>
    </row>
    <row r="141" spans="1:19" ht="18" customHeight="1">
      <c r="A141" s="30" t="s">
        <v>39</v>
      </c>
      <c r="B141" s="83"/>
      <c r="C141" s="16" t="s">
        <v>40</v>
      </c>
      <c r="D141" s="68"/>
      <c r="E141" s="68">
        <f t="shared" si="52"/>
        <v>0</v>
      </c>
      <c r="F141" s="51">
        <f t="shared" si="51"/>
        <v>0</v>
      </c>
      <c r="G141" s="37"/>
      <c r="H141" s="37"/>
      <c r="I141" s="17"/>
      <c r="J141" s="18"/>
      <c r="K141" s="17">
        <v>8</v>
      </c>
      <c r="L141" s="20"/>
      <c r="M141" s="20"/>
      <c r="N141" s="48"/>
      <c r="O141" s="48"/>
      <c r="P141" s="17"/>
      <c r="Q141" s="20"/>
      <c r="R141" s="18"/>
      <c r="S141" s="18"/>
    </row>
    <row r="142" spans="1:19" ht="18" customHeight="1">
      <c r="A142" s="63" t="s">
        <v>1</v>
      </c>
      <c r="B142" s="63"/>
      <c r="C142" s="32" t="s">
        <v>0</v>
      </c>
      <c r="D142" s="33">
        <f aca="true" t="shared" si="53" ref="D142:K142">D143+D144+D145</f>
        <v>46888.3</v>
      </c>
      <c r="E142" s="33">
        <f t="shared" si="53"/>
        <v>47791.2</v>
      </c>
      <c r="F142" s="33">
        <f t="shared" si="53"/>
        <v>10785.2</v>
      </c>
      <c r="G142" s="33">
        <f t="shared" si="53"/>
        <v>10785.2</v>
      </c>
      <c r="H142" s="33">
        <f t="shared" si="53"/>
        <v>9941.3</v>
      </c>
      <c r="I142" s="33">
        <f t="shared" si="53"/>
        <v>12298.7</v>
      </c>
      <c r="J142" s="33">
        <f t="shared" si="53"/>
        <v>14766</v>
      </c>
      <c r="K142" s="33">
        <f t="shared" si="53"/>
        <v>2190.9</v>
      </c>
      <c r="L142" s="27" t="e">
        <f>K142/#REF!*100</f>
        <v>#REF!</v>
      </c>
      <c r="M142" s="27">
        <f>K142/I142*100</f>
        <v>17.814077910673483</v>
      </c>
      <c r="N142" s="48"/>
      <c r="O142" s="48"/>
      <c r="P142" s="36">
        <f t="shared" si="33"/>
        <v>14.83746444534742</v>
      </c>
      <c r="Q142" s="27">
        <f t="shared" si="30"/>
        <v>20.3139487445759</v>
      </c>
      <c r="R142" s="24">
        <f t="shared" si="31"/>
        <v>4.584316777984232</v>
      </c>
      <c r="S142" s="24">
        <f aca="true" t="shared" si="54" ref="S142:S202">K142*100/D142</f>
        <v>4.672594229264017</v>
      </c>
    </row>
    <row r="143" spans="1:19" ht="24">
      <c r="A143" s="14" t="s">
        <v>67</v>
      </c>
      <c r="B143" s="12"/>
      <c r="C143" s="34" t="s">
        <v>20</v>
      </c>
      <c r="D143" s="37">
        <v>46888.3</v>
      </c>
      <c r="E143" s="68">
        <f t="shared" si="52"/>
        <v>47791.2</v>
      </c>
      <c r="F143" s="51">
        <f t="shared" si="51"/>
        <v>10785.2</v>
      </c>
      <c r="G143" s="37">
        <v>10785.2</v>
      </c>
      <c r="H143" s="37">
        <v>9941.3</v>
      </c>
      <c r="I143" s="17">
        <v>12298.7</v>
      </c>
      <c r="J143" s="18">
        <v>14766</v>
      </c>
      <c r="K143" s="18">
        <v>2190.9</v>
      </c>
      <c r="L143" s="20" t="e">
        <f>K143/#REF!*100</f>
        <v>#REF!</v>
      </c>
      <c r="M143" s="20">
        <f>K143/I143*100</f>
        <v>17.814077910673483</v>
      </c>
      <c r="N143" s="48"/>
      <c r="O143" s="48"/>
      <c r="P143" s="17">
        <f t="shared" si="33"/>
        <v>14.83746444534742</v>
      </c>
      <c r="Q143" s="20">
        <f t="shared" si="30"/>
        <v>20.3139487445759</v>
      </c>
      <c r="R143" s="18">
        <f t="shared" si="31"/>
        <v>4.584316777984232</v>
      </c>
      <c r="S143" s="18">
        <f t="shared" si="54"/>
        <v>4.672594229264017</v>
      </c>
    </row>
    <row r="144" spans="1:19" ht="12.75" customHeight="1" hidden="1">
      <c r="A144" s="14" t="s">
        <v>2</v>
      </c>
      <c r="B144" s="14"/>
      <c r="C144" s="35" t="s">
        <v>19</v>
      </c>
      <c r="D144" s="35"/>
      <c r="E144" s="68">
        <f t="shared" si="52"/>
        <v>0</v>
      </c>
      <c r="F144" s="51">
        <f t="shared" si="51"/>
        <v>0</v>
      </c>
      <c r="G144" s="81"/>
      <c r="H144" s="81"/>
      <c r="I144" s="17"/>
      <c r="J144" s="18"/>
      <c r="K144" s="18"/>
      <c r="L144" s="20"/>
      <c r="M144" s="20"/>
      <c r="N144" s="48"/>
      <c r="O144" s="48"/>
      <c r="P144" s="17" t="e">
        <f t="shared" si="33"/>
        <v>#DIV/0!</v>
      </c>
      <c r="Q144" s="20"/>
      <c r="R144" s="18"/>
      <c r="S144" s="18"/>
    </row>
    <row r="145" spans="1:19" ht="33" customHeight="1" hidden="1">
      <c r="A145" s="14" t="s">
        <v>66</v>
      </c>
      <c r="B145" s="70"/>
      <c r="C145" s="19" t="s">
        <v>63</v>
      </c>
      <c r="D145" s="35"/>
      <c r="E145" s="68"/>
      <c r="F145" s="51">
        <f t="shared" si="51"/>
        <v>0</v>
      </c>
      <c r="G145" s="81"/>
      <c r="H145" s="81"/>
      <c r="I145" s="17"/>
      <c r="J145" s="18"/>
      <c r="K145" s="18"/>
      <c r="L145" s="20"/>
      <c r="M145" s="20"/>
      <c r="N145" s="48"/>
      <c r="O145" s="48"/>
      <c r="P145" s="17"/>
      <c r="Q145" s="20"/>
      <c r="R145" s="18"/>
      <c r="S145" s="18"/>
    </row>
    <row r="146" spans="1:19" ht="12.75">
      <c r="A146" s="21"/>
      <c r="B146" s="22"/>
      <c r="C146" s="23" t="s">
        <v>4</v>
      </c>
      <c r="D146" s="24">
        <f aca="true" t="shared" si="55" ref="D146:J146">D142+D132</f>
        <v>56856.8</v>
      </c>
      <c r="E146" s="24">
        <f t="shared" si="55"/>
        <v>57759.7</v>
      </c>
      <c r="F146" s="24">
        <f t="shared" si="55"/>
        <v>12662.2</v>
      </c>
      <c r="G146" s="36">
        <f t="shared" si="55"/>
        <v>12662.2</v>
      </c>
      <c r="H146" s="36">
        <f t="shared" si="55"/>
        <v>12758.8</v>
      </c>
      <c r="I146" s="36">
        <f t="shared" si="55"/>
        <v>14882.300000000001</v>
      </c>
      <c r="J146" s="24">
        <f t="shared" si="55"/>
        <v>17456.4</v>
      </c>
      <c r="K146" s="24">
        <f>K142+K132-0.1</f>
        <v>2934.6000000000004</v>
      </c>
      <c r="L146" s="27" t="e">
        <f>K146/#REF!*100</f>
        <v>#REF!</v>
      </c>
      <c r="M146" s="27">
        <f>K146/I146*100</f>
        <v>19.718726272148796</v>
      </c>
      <c r="N146" s="48"/>
      <c r="O146" s="49" t="e">
        <f>J146+#REF!+#REF!</f>
        <v>#REF!</v>
      </c>
      <c r="P146" s="36">
        <f t="shared" si="33"/>
        <v>16.811026328452606</v>
      </c>
      <c r="Q146" s="27">
        <f t="shared" si="30"/>
        <v>23.17606735006555</v>
      </c>
      <c r="R146" s="24">
        <f t="shared" si="31"/>
        <v>5.080705059063674</v>
      </c>
      <c r="S146" s="24">
        <f t="shared" si="54"/>
        <v>5.161387907866782</v>
      </c>
    </row>
    <row r="147" spans="1:19" ht="12.75">
      <c r="A147" s="95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7"/>
      <c r="N147" s="48"/>
      <c r="O147" s="48"/>
      <c r="P147" s="47"/>
      <c r="Q147" s="27"/>
      <c r="R147" s="24"/>
      <c r="S147" s="18"/>
    </row>
    <row r="148" spans="1:19" ht="12.75">
      <c r="A148" s="98" t="s">
        <v>32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100"/>
    </row>
    <row r="149" spans="1:19" ht="12.75">
      <c r="A149" s="25" t="s">
        <v>3</v>
      </c>
      <c r="B149" s="25"/>
      <c r="C149" s="26" t="s">
        <v>68</v>
      </c>
      <c r="D149" s="27">
        <f aca="true" t="shared" si="56" ref="D149:K149">D150+D153+D155+D157+D154+D158+D156+D159+D152+D151</f>
        <v>21387.699999999997</v>
      </c>
      <c r="E149" s="27">
        <f t="shared" si="56"/>
        <v>21387.699999999997</v>
      </c>
      <c r="F149" s="27">
        <f t="shared" si="56"/>
        <v>5146.6</v>
      </c>
      <c r="G149" s="27">
        <f t="shared" si="56"/>
        <v>5146.6</v>
      </c>
      <c r="H149" s="27">
        <f t="shared" si="56"/>
        <v>5321.499999999999</v>
      </c>
      <c r="I149" s="27">
        <f t="shared" si="56"/>
        <v>5801.8</v>
      </c>
      <c r="J149" s="27">
        <f t="shared" si="56"/>
        <v>5117.8</v>
      </c>
      <c r="K149" s="27">
        <f t="shared" si="56"/>
        <v>1574.2999999999997</v>
      </c>
      <c r="L149" s="27" t="e">
        <f>K149/#REF!*100</f>
        <v>#REF!</v>
      </c>
      <c r="M149" s="27">
        <f>K149/I149*100</f>
        <v>27.134682339963454</v>
      </c>
      <c r="N149" s="48"/>
      <c r="O149" s="48"/>
      <c r="P149" s="27">
        <f t="shared" si="33"/>
        <v>30.761264605885334</v>
      </c>
      <c r="Q149" s="27">
        <f t="shared" si="30"/>
        <v>30.589126802160642</v>
      </c>
      <c r="R149" s="24">
        <f t="shared" si="31"/>
        <v>7.360772780616896</v>
      </c>
      <c r="S149" s="24">
        <f t="shared" si="54"/>
        <v>7.360772780616896</v>
      </c>
    </row>
    <row r="150" spans="1:19" ht="12.75">
      <c r="A150" s="21" t="s">
        <v>23</v>
      </c>
      <c r="B150" s="21"/>
      <c r="C150" s="28" t="s">
        <v>22</v>
      </c>
      <c r="D150" s="68">
        <v>13460</v>
      </c>
      <c r="E150" s="37">
        <f>G150+H150+I150+J150</f>
        <v>13460</v>
      </c>
      <c r="F150" s="51">
        <f aca="true" t="shared" si="57" ref="F150:F161">G150</f>
        <v>3322.1</v>
      </c>
      <c r="G150" s="37">
        <v>3322.1</v>
      </c>
      <c r="H150" s="37">
        <v>3443.7</v>
      </c>
      <c r="I150" s="17">
        <v>3779.5</v>
      </c>
      <c r="J150" s="18">
        <v>2914.7</v>
      </c>
      <c r="K150" s="18">
        <v>1030.6</v>
      </c>
      <c r="L150" s="20" t="e">
        <f>K150/#REF!*100</f>
        <v>#REF!</v>
      </c>
      <c r="M150" s="20">
        <f>K150/I150*100</f>
        <v>27.268157163645984</v>
      </c>
      <c r="N150" s="48"/>
      <c r="O150" s="48"/>
      <c r="P150" s="17">
        <f t="shared" si="33"/>
        <v>35.35869900847428</v>
      </c>
      <c r="Q150" s="20">
        <f t="shared" si="30"/>
        <v>31.022545979952437</v>
      </c>
      <c r="R150" s="18">
        <f t="shared" si="31"/>
        <v>7.656760772659731</v>
      </c>
      <c r="S150" s="18">
        <f t="shared" si="54"/>
        <v>7.656760772659731</v>
      </c>
    </row>
    <row r="151" spans="1:19" ht="12.75">
      <c r="A151" s="12" t="s">
        <v>70</v>
      </c>
      <c r="B151" s="12"/>
      <c r="C151" s="28" t="s">
        <v>71</v>
      </c>
      <c r="D151" s="68">
        <v>4923.1</v>
      </c>
      <c r="E151" s="37">
        <f>G151+H151+I151+J151</f>
        <v>4923.099999999999</v>
      </c>
      <c r="F151" s="51">
        <f t="shared" si="57"/>
        <v>1180</v>
      </c>
      <c r="G151" s="37">
        <v>1180</v>
      </c>
      <c r="H151" s="37">
        <v>1222.7</v>
      </c>
      <c r="I151" s="17">
        <v>1342.2</v>
      </c>
      <c r="J151" s="18">
        <v>1178.2</v>
      </c>
      <c r="K151" s="18">
        <v>423.5</v>
      </c>
      <c r="L151" s="20"/>
      <c r="M151" s="20"/>
      <c r="N151" s="48"/>
      <c r="O151" s="48"/>
      <c r="P151" s="17"/>
      <c r="Q151" s="20">
        <f>K151*100/F151</f>
        <v>35.889830508474574</v>
      </c>
      <c r="R151" s="18">
        <f>K151*100/E151</f>
        <v>8.602303426702688</v>
      </c>
      <c r="S151" s="18">
        <f t="shared" si="54"/>
        <v>8.602303426702687</v>
      </c>
    </row>
    <row r="152" spans="1:19" ht="12.75" customHeight="1">
      <c r="A152" s="12" t="s">
        <v>8</v>
      </c>
      <c r="B152" s="12"/>
      <c r="C152" s="28" t="s">
        <v>5</v>
      </c>
      <c r="D152" s="68">
        <v>15</v>
      </c>
      <c r="E152" s="37">
        <f aca="true" t="shared" si="58" ref="E152:E161">G152+H152+I152+J152</f>
        <v>14.999999999999998</v>
      </c>
      <c r="F152" s="51">
        <f t="shared" si="57"/>
        <v>4.5</v>
      </c>
      <c r="G152" s="37">
        <v>4.5</v>
      </c>
      <c r="H152" s="37">
        <v>5.6</v>
      </c>
      <c r="I152" s="17">
        <v>2.8</v>
      </c>
      <c r="J152" s="18">
        <v>2.1</v>
      </c>
      <c r="K152" s="18">
        <v>0</v>
      </c>
      <c r="L152" s="20"/>
      <c r="M152" s="20"/>
      <c r="N152" s="48"/>
      <c r="O152" s="48"/>
      <c r="P152" s="17">
        <f t="shared" si="33"/>
        <v>0</v>
      </c>
      <c r="Q152" s="20">
        <f>K152*100/F152</f>
        <v>0</v>
      </c>
      <c r="R152" s="18">
        <f>K152*100/E152</f>
        <v>0</v>
      </c>
      <c r="S152" s="18">
        <f t="shared" si="54"/>
        <v>0</v>
      </c>
    </row>
    <row r="153" spans="1:19" ht="12.75">
      <c r="A153" s="12" t="s">
        <v>9</v>
      </c>
      <c r="B153" s="12"/>
      <c r="C153" s="28" t="s">
        <v>6</v>
      </c>
      <c r="D153" s="68">
        <v>1987</v>
      </c>
      <c r="E153" s="37">
        <f t="shared" si="58"/>
        <v>1987</v>
      </c>
      <c r="F153" s="51">
        <f t="shared" si="57"/>
        <v>392</v>
      </c>
      <c r="G153" s="37">
        <v>392</v>
      </c>
      <c r="H153" s="37">
        <v>398.7</v>
      </c>
      <c r="I153" s="17">
        <v>416.4</v>
      </c>
      <c r="J153" s="18">
        <v>779.9</v>
      </c>
      <c r="K153" s="18">
        <v>99.5</v>
      </c>
      <c r="L153" s="20" t="e">
        <f>K153/#REF!*100</f>
        <v>#REF!</v>
      </c>
      <c r="M153" s="20">
        <f>K153/I153*100</f>
        <v>23.89529298751201</v>
      </c>
      <c r="N153" s="48"/>
      <c r="O153" s="48"/>
      <c r="P153" s="17">
        <f t="shared" si="33"/>
        <v>12.758045903320939</v>
      </c>
      <c r="Q153" s="20">
        <f aca="true" t="shared" si="59" ref="Q153:Q219">K153*100/F153</f>
        <v>25.382653061224488</v>
      </c>
      <c r="R153" s="18">
        <f aca="true" t="shared" si="60" ref="R153:R219">K153*100/E153</f>
        <v>5.007549068948163</v>
      </c>
      <c r="S153" s="18">
        <f t="shared" si="54"/>
        <v>5.007549068948163</v>
      </c>
    </row>
    <row r="154" spans="1:19" ht="12.75">
      <c r="A154" s="12" t="s">
        <v>10</v>
      </c>
      <c r="B154" s="12"/>
      <c r="C154" s="28" t="s">
        <v>21</v>
      </c>
      <c r="D154" s="68">
        <v>148.6</v>
      </c>
      <c r="E154" s="37">
        <f t="shared" si="58"/>
        <v>148.6</v>
      </c>
      <c r="F154" s="51">
        <f t="shared" si="57"/>
        <v>35.8</v>
      </c>
      <c r="G154" s="37">
        <v>35.8</v>
      </c>
      <c r="H154" s="37">
        <v>38.1</v>
      </c>
      <c r="I154" s="17">
        <v>40.8</v>
      </c>
      <c r="J154" s="18">
        <v>33.9</v>
      </c>
      <c r="K154" s="18">
        <v>8.6</v>
      </c>
      <c r="L154" s="20" t="e">
        <f>K154/#REF!*100</f>
        <v>#REF!</v>
      </c>
      <c r="M154" s="20">
        <f>K154/I154*100</f>
        <v>21.07843137254902</v>
      </c>
      <c r="N154" s="48"/>
      <c r="O154" s="48"/>
      <c r="P154" s="17">
        <f t="shared" si="33"/>
        <v>25.36873156342183</v>
      </c>
      <c r="Q154" s="20">
        <f t="shared" si="59"/>
        <v>24.022346368715084</v>
      </c>
      <c r="R154" s="18">
        <f t="shared" si="60"/>
        <v>5.7873485868102295</v>
      </c>
      <c r="S154" s="18">
        <f t="shared" si="54"/>
        <v>5.7873485868102295</v>
      </c>
    </row>
    <row r="155" spans="1:19" ht="24">
      <c r="A155" s="13" t="s">
        <v>11</v>
      </c>
      <c r="B155" s="13"/>
      <c r="C155" s="28" t="s">
        <v>17</v>
      </c>
      <c r="D155" s="68">
        <v>854</v>
      </c>
      <c r="E155" s="37">
        <f t="shared" si="58"/>
        <v>854</v>
      </c>
      <c r="F155" s="51">
        <f t="shared" si="57"/>
        <v>212.2</v>
      </c>
      <c r="G155" s="37">
        <v>212.2</v>
      </c>
      <c r="H155" s="37">
        <v>212.7</v>
      </c>
      <c r="I155" s="17">
        <v>220.1</v>
      </c>
      <c r="J155" s="18">
        <v>209</v>
      </c>
      <c r="K155" s="18">
        <v>0</v>
      </c>
      <c r="L155" s="20" t="e">
        <f>K155/#REF!*100</f>
        <v>#REF!</v>
      </c>
      <c r="M155" s="20">
        <f>K155/I155*100</f>
        <v>0</v>
      </c>
      <c r="N155" s="48"/>
      <c r="O155" s="48"/>
      <c r="P155" s="17">
        <f t="shared" si="33"/>
        <v>0</v>
      </c>
      <c r="Q155" s="20">
        <f t="shared" si="59"/>
        <v>0</v>
      </c>
      <c r="R155" s="18">
        <f t="shared" si="60"/>
        <v>0</v>
      </c>
      <c r="S155" s="18">
        <f t="shared" si="54"/>
        <v>0</v>
      </c>
    </row>
    <row r="156" spans="1:19" ht="19.5" customHeight="1" hidden="1">
      <c r="A156" s="30" t="s">
        <v>42</v>
      </c>
      <c r="B156" s="30"/>
      <c r="C156" s="28" t="s">
        <v>43</v>
      </c>
      <c r="D156" s="68"/>
      <c r="E156" s="37">
        <f t="shared" si="58"/>
        <v>0</v>
      </c>
      <c r="F156" s="51">
        <f t="shared" si="57"/>
        <v>0</v>
      </c>
      <c r="G156" s="37"/>
      <c r="H156" s="37"/>
      <c r="I156" s="17"/>
      <c r="J156" s="18"/>
      <c r="K156" s="18"/>
      <c r="L156" s="20"/>
      <c r="M156" s="20"/>
      <c r="N156" s="48"/>
      <c r="O156" s="48"/>
      <c r="P156" s="17" t="e">
        <f aca="true" t="shared" si="61" ref="P156:P222">K156*100/J156</f>
        <v>#DIV/0!</v>
      </c>
      <c r="Q156" s="20"/>
      <c r="R156" s="18"/>
      <c r="S156" s="18"/>
    </row>
    <row r="157" spans="1:19" ht="19.5" customHeight="1" hidden="1">
      <c r="A157" s="29" t="s">
        <v>18</v>
      </c>
      <c r="B157" s="29"/>
      <c r="C157" s="28" t="s">
        <v>15</v>
      </c>
      <c r="D157" s="68"/>
      <c r="E157" s="37">
        <f t="shared" si="58"/>
        <v>0</v>
      </c>
      <c r="F157" s="51">
        <f t="shared" si="57"/>
        <v>0</v>
      </c>
      <c r="G157" s="37"/>
      <c r="H157" s="37"/>
      <c r="I157" s="17"/>
      <c r="J157" s="18"/>
      <c r="K157" s="18"/>
      <c r="L157" s="20" t="e">
        <f>K157/#REF!*100</f>
        <v>#REF!</v>
      </c>
      <c r="M157" s="20" t="e">
        <f>K157/I157*100</f>
        <v>#DIV/0!</v>
      </c>
      <c r="N157" s="48"/>
      <c r="O157" s="48"/>
      <c r="P157" s="17" t="e">
        <f t="shared" si="61"/>
        <v>#DIV/0!</v>
      </c>
      <c r="Q157" s="20"/>
      <c r="R157" s="18"/>
      <c r="S157" s="18"/>
    </row>
    <row r="158" spans="1:19" ht="17.25" customHeight="1" hidden="1">
      <c r="A158" s="21" t="s">
        <v>12</v>
      </c>
      <c r="B158" s="21"/>
      <c r="C158" s="28" t="s">
        <v>7</v>
      </c>
      <c r="D158" s="68"/>
      <c r="E158" s="37">
        <f t="shared" si="58"/>
        <v>0</v>
      </c>
      <c r="F158" s="51">
        <f t="shared" si="57"/>
        <v>0</v>
      </c>
      <c r="G158" s="37"/>
      <c r="H158" s="37"/>
      <c r="I158" s="17"/>
      <c r="J158" s="18"/>
      <c r="K158" s="18"/>
      <c r="L158" s="20" t="e">
        <f>K158/#REF!*100</f>
        <v>#REF!</v>
      </c>
      <c r="M158" s="20"/>
      <c r="N158" s="48"/>
      <c r="O158" s="48"/>
      <c r="P158" s="17" t="e">
        <f t="shared" si="61"/>
        <v>#DIV/0!</v>
      </c>
      <c r="Q158" s="20"/>
      <c r="R158" s="18"/>
      <c r="S158" s="18"/>
    </row>
    <row r="159" spans="1:19" ht="16.5" customHeight="1">
      <c r="A159" s="29" t="s">
        <v>39</v>
      </c>
      <c r="B159" s="54"/>
      <c r="C159" s="16" t="s">
        <v>40</v>
      </c>
      <c r="D159" s="68"/>
      <c r="E159" s="37">
        <f t="shared" si="58"/>
        <v>0</v>
      </c>
      <c r="F159" s="51">
        <f t="shared" si="57"/>
        <v>0</v>
      </c>
      <c r="G159" s="37"/>
      <c r="H159" s="37"/>
      <c r="I159" s="17"/>
      <c r="J159" s="18"/>
      <c r="K159" s="18">
        <v>12.1</v>
      </c>
      <c r="L159" s="20"/>
      <c r="M159" s="20"/>
      <c r="N159" s="48"/>
      <c r="O159" s="48"/>
      <c r="P159" s="17" t="e">
        <f t="shared" si="61"/>
        <v>#DIV/0!</v>
      </c>
      <c r="Q159" s="27"/>
      <c r="R159" s="24"/>
      <c r="S159" s="18"/>
    </row>
    <row r="160" spans="1:19" ht="12.75">
      <c r="A160" s="25" t="s">
        <v>1</v>
      </c>
      <c r="B160" s="25"/>
      <c r="C160" s="32" t="s">
        <v>0</v>
      </c>
      <c r="D160" s="33">
        <f>D161+D162</f>
        <v>32823.7</v>
      </c>
      <c r="E160" s="33">
        <f>E161+E162</f>
        <v>45657.4</v>
      </c>
      <c r="F160" s="33">
        <f aca="true" t="shared" si="62" ref="F160:K160">F161+F162</f>
        <v>20387.4</v>
      </c>
      <c r="G160" s="33">
        <f t="shared" si="62"/>
        <v>20387.4</v>
      </c>
      <c r="H160" s="33">
        <f t="shared" si="62"/>
        <v>8298.2</v>
      </c>
      <c r="I160" s="33">
        <f t="shared" si="62"/>
        <v>9874.4</v>
      </c>
      <c r="J160" s="33">
        <f t="shared" si="62"/>
        <v>7097.4</v>
      </c>
      <c r="K160" s="33">
        <f t="shared" si="62"/>
        <v>1471.9</v>
      </c>
      <c r="L160" s="27" t="e">
        <f>K160/#REF!*100</f>
        <v>#REF!</v>
      </c>
      <c r="M160" s="27">
        <f>K160/I160*100</f>
        <v>14.906222150206597</v>
      </c>
      <c r="N160" s="48"/>
      <c r="O160" s="48"/>
      <c r="P160" s="36">
        <f t="shared" si="61"/>
        <v>20.738580325189506</v>
      </c>
      <c r="Q160" s="27">
        <f t="shared" si="59"/>
        <v>7.219655277279103</v>
      </c>
      <c r="R160" s="24">
        <f t="shared" si="60"/>
        <v>3.223792857236724</v>
      </c>
      <c r="S160" s="24">
        <f t="shared" si="54"/>
        <v>4.484259848828743</v>
      </c>
    </row>
    <row r="161" spans="1:19" ht="24">
      <c r="A161" s="14" t="s">
        <v>67</v>
      </c>
      <c r="B161" s="12"/>
      <c r="C161" s="34" t="s">
        <v>20</v>
      </c>
      <c r="D161" s="37">
        <v>32823.7</v>
      </c>
      <c r="E161" s="37">
        <f t="shared" si="58"/>
        <v>45657.4</v>
      </c>
      <c r="F161" s="51">
        <f t="shared" si="57"/>
        <v>20387.4</v>
      </c>
      <c r="G161" s="37">
        <v>20387.4</v>
      </c>
      <c r="H161" s="37">
        <v>8298.2</v>
      </c>
      <c r="I161" s="17">
        <v>9874.4</v>
      </c>
      <c r="J161" s="18">
        <v>7097.4</v>
      </c>
      <c r="K161" s="18">
        <v>1471.9</v>
      </c>
      <c r="L161" s="20" t="e">
        <f>K161/#REF!*100</f>
        <v>#REF!</v>
      </c>
      <c r="M161" s="20">
        <f>K161/I161*100</f>
        <v>14.906222150206597</v>
      </c>
      <c r="N161" s="48"/>
      <c r="O161" s="48"/>
      <c r="P161" s="17">
        <f t="shared" si="61"/>
        <v>20.738580325189506</v>
      </c>
      <c r="Q161" s="20">
        <f t="shared" si="59"/>
        <v>7.219655277279103</v>
      </c>
      <c r="R161" s="18">
        <f t="shared" si="60"/>
        <v>3.223792857236724</v>
      </c>
      <c r="S161" s="18">
        <f t="shared" si="54"/>
        <v>4.484259848828743</v>
      </c>
    </row>
    <row r="162" spans="1:19" ht="12.75" hidden="1">
      <c r="A162" s="14" t="s">
        <v>2</v>
      </c>
      <c r="B162" s="14"/>
      <c r="C162" s="35" t="s">
        <v>19</v>
      </c>
      <c r="D162" s="35"/>
      <c r="E162" s="37">
        <f>G162+H162+I162+J162</f>
        <v>0</v>
      </c>
      <c r="F162" s="68">
        <f>G162</f>
        <v>0</v>
      </c>
      <c r="G162" s="37"/>
      <c r="H162" s="37"/>
      <c r="I162" s="17"/>
      <c r="J162" s="18"/>
      <c r="K162" s="18"/>
      <c r="L162" s="20"/>
      <c r="M162" s="20"/>
      <c r="N162" s="48"/>
      <c r="O162" s="48"/>
      <c r="P162" s="17"/>
      <c r="Q162" s="20"/>
      <c r="R162" s="18"/>
      <c r="S162" s="18" t="e">
        <f t="shared" si="54"/>
        <v>#DIV/0!</v>
      </c>
    </row>
    <row r="163" spans="1:19" ht="12.75">
      <c r="A163" s="21"/>
      <c r="B163" s="22"/>
      <c r="C163" s="23" t="s">
        <v>4</v>
      </c>
      <c r="D163" s="24">
        <f aca="true" t="shared" si="63" ref="D163:K163">D160+D149</f>
        <v>54211.399999999994</v>
      </c>
      <c r="E163" s="24">
        <f t="shared" si="63"/>
        <v>67045.1</v>
      </c>
      <c r="F163" s="24">
        <f t="shared" si="63"/>
        <v>25534</v>
      </c>
      <c r="G163" s="24">
        <f t="shared" si="63"/>
        <v>25534</v>
      </c>
      <c r="H163" s="24">
        <f t="shared" si="63"/>
        <v>13619.7</v>
      </c>
      <c r="I163" s="24">
        <f t="shared" si="63"/>
        <v>15676.2</v>
      </c>
      <c r="J163" s="24">
        <f t="shared" si="63"/>
        <v>12215.2</v>
      </c>
      <c r="K163" s="24">
        <f t="shared" si="63"/>
        <v>3046.2</v>
      </c>
      <c r="L163" s="27" t="e">
        <f>K163/#REF!*100</f>
        <v>#REF!</v>
      </c>
      <c r="M163" s="27">
        <f>K163/I163*100</f>
        <v>19.43200520534313</v>
      </c>
      <c r="N163" s="48"/>
      <c r="O163" s="49" t="e">
        <f>J163+#REF!+#REF!</f>
        <v>#REF!</v>
      </c>
      <c r="P163" s="36">
        <f t="shared" si="61"/>
        <v>24.937782434999015</v>
      </c>
      <c r="Q163" s="27">
        <f t="shared" si="59"/>
        <v>11.929975718649644</v>
      </c>
      <c r="R163" s="24">
        <f t="shared" si="60"/>
        <v>4.543508772453169</v>
      </c>
      <c r="S163" s="24">
        <f t="shared" si="54"/>
        <v>5.619113323027999</v>
      </c>
    </row>
    <row r="164" spans="1:19" ht="12.75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1"/>
      <c r="N164" s="48"/>
      <c r="O164" s="48"/>
      <c r="P164" s="47"/>
      <c r="Q164" s="27"/>
      <c r="R164" s="24"/>
      <c r="S164" s="18"/>
    </row>
    <row r="165" spans="1:19" ht="12.75">
      <c r="A165" s="98" t="s">
        <v>33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100"/>
    </row>
    <row r="166" spans="1:19" ht="12.75">
      <c r="A166" s="25" t="s">
        <v>3</v>
      </c>
      <c r="B166" s="25"/>
      <c r="C166" s="26" t="s">
        <v>68</v>
      </c>
      <c r="D166" s="27">
        <f>D167+D170+D171+D172+D174+D175+D176+D173+D168+D169</f>
        <v>7081.1</v>
      </c>
      <c r="E166" s="27">
        <f>E167+E170+E171+E172+E174+E175+E176+E173+E168+E169</f>
        <v>7081.1</v>
      </c>
      <c r="F166" s="27">
        <f aca="true" t="shared" si="64" ref="F166:P166">F167+F170+F171+F172+F174+F175+F176+F173+F168+F169</f>
        <v>1445.4</v>
      </c>
      <c r="G166" s="27">
        <f t="shared" si="64"/>
        <v>1445.4</v>
      </c>
      <c r="H166" s="27">
        <f t="shared" si="64"/>
        <v>1716.7</v>
      </c>
      <c r="I166" s="27">
        <f t="shared" si="64"/>
        <v>1549.8000000000002</v>
      </c>
      <c r="J166" s="27">
        <f t="shared" si="64"/>
        <v>2369.2</v>
      </c>
      <c r="K166" s="27">
        <f t="shared" si="64"/>
        <v>445.1</v>
      </c>
      <c r="L166" s="27" t="e">
        <f t="shared" si="64"/>
        <v>#REF!</v>
      </c>
      <c r="M166" s="27" t="e">
        <f t="shared" si="64"/>
        <v>#DIV/0!</v>
      </c>
      <c r="N166" s="27">
        <f t="shared" si="64"/>
        <v>0</v>
      </c>
      <c r="O166" s="27">
        <f t="shared" si="64"/>
        <v>0</v>
      </c>
      <c r="P166" s="27" t="e">
        <f t="shared" si="64"/>
        <v>#DIV/0!</v>
      </c>
      <c r="Q166" s="27">
        <f t="shared" si="59"/>
        <v>30.794243807942436</v>
      </c>
      <c r="R166" s="24">
        <f t="shared" si="60"/>
        <v>6.285746564799254</v>
      </c>
      <c r="S166" s="24">
        <f t="shared" si="54"/>
        <v>6.285746564799254</v>
      </c>
    </row>
    <row r="167" spans="1:19" ht="12.75">
      <c r="A167" s="21" t="s">
        <v>23</v>
      </c>
      <c r="B167" s="21"/>
      <c r="C167" s="28" t="s">
        <v>22</v>
      </c>
      <c r="D167" s="68">
        <v>2930</v>
      </c>
      <c r="E167" s="37">
        <f>G167+H167+I167+J167</f>
        <v>2930</v>
      </c>
      <c r="F167" s="51">
        <f aca="true" t="shared" si="65" ref="F167:F178">G167</f>
        <v>730</v>
      </c>
      <c r="G167" s="68">
        <v>730</v>
      </c>
      <c r="H167" s="68">
        <v>791.7</v>
      </c>
      <c r="I167" s="17">
        <v>625</v>
      </c>
      <c r="J167" s="18">
        <v>783.3</v>
      </c>
      <c r="K167" s="18">
        <v>142.9</v>
      </c>
      <c r="L167" s="20" t="e">
        <f>K167/#REF!*100</f>
        <v>#REF!</v>
      </c>
      <c r="M167" s="20">
        <f aca="true" t="shared" si="66" ref="M167:M175">K167/I167*100</f>
        <v>22.864</v>
      </c>
      <c r="N167" s="48"/>
      <c r="O167" s="48"/>
      <c r="P167" s="17">
        <f t="shared" si="61"/>
        <v>18.243329503383123</v>
      </c>
      <c r="Q167" s="20">
        <f>K167*100/F167</f>
        <v>19.575342465753426</v>
      </c>
      <c r="R167" s="18">
        <f>K167*100/E167</f>
        <v>4.877133105802048</v>
      </c>
      <c r="S167" s="18">
        <f t="shared" si="54"/>
        <v>4.877133105802048</v>
      </c>
    </row>
    <row r="168" spans="1:19" ht="12.75">
      <c r="A168" s="12" t="s">
        <v>70</v>
      </c>
      <c r="B168" s="12"/>
      <c r="C168" s="28" t="s">
        <v>71</v>
      </c>
      <c r="D168" s="68">
        <v>2826.6</v>
      </c>
      <c r="E168" s="37">
        <f>G168+H168+I168+J168</f>
        <v>2826.6</v>
      </c>
      <c r="F168" s="51">
        <f t="shared" si="65"/>
        <v>706.7</v>
      </c>
      <c r="G168" s="68">
        <v>706.7</v>
      </c>
      <c r="H168" s="68">
        <v>706.7</v>
      </c>
      <c r="I168" s="17">
        <v>706.6</v>
      </c>
      <c r="J168" s="18">
        <v>706.6</v>
      </c>
      <c r="K168" s="18">
        <v>243.2</v>
      </c>
      <c r="L168" s="20"/>
      <c r="M168" s="20"/>
      <c r="N168" s="48"/>
      <c r="O168" s="48"/>
      <c r="P168" s="17"/>
      <c r="Q168" s="20">
        <f>K168*100/F168</f>
        <v>34.41347106268572</v>
      </c>
      <c r="R168" s="18">
        <f>K168*100/E168</f>
        <v>8.603976508879926</v>
      </c>
      <c r="S168" s="18">
        <f t="shared" si="54"/>
        <v>8.603976508879926</v>
      </c>
    </row>
    <row r="169" spans="1:19" ht="15" customHeight="1" hidden="1">
      <c r="A169" s="12" t="s">
        <v>8</v>
      </c>
      <c r="B169" s="12"/>
      <c r="C169" s="28" t="s">
        <v>5</v>
      </c>
      <c r="D169" s="68">
        <v>0</v>
      </c>
      <c r="E169" s="37">
        <f>G169+H169+I169+J169</f>
        <v>0</v>
      </c>
      <c r="F169" s="51">
        <f t="shared" si="65"/>
        <v>0</v>
      </c>
      <c r="G169" s="68"/>
      <c r="H169" s="68"/>
      <c r="I169" s="17"/>
      <c r="J169" s="18"/>
      <c r="K169" s="18"/>
      <c r="L169" s="20"/>
      <c r="M169" s="20"/>
      <c r="N169" s="48"/>
      <c r="O169" s="48"/>
      <c r="P169" s="17"/>
      <c r="Q169" s="20"/>
      <c r="R169" s="18"/>
      <c r="S169" s="18"/>
    </row>
    <row r="170" spans="1:19" ht="12.75">
      <c r="A170" s="12" t="s">
        <v>9</v>
      </c>
      <c r="B170" s="12"/>
      <c r="C170" s="28" t="s">
        <v>6</v>
      </c>
      <c r="D170" s="68">
        <v>875.5</v>
      </c>
      <c r="E170" s="37">
        <f>G170+H170+I170+J170</f>
        <v>875.5</v>
      </c>
      <c r="F170" s="51">
        <f t="shared" si="65"/>
        <v>0</v>
      </c>
      <c r="G170" s="68"/>
      <c r="H170" s="68">
        <v>106</v>
      </c>
      <c r="I170" s="17">
        <v>106</v>
      </c>
      <c r="J170" s="18">
        <v>663.5</v>
      </c>
      <c r="K170" s="18">
        <v>6.1</v>
      </c>
      <c r="L170" s="20" t="e">
        <f>K170/#REF!*100</f>
        <v>#REF!</v>
      </c>
      <c r="M170" s="20">
        <f t="shared" si="66"/>
        <v>5.754716981132075</v>
      </c>
      <c r="N170" s="48"/>
      <c r="O170" s="48"/>
      <c r="P170" s="17">
        <f t="shared" si="61"/>
        <v>0.9193669932177845</v>
      </c>
      <c r="Q170" s="20"/>
      <c r="R170" s="18">
        <f t="shared" si="60"/>
        <v>0.6967447173043975</v>
      </c>
      <c r="S170" s="18">
        <f t="shared" si="54"/>
        <v>0.6967447173043975</v>
      </c>
    </row>
    <row r="171" spans="1:19" ht="12.75">
      <c r="A171" s="12" t="s">
        <v>10</v>
      </c>
      <c r="B171" s="12"/>
      <c r="C171" s="28" t="s">
        <v>21</v>
      </c>
      <c r="D171" s="68">
        <v>35</v>
      </c>
      <c r="E171" s="37">
        <f aca="true" t="shared" si="67" ref="E171:E178">G171+H171+I171+J171</f>
        <v>35</v>
      </c>
      <c r="F171" s="51">
        <f t="shared" si="65"/>
        <v>8.7</v>
      </c>
      <c r="G171" s="68">
        <v>8.7</v>
      </c>
      <c r="H171" s="68">
        <v>8.8</v>
      </c>
      <c r="I171" s="17">
        <v>8.7</v>
      </c>
      <c r="J171" s="18">
        <v>8.8</v>
      </c>
      <c r="K171" s="18">
        <v>1.3</v>
      </c>
      <c r="L171" s="20" t="e">
        <f>K171/#REF!*100</f>
        <v>#REF!</v>
      </c>
      <c r="M171" s="20">
        <f t="shared" si="66"/>
        <v>14.942528735632186</v>
      </c>
      <c r="N171" s="48"/>
      <c r="O171" s="48"/>
      <c r="P171" s="17">
        <f t="shared" si="61"/>
        <v>14.772727272727272</v>
      </c>
      <c r="Q171" s="20">
        <f t="shared" si="59"/>
        <v>14.942528735632186</v>
      </c>
      <c r="R171" s="18">
        <f t="shared" si="60"/>
        <v>3.7142857142857144</v>
      </c>
      <c r="S171" s="18">
        <f t="shared" si="54"/>
        <v>3.7142857142857144</v>
      </c>
    </row>
    <row r="172" spans="1:19" ht="24">
      <c r="A172" s="13" t="s">
        <v>11</v>
      </c>
      <c r="B172" s="13"/>
      <c r="C172" s="28" t="s">
        <v>17</v>
      </c>
      <c r="D172" s="68">
        <v>414</v>
      </c>
      <c r="E172" s="37">
        <f t="shared" si="67"/>
        <v>414</v>
      </c>
      <c r="F172" s="51">
        <f t="shared" si="65"/>
        <v>0</v>
      </c>
      <c r="G172" s="68"/>
      <c r="H172" s="68">
        <v>103.5</v>
      </c>
      <c r="I172" s="17">
        <v>103.5</v>
      </c>
      <c r="J172" s="18">
        <v>207</v>
      </c>
      <c r="K172" s="18">
        <v>23.2</v>
      </c>
      <c r="L172" s="20" t="e">
        <f>K172/#REF!*100</f>
        <v>#REF!</v>
      </c>
      <c r="M172" s="20">
        <f t="shared" si="66"/>
        <v>22.415458937198064</v>
      </c>
      <c r="N172" s="48"/>
      <c r="O172" s="48"/>
      <c r="P172" s="17">
        <f t="shared" si="61"/>
        <v>11.207729468599034</v>
      </c>
      <c r="Q172" s="20"/>
      <c r="R172" s="18">
        <f t="shared" si="60"/>
        <v>5.603864734299517</v>
      </c>
      <c r="S172" s="18">
        <f t="shared" si="54"/>
        <v>5.603864734299517</v>
      </c>
    </row>
    <row r="173" spans="1:19" ht="24" hidden="1">
      <c r="A173" s="30" t="s">
        <v>42</v>
      </c>
      <c r="B173" s="30"/>
      <c r="C173" s="28" t="s">
        <v>43</v>
      </c>
      <c r="D173" s="68">
        <v>0</v>
      </c>
      <c r="E173" s="37">
        <f t="shared" si="67"/>
        <v>0</v>
      </c>
      <c r="F173" s="51">
        <f t="shared" si="65"/>
        <v>0</v>
      </c>
      <c r="G173" s="68"/>
      <c r="H173" s="68"/>
      <c r="I173" s="17"/>
      <c r="J173" s="18"/>
      <c r="K173" s="18"/>
      <c r="L173" s="20" t="e">
        <f>K173/#REF!*100</f>
        <v>#REF!</v>
      </c>
      <c r="M173" s="20" t="e">
        <f t="shared" si="66"/>
        <v>#DIV/0!</v>
      </c>
      <c r="N173" s="48"/>
      <c r="O173" s="48"/>
      <c r="P173" s="17" t="e">
        <f t="shared" si="61"/>
        <v>#DIV/0!</v>
      </c>
      <c r="Q173" s="20"/>
      <c r="R173" s="18"/>
      <c r="S173" s="18"/>
    </row>
    <row r="174" spans="1:19" ht="24" hidden="1">
      <c r="A174" s="29" t="s">
        <v>18</v>
      </c>
      <c r="B174" s="29"/>
      <c r="C174" s="28" t="s">
        <v>15</v>
      </c>
      <c r="D174" s="68"/>
      <c r="E174" s="37">
        <f t="shared" si="67"/>
        <v>0</v>
      </c>
      <c r="F174" s="51">
        <f t="shared" si="65"/>
        <v>0</v>
      </c>
      <c r="G174" s="68"/>
      <c r="H174" s="68"/>
      <c r="I174" s="17"/>
      <c r="J174" s="18"/>
      <c r="K174" s="18"/>
      <c r="L174" s="20" t="e">
        <f>K174/#REF!*100</f>
        <v>#REF!</v>
      </c>
      <c r="M174" s="20" t="e">
        <f t="shared" si="66"/>
        <v>#DIV/0!</v>
      </c>
      <c r="N174" s="48"/>
      <c r="O174" s="48"/>
      <c r="P174" s="17" t="e">
        <f t="shared" si="61"/>
        <v>#DIV/0!</v>
      </c>
      <c r="Q174" s="20"/>
      <c r="R174" s="18"/>
      <c r="S174" s="18"/>
    </row>
    <row r="175" spans="1:19" ht="17.25" customHeight="1" hidden="1">
      <c r="A175" s="21" t="s">
        <v>12</v>
      </c>
      <c r="B175" s="21"/>
      <c r="C175" s="28" t="s">
        <v>7</v>
      </c>
      <c r="D175" s="68"/>
      <c r="E175" s="37">
        <f t="shared" si="67"/>
        <v>0</v>
      </c>
      <c r="F175" s="51">
        <f t="shared" si="65"/>
        <v>0</v>
      </c>
      <c r="G175" s="68"/>
      <c r="H175" s="68"/>
      <c r="I175" s="17"/>
      <c r="J175" s="18"/>
      <c r="K175" s="18"/>
      <c r="L175" s="20"/>
      <c r="M175" s="20" t="e">
        <f t="shared" si="66"/>
        <v>#DIV/0!</v>
      </c>
      <c r="N175" s="48"/>
      <c r="O175" s="48"/>
      <c r="P175" s="17" t="e">
        <f t="shared" si="61"/>
        <v>#DIV/0!</v>
      </c>
      <c r="Q175" s="27"/>
      <c r="R175" s="24"/>
      <c r="S175" s="18"/>
    </row>
    <row r="176" spans="1:19" ht="14.25" customHeight="1">
      <c r="A176" s="53" t="s">
        <v>39</v>
      </c>
      <c r="B176" s="52"/>
      <c r="C176" s="16" t="s">
        <v>40</v>
      </c>
      <c r="D176" s="68"/>
      <c r="E176" s="37">
        <f t="shared" si="67"/>
        <v>0</v>
      </c>
      <c r="F176" s="51">
        <f t="shared" si="65"/>
        <v>0</v>
      </c>
      <c r="G176" s="68"/>
      <c r="H176" s="68"/>
      <c r="I176" s="17"/>
      <c r="J176" s="18"/>
      <c r="K176" s="18">
        <v>28.4</v>
      </c>
      <c r="L176" s="20"/>
      <c r="M176" s="20"/>
      <c r="N176" s="48"/>
      <c r="O176" s="48"/>
      <c r="P176" s="17" t="e">
        <f t="shared" si="61"/>
        <v>#DIV/0!</v>
      </c>
      <c r="Q176" s="27"/>
      <c r="R176" s="24"/>
      <c r="S176" s="18"/>
    </row>
    <row r="177" spans="1:19" ht="12.75">
      <c r="A177" s="25" t="s">
        <v>1</v>
      </c>
      <c r="B177" s="25"/>
      <c r="C177" s="32" t="s">
        <v>0</v>
      </c>
      <c r="D177" s="33">
        <f aca="true" t="shared" si="68" ref="D177:K177">D178+D179</f>
        <v>28800.9</v>
      </c>
      <c r="E177" s="33">
        <f t="shared" si="68"/>
        <v>28800.9</v>
      </c>
      <c r="F177" s="84">
        <f t="shared" si="68"/>
        <v>7109.2</v>
      </c>
      <c r="G177" s="84">
        <f t="shared" si="68"/>
        <v>7109.2</v>
      </c>
      <c r="H177" s="84">
        <f t="shared" si="68"/>
        <v>7858.7</v>
      </c>
      <c r="I177" s="33">
        <f t="shared" si="68"/>
        <v>6883.9</v>
      </c>
      <c r="J177" s="33">
        <f t="shared" si="68"/>
        <v>6949.1</v>
      </c>
      <c r="K177" s="33">
        <f t="shared" si="68"/>
        <v>1692.4</v>
      </c>
      <c r="L177" s="27" t="e">
        <f>K177/#REF!*100</f>
        <v>#REF!</v>
      </c>
      <c r="M177" s="27">
        <f>K177/I177*100</f>
        <v>24.584901000886127</v>
      </c>
      <c r="N177" s="48"/>
      <c r="O177" s="48"/>
      <c r="P177" s="36">
        <f t="shared" si="61"/>
        <v>24.354232922248922</v>
      </c>
      <c r="Q177" s="27">
        <f t="shared" si="59"/>
        <v>23.805772801440387</v>
      </c>
      <c r="R177" s="24">
        <f t="shared" si="60"/>
        <v>5.876205257474592</v>
      </c>
      <c r="S177" s="24">
        <f t="shared" si="54"/>
        <v>5.876205257474592</v>
      </c>
    </row>
    <row r="178" spans="1:19" ht="23.25" customHeight="1">
      <c r="A178" s="14" t="s">
        <v>67</v>
      </c>
      <c r="B178" s="12"/>
      <c r="C178" s="34" t="s">
        <v>20</v>
      </c>
      <c r="D178" s="37">
        <v>28800.9</v>
      </c>
      <c r="E178" s="37">
        <f t="shared" si="67"/>
        <v>28800.9</v>
      </c>
      <c r="F178" s="51">
        <f t="shared" si="65"/>
        <v>7109.2</v>
      </c>
      <c r="G178" s="68">
        <v>7109.2</v>
      </c>
      <c r="H178" s="68">
        <v>7858.7</v>
      </c>
      <c r="I178" s="17">
        <v>6883.9</v>
      </c>
      <c r="J178" s="18">
        <v>6949.1</v>
      </c>
      <c r="K178" s="18">
        <v>1692.4</v>
      </c>
      <c r="L178" s="20" t="e">
        <f>K178/#REF!*100</f>
        <v>#REF!</v>
      </c>
      <c r="M178" s="20">
        <f>K178/I178*100</f>
        <v>24.584901000886127</v>
      </c>
      <c r="N178" s="48"/>
      <c r="O178" s="48"/>
      <c r="P178" s="17">
        <f t="shared" si="61"/>
        <v>24.354232922248922</v>
      </c>
      <c r="Q178" s="20">
        <f t="shared" si="59"/>
        <v>23.805772801440387</v>
      </c>
      <c r="R178" s="18">
        <f t="shared" si="60"/>
        <v>5.876205257474592</v>
      </c>
      <c r="S178" s="18">
        <f t="shared" si="54"/>
        <v>5.876205257474592</v>
      </c>
    </row>
    <row r="179" spans="1:19" ht="15.75" customHeight="1" hidden="1">
      <c r="A179" s="14" t="s">
        <v>2</v>
      </c>
      <c r="B179" s="14"/>
      <c r="C179" s="35" t="s">
        <v>19</v>
      </c>
      <c r="D179" s="69"/>
      <c r="E179" s="37">
        <f>G179+H179+I179+J179</f>
        <v>0</v>
      </c>
      <c r="F179" s="51">
        <f>G179+H179</f>
        <v>0</v>
      </c>
      <c r="G179" s="69"/>
      <c r="H179" s="69"/>
      <c r="I179" s="17"/>
      <c r="J179" s="18"/>
      <c r="K179" s="18"/>
      <c r="L179" s="20" t="e">
        <f>K179/#REF!*100</f>
        <v>#REF!</v>
      </c>
      <c r="M179" s="20"/>
      <c r="N179" s="48"/>
      <c r="O179" s="48"/>
      <c r="P179" s="17" t="e">
        <f t="shared" si="61"/>
        <v>#DIV/0!</v>
      </c>
      <c r="Q179" s="20"/>
      <c r="R179" s="18"/>
      <c r="S179" s="18"/>
    </row>
    <row r="180" spans="1:19" ht="12.75">
      <c r="A180" s="21"/>
      <c r="B180" s="22"/>
      <c r="C180" s="23" t="s">
        <v>4</v>
      </c>
      <c r="D180" s="24">
        <f aca="true" t="shared" si="69" ref="D180:K180">D177+D166</f>
        <v>35882</v>
      </c>
      <c r="E180" s="24">
        <f t="shared" si="69"/>
        <v>35882</v>
      </c>
      <c r="F180" s="24">
        <f t="shared" si="69"/>
        <v>8554.6</v>
      </c>
      <c r="G180" s="24">
        <f t="shared" si="69"/>
        <v>8554.6</v>
      </c>
      <c r="H180" s="24">
        <f t="shared" si="69"/>
        <v>9575.4</v>
      </c>
      <c r="I180" s="24">
        <f t="shared" si="69"/>
        <v>8433.7</v>
      </c>
      <c r="J180" s="24">
        <f t="shared" si="69"/>
        <v>9318.3</v>
      </c>
      <c r="K180" s="24">
        <f t="shared" si="69"/>
        <v>2137.5</v>
      </c>
      <c r="L180" s="27" t="e">
        <f>K180/#REF!*100</f>
        <v>#REF!</v>
      </c>
      <c r="M180" s="27">
        <f>K180/I180*100</f>
        <v>25.34474785681255</v>
      </c>
      <c r="N180" s="48"/>
      <c r="O180" s="49" t="e">
        <f>J180+#REF!+#REF!</f>
        <v>#REF!</v>
      </c>
      <c r="P180" s="36">
        <f t="shared" si="61"/>
        <v>22.938733459965874</v>
      </c>
      <c r="Q180" s="27">
        <f t="shared" si="59"/>
        <v>24.98655694012578</v>
      </c>
      <c r="R180" s="24">
        <f t="shared" si="60"/>
        <v>5.957025806811215</v>
      </c>
      <c r="S180" s="24">
        <f t="shared" si="54"/>
        <v>5.957025806811215</v>
      </c>
    </row>
    <row r="181" spans="1:19" ht="12.75">
      <c r="A181" s="89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1"/>
      <c r="N181" s="48"/>
      <c r="O181" s="48"/>
      <c r="P181" s="47"/>
      <c r="Q181" s="27"/>
      <c r="R181" s="24"/>
      <c r="S181" s="18"/>
    </row>
    <row r="182" spans="1:19" ht="12.75">
      <c r="A182" s="98" t="s">
        <v>34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100"/>
    </row>
    <row r="183" spans="1:19" ht="12.75">
      <c r="A183" s="25" t="s">
        <v>3</v>
      </c>
      <c r="B183" s="25"/>
      <c r="C183" s="26" t="s">
        <v>68</v>
      </c>
      <c r="D183" s="27">
        <f aca="true" t="shared" si="70" ref="D183:J183">D184+D186+D187+D188+D189+D191+D193+D192+D190+D185</f>
        <v>25890.9</v>
      </c>
      <c r="E183" s="27">
        <f t="shared" si="70"/>
        <v>25890.9</v>
      </c>
      <c r="F183" s="27">
        <f t="shared" si="70"/>
        <v>5517.5</v>
      </c>
      <c r="G183" s="27">
        <f t="shared" si="70"/>
        <v>5517.5</v>
      </c>
      <c r="H183" s="27">
        <f t="shared" si="70"/>
        <v>5772.5</v>
      </c>
      <c r="I183" s="27">
        <f t="shared" si="70"/>
        <v>5772.5</v>
      </c>
      <c r="J183" s="27">
        <f t="shared" si="70"/>
        <v>8828.4</v>
      </c>
      <c r="K183" s="27">
        <f>K184+K186+K187+K188+K189+K191+K193+K192+K190+K185</f>
        <v>1871.3000000000002</v>
      </c>
      <c r="L183" s="27" t="e">
        <f>K183/#REF!*100</f>
        <v>#REF!</v>
      </c>
      <c r="M183" s="27">
        <f>K183/I183*100</f>
        <v>32.41749675184062</v>
      </c>
      <c r="N183" s="48"/>
      <c r="O183" s="48"/>
      <c r="P183" s="27">
        <f t="shared" si="61"/>
        <v>21.19636627248426</v>
      </c>
      <c r="Q183" s="27">
        <f t="shared" si="59"/>
        <v>33.91572270049842</v>
      </c>
      <c r="R183" s="24">
        <f t="shared" si="60"/>
        <v>7.22763596475982</v>
      </c>
      <c r="S183" s="24">
        <f t="shared" si="54"/>
        <v>7.22763596475982</v>
      </c>
    </row>
    <row r="184" spans="1:19" ht="12.75">
      <c r="A184" s="21" t="s">
        <v>23</v>
      </c>
      <c r="B184" s="21"/>
      <c r="C184" s="28" t="s">
        <v>22</v>
      </c>
      <c r="D184" s="68">
        <v>17800</v>
      </c>
      <c r="E184" s="37">
        <f>G184+H184+I184+J184</f>
        <v>17800</v>
      </c>
      <c r="F184" s="51">
        <f aca="true" t="shared" si="71" ref="F184:F195">G184</f>
        <v>4200</v>
      </c>
      <c r="G184" s="37">
        <v>4200</v>
      </c>
      <c r="H184" s="37">
        <v>4200</v>
      </c>
      <c r="I184" s="17">
        <v>4200</v>
      </c>
      <c r="J184" s="18">
        <v>5200</v>
      </c>
      <c r="K184" s="18">
        <v>1309.6</v>
      </c>
      <c r="L184" s="20" t="e">
        <f>K184/#REF!*100</f>
        <v>#REF!</v>
      </c>
      <c r="M184" s="20">
        <f>K184/I184*100</f>
        <v>31.18095238095238</v>
      </c>
      <c r="N184" s="48"/>
      <c r="O184" s="48"/>
      <c r="P184" s="17">
        <f t="shared" si="61"/>
        <v>25.18461538461538</v>
      </c>
      <c r="Q184" s="20">
        <f t="shared" si="59"/>
        <v>31.180952380952377</v>
      </c>
      <c r="R184" s="18">
        <f t="shared" si="60"/>
        <v>7.357303370786516</v>
      </c>
      <c r="S184" s="18">
        <f t="shared" si="54"/>
        <v>7.357303370786516</v>
      </c>
    </row>
    <row r="185" spans="1:19" ht="12.75">
      <c r="A185" s="12" t="s">
        <v>70</v>
      </c>
      <c r="B185" s="12"/>
      <c r="C185" s="28" t="s">
        <v>71</v>
      </c>
      <c r="D185" s="68">
        <v>4590.2</v>
      </c>
      <c r="E185" s="37">
        <f>G185+H185+I185+J185</f>
        <v>4590.2</v>
      </c>
      <c r="F185" s="51">
        <f t="shared" si="71"/>
        <v>1149</v>
      </c>
      <c r="G185" s="37">
        <v>1149</v>
      </c>
      <c r="H185" s="37">
        <v>1149</v>
      </c>
      <c r="I185" s="17">
        <v>1149</v>
      </c>
      <c r="J185" s="18">
        <v>1143.2</v>
      </c>
      <c r="K185" s="18">
        <v>394.9</v>
      </c>
      <c r="L185" s="20"/>
      <c r="M185" s="20"/>
      <c r="N185" s="48"/>
      <c r="O185" s="48"/>
      <c r="P185" s="17"/>
      <c r="Q185" s="20">
        <f>K185*100/F185</f>
        <v>34.369016536118366</v>
      </c>
      <c r="R185" s="18">
        <f>K185*100/E185</f>
        <v>8.603110975556621</v>
      </c>
      <c r="S185" s="18">
        <f t="shared" si="54"/>
        <v>8.603110975556621</v>
      </c>
    </row>
    <row r="186" spans="1:19" ht="13.5" customHeight="1">
      <c r="A186" s="12" t="s">
        <v>8</v>
      </c>
      <c r="B186" s="12"/>
      <c r="C186" s="28" t="s">
        <v>5</v>
      </c>
      <c r="D186" s="68">
        <v>1</v>
      </c>
      <c r="E186" s="37">
        <f aca="true" t="shared" si="72" ref="E186:E195">G186+H186+I186+J186</f>
        <v>1</v>
      </c>
      <c r="F186" s="51">
        <f t="shared" si="71"/>
        <v>0</v>
      </c>
      <c r="G186" s="37"/>
      <c r="H186" s="37"/>
      <c r="I186" s="17"/>
      <c r="J186" s="18">
        <v>1</v>
      </c>
      <c r="K186" s="18">
        <v>0</v>
      </c>
      <c r="L186" s="20"/>
      <c r="M186" s="20"/>
      <c r="N186" s="48"/>
      <c r="O186" s="48"/>
      <c r="P186" s="17">
        <f t="shared" si="61"/>
        <v>0</v>
      </c>
      <c r="Q186" s="20"/>
      <c r="R186" s="18">
        <f>K186*100/E186</f>
        <v>0</v>
      </c>
      <c r="S186" s="18">
        <f t="shared" si="54"/>
        <v>0</v>
      </c>
    </row>
    <row r="187" spans="1:19" ht="12.75">
      <c r="A187" s="12" t="s">
        <v>9</v>
      </c>
      <c r="B187" s="12"/>
      <c r="C187" s="28" t="s">
        <v>6</v>
      </c>
      <c r="D187" s="68">
        <v>3084.7</v>
      </c>
      <c r="E187" s="37">
        <f t="shared" si="72"/>
        <v>3084.7</v>
      </c>
      <c r="F187" s="51">
        <f t="shared" si="71"/>
        <v>27.5</v>
      </c>
      <c r="G187" s="37">
        <v>27.5</v>
      </c>
      <c r="H187" s="37">
        <v>332.5</v>
      </c>
      <c r="I187" s="17">
        <v>332.5</v>
      </c>
      <c r="J187" s="18">
        <v>2392.2</v>
      </c>
      <c r="K187" s="18">
        <v>122.5</v>
      </c>
      <c r="L187" s="20" t="e">
        <f>K187/#REF!*100</f>
        <v>#REF!</v>
      </c>
      <c r="M187" s="20">
        <f>K187/I187*100</f>
        <v>36.84210526315789</v>
      </c>
      <c r="N187" s="48"/>
      <c r="O187" s="48"/>
      <c r="P187" s="17">
        <f t="shared" si="61"/>
        <v>5.120809296881532</v>
      </c>
      <c r="Q187" s="20">
        <f t="shared" si="59"/>
        <v>445.45454545454544</v>
      </c>
      <c r="R187" s="18">
        <f t="shared" si="60"/>
        <v>3.971212759749733</v>
      </c>
      <c r="S187" s="18">
        <f t="shared" si="54"/>
        <v>3.971212759749733</v>
      </c>
    </row>
    <row r="188" spans="1:19" ht="12.75">
      <c r="A188" s="12" t="s">
        <v>10</v>
      </c>
      <c r="B188" s="12"/>
      <c r="C188" s="28" t="s">
        <v>21</v>
      </c>
      <c r="D188" s="68">
        <v>165</v>
      </c>
      <c r="E188" s="37">
        <f t="shared" si="72"/>
        <v>165</v>
      </c>
      <c r="F188" s="51">
        <f t="shared" si="71"/>
        <v>41</v>
      </c>
      <c r="G188" s="37">
        <v>41</v>
      </c>
      <c r="H188" s="37">
        <v>41</v>
      </c>
      <c r="I188" s="17">
        <v>41</v>
      </c>
      <c r="J188" s="18">
        <v>42</v>
      </c>
      <c r="K188" s="18">
        <v>2.4</v>
      </c>
      <c r="L188" s="20" t="e">
        <f>K188/#REF!*100</f>
        <v>#REF!</v>
      </c>
      <c r="M188" s="20">
        <f>K188/I188*100</f>
        <v>5.853658536585366</v>
      </c>
      <c r="N188" s="48"/>
      <c r="O188" s="48"/>
      <c r="P188" s="17">
        <f t="shared" si="61"/>
        <v>5.714285714285714</v>
      </c>
      <c r="Q188" s="20">
        <f t="shared" si="59"/>
        <v>5.853658536585366</v>
      </c>
      <c r="R188" s="18">
        <f t="shared" si="60"/>
        <v>1.4545454545454546</v>
      </c>
      <c r="S188" s="18">
        <f t="shared" si="54"/>
        <v>1.4545454545454546</v>
      </c>
    </row>
    <row r="189" spans="1:19" ht="24">
      <c r="A189" s="13" t="s">
        <v>11</v>
      </c>
      <c r="B189" s="13"/>
      <c r="C189" s="28" t="s">
        <v>17</v>
      </c>
      <c r="D189" s="68">
        <v>250</v>
      </c>
      <c r="E189" s="37">
        <f t="shared" si="72"/>
        <v>250</v>
      </c>
      <c r="F189" s="51">
        <f t="shared" si="71"/>
        <v>100</v>
      </c>
      <c r="G189" s="37">
        <v>100</v>
      </c>
      <c r="H189" s="37">
        <v>50</v>
      </c>
      <c r="I189" s="17">
        <v>50</v>
      </c>
      <c r="J189" s="18">
        <v>50</v>
      </c>
      <c r="K189" s="18">
        <v>41.9</v>
      </c>
      <c r="L189" s="20" t="e">
        <f>K189/#REF!*100</f>
        <v>#REF!</v>
      </c>
      <c r="M189" s="20">
        <f>K189/I189*100</f>
        <v>83.8</v>
      </c>
      <c r="N189" s="48"/>
      <c r="O189" s="48"/>
      <c r="P189" s="17">
        <f t="shared" si="61"/>
        <v>83.8</v>
      </c>
      <c r="Q189" s="20">
        <f t="shared" si="59"/>
        <v>41.9</v>
      </c>
      <c r="R189" s="18">
        <f t="shared" si="60"/>
        <v>16.76</v>
      </c>
      <c r="S189" s="18">
        <f t="shared" si="54"/>
        <v>16.76</v>
      </c>
    </row>
    <row r="190" spans="1:19" ht="24" hidden="1">
      <c r="A190" s="29" t="s">
        <v>42</v>
      </c>
      <c r="B190" s="30"/>
      <c r="C190" s="28" t="s">
        <v>43</v>
      </c>
      <c r="D190" s="68">
        <v>0</v>
      </c>
      <c r="E190" s="37">
        <f t="shared" si="72"/>
        <v>0</v>
      </c>
      <c r="F190" s="51">
        <f t="shared" si="71"/>
        <v>0</v>
      </c>
      <c r="G190" s="37"/>
      <c r="H190" s="37"/>
      <c r="I190" s="17"/>
      <c r="J190" s="18"/>
      <c r="K190" s="18"/>
      <c r="L190" s="20" t="e">
        <f>K190/#REF!*100</f>
        <v>#REF!</v>
      </c>
      <c r="M190" s="20" t="e">
        <f>K190/I190*100</f>
        <v>#DIV/0!</v>
      </c>
      <c r="N190" s="48"/>
      <c r="O190" s="48"/>
      <c r="P190" s="17" t="e">
        <f t="shared" si="61"/>
        <v>#DIV/0!</v>
      </c>
      <c r="Q190" s="20"/>
      <c r="R190" s="18"/>
      <c r="S190" s="18"/>
    </row>
    <row r="191" spans="1:19" ht="28.5" customHeight="1" hidden="1">
      <c r="A191" s="29" t="s">
        <v>18</v>
      </c>
      <c r="B191" s="30"/>
      <c r="C191" s="28" t="s">
        <v>15</v>
      </c>
      <c r="D191" s="68"/>
      <c r="E191" s="37">
        <f t="shared" si="72"/>
        <v>0</v>
      </c>
      <c r="F191" s="51">
        <f t="shared" si="71"/>
        <v>0</v>
      </c>
      <c r="G191" s="37"/>
      <c r="H191" s="37"/>
      <c r="I191" s="17"/>
      <c r="J191" s="18"/>
      <c r="K191" s="18"/>
      <c r="L191" s="20" t="e">
        <f>K191/#REF!*100</f>
        <v>#REF!</v>
      </c>
      <c r="M191" s="20" t="e">
        <f>K191/I191*100</f>
        <v>#DIV/0!</v>
      </c>
      <c r="N191" s="48"/>
      <c r="O191" s="48"/>
      <c r="P191" s="17" t="e">
        <f t="shared" si="61"/>
        <v>#DIV/0!</v>
      </c>
      <c r="Q191" s="20"/>
      <c r="R191" s="18"/>
      <c r="S191" s="18"/>
    </row>
    <row r="192" spans="1:19" ht="19.5" customHeight="1" hidden="1">
      <c r="A192" s="21" t="s">
        <v>12</v>
      </c>
      <c r="B192" s="21"/>
      <c r="C192" s="28" t="s">
        <v>7</v>
      </c>
      <c r="D192" s="68"/>
      <c r="E192" s="37">
        <f t="shared" si="72"/>
        <v>0</v>
      </c>
      <c r="F192" s="51">
        <f t="shared" si="71"/>
        <v>0</v>
      </c>
      <c r="G192" s="37"/>
      <c r="H192" s="37"/>
      <c r="I192" s="17"/>
      <c r="J192" s="18"/>
      <c r="K192" s="18"/>
      <c r="L192" s="20" t="e">
        <f>K192/#REF!*100</f>
        <v>#REF!</v>
      </c>
      <c r="M192" s="20"/>
      <c r="N192" s="48"/>
      <c r="O192" s="48"/>
      <c r="P192" s="17" t="e">
        <f t="shared" si="61"/>
        <v>#DIV/0!</v>
      </c>
      <c r="Q192" s="20"/>
      <c r="R192" s="18"/>
      <c r="S192" s="18"/>
    </row>
    <row r="193" spans="1:19" ht="15" customHeight="1">
      <c r="A193" s="53" t="s">
        <v>39</v>
      </c>
      <c r="B193" s="52"/>
      <c r="C193" s="16" t="s">
        <v>40</v>
      </c>
      <c r="D193" s="68"/>
      <c r="E193" s="37">
        <f t="shared" si="72"/>
        <v>0</v>
      </c>
      <c r="F193" s="51">
        <f t="shared" si="71"/>
        <v>0</v>
      </c>
      <c r="G193" s="37"/>
      <c r="H193" s="37"/>
      <c r="I193" s="17"/>
      <c r="J193" s="18"/>
      <c r="K193" s="18"/>
      <c r="L193" s="20" t="e">
        <f>K193/#REF!*100</f>
        <v>#REF!</v>
      </c>
      <c r="M193" s="20"/>
      <c r="N193" s="48"/>
      <c r="O193" s="48"/>
      <c r="P193" s="17" t="e">
        <f t="shared" si="61"/>
        <v>#DIV/0!</v>
      </c>
      <c r="Q193" s="27"/>
      <c r="R193" s="24"/>
      <c r="S193" s="18"/>
    </row>
    <row r="194" spans="1:19" ht="12.75">
      <c r="A194" s="63" t="s">
        <v>1</v>
      </c>
      <c r="B194" s="25"/>
      <c r="C194" s="32" t="s">
        <v>0</v>
      </c>
      <c r="D194" s="36">
        <f aca="true" t="shared" si="73" ref="D194:K194">D195</f>
        <v>29655.7</v>
      </c>
      <c r="E194" s="36">
        <f t="shared" si="73"/>
        <v>29955.7</v>
      </c>
      <c r="F194" s="36">
        <f t="shared" si="73"/>
        <v>10492.5</v>
      </c>
      <c r="G194" s="36">
        <f t="shared" si="73"/>
        <v>10492.5</v>
      </c>
      <c r="H194" s="36">
        <f t="shared" si="73"/>
        <v>6506.4</v>
      </c>
      <c r="I194" s="36">
        <f t="shared" si="73"/>
        <v>6492.3</v>
      </c>
      <c r="J194" s="36">
        <f t="shared" si="73"/>
        <v>6464.5</v>
      </c>
      <c r="K194" s="36">
        <f t="shared" si="73"/>
        <v>4002.5</v>
      </c>
      <c r="L194" s="27" t="e">
        <f>K194/#REF!*100</f>
        <v>#REF!</v>
      </c>
      <c r="M194" s="27">
        <f>K194/I194*100</f>
        <v>61.64995456155754</v>
      </c>
      <c r="N194" s="48"/>
      <c r="O194" s="48"/>
      <c r="P194" s="36">
        <f t="shared" si="61"/>
        <v>61.91507463840978</v>
      </c>
      <c r="Q194" s="27">
        <f t="shared" si="59"/>
        <v>38.14629497259948</v>
      </c>
      <c r="R194" s="24">
        <f t="shared" si="60"/>
        <v>13.3613969962311</v>
      </c>
      <c r="S194" s="24">
        <f t="shared" si="54"/>
        <v>13.49656221232343</v>
      </c>
    </row>
    <row r="195" spans="1:19" ht="24">
      <c r="A195" s="85" t="s">
        <v>67</v>
      </c>
      <c r="B195" s="12"/>
      <c r="C195" s="34" t="s">
        <v>20</v>
      </c>
      <c r="D195" s="37">
        <v>29655.7</v>
      </c>
      <c r="E195" s="37">
        <f t="shared" si="72"/>
        <v>29955.7</v>
      </c>
      <c r="F195" s="51">
        <f t="shared" si="71"/>
        <v>10492.5</v>
      </c>
      <c r="G195" s="37">
        <v>10492.5</v>
      </c>
      <c r="H195" s="37">
        <v>6506.4</v>
      </c>
      <c r="I195" s="17">
        <v>6492.3</v>
      </c>
      <c r="J195" s="18">
        <v>6464.5</v>
      </c>
      <c r="K195" s="18">
        <v>4002.5</v>
      </c>
      <c r="L195" s="20" t="e">
        <f>K195/#REF!*100</f>
        <v>#REF!</v>
      </c>
      <c r="M195" s="20">
        <f>K195/I195*100</f>
        <v>61.64995456155754</v>
      </c>
      <c r="N195" s="48"/>
      <c r="O195" s="48"/>
      <c r="P195" s="17">
        <f t="shared" si="61"/>
        <v>61.91507463840978</v>
      </c>
      <c r="Q195" s="20">
        <f t="shared" si="59"/>
        <v>38.14629497259948</v>
      </c>
      <c r="R195" s="18">
        <f t="shared" si="60"/>
        <v>13.3613969962311</v>
      </c>
      <c r="S195" s="18">
        <f t="shared" si="54"/>
        <v>13.49656221232343</v>
      </c>
    </row>
    <row r="196" spans="1:19" ht="12.75">
      <c r="A196" s="21"/>
      <c r="B196" s="22"/>
      <c r="C196" s="23" t="s">
        <v>4</v>
      </c>
      <c r="D196" s="24">
        <f aca="true" t="shared" si="74" ref="D196:K196">D194+D183</f>
        <v>55546.600000000006</v>
      </c>
      <c r="E196" s="24">
        <f t="shared" si="74"/>
        <v>55846.600000000006</v>
      </c>
      <c r="F196" s="24">
        <f t="shared" si="74"/>
        <v>16010</v>
      </c>
      <c r="G196" s="24">
        <f t="shared" si="74"/>
        <v>16010</v>
      </c>
      <c r="H196" s="24">
        <f t="shared" si="74"/>
        <v>12278.9</v>
      </c>
      <c r="I196" s="24">
        <f t="shared" si="74"/>
        <v>12264.8</v>
      </c>
      <c r="J196" s="24">
        <f t="shared" si="74"/>
        <v>15292.9</v>
      </c>
      <c r="K196" s="24">
        <f t="shared" si="74"/>
        <v>5873.8</v>
      </c>
      <c r="L196" s="27" t="e">
        <f>K196/#REF!*100</f>
        <v>#REF!</v>
      </c>
      <c r="M196" s="27">
        <f>K196/I196*100</f>
        <v>47.891526971495665</v>
      </c>
      <c r="N196" s="48"/>
      <c r="O196" s="49" t="e">
        <f>J196+#REF!+#REF!</f>
        <v>#REF!</v>
      </c>
      <c r="P196" s="36">
        <f t="shared" si="61"/>
        <v>38.408673305913204</v>
      </c>
      <c r="Q196" s="27">
        <f t="shared" si="59"/>
        <v>36.68831980012492</v>
      </c>
      <c r="R196" s="24">
        <f t="shared" si="60"/>
        <v>10.517739665440688</v>
      </c>
      <c r="S196" s="24">
        <f t="shared" si="54"/>
        <v>10.574544616592194</v>
      </c>
    </row>
    <row r="197" spans="1:19" ht="12.75">
      <c r="A197" s="89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1"/>
      <c r="N197" s="48"/>
      <c r="O197" s="48"/>
      <c r="P197" s="47"/>
      <c r="Q197" s="27"/>
      <c r="R197" s="24"/>
      <c r="S197" s="18"/>
    </row>
    <row r="198" spans="1:19" ht="12.75">
      <c r="A198" s="98" t="s">
        <v>35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100"/>
    </row>
    <row r="199" spans="1:19" ht="12.75">
      <c r="A199" s="25" t="s">
        <v>3</v>
      </c>
      <c r="B199" s="25"/>
      <c r="C199" s="26" t="s">
        <v>68</v>
      </c>
      <c r="D199" s="27">
        <f>D200+D203+D205+D206+D204+D207+D208+D202+D201</f>
        <v>5268.6</v>
      </c>
      <c r="E199" s="27">
        <f>E200+E203+E205+E206+E204+E207+E208+E202+E201</f>
        <v>5268.6</v>
      </c>
      <c r="F199" s="27">
        <f>F200+F203+F205+F206+F204+F207+F208+F202+F201</f>
        <v>1182.2</v>
      </c>
      <c r="G199" s="27">
        <f aca="true" t="shared" si="75" ref="G199:P199">G200+G203+G205+G206+G204+G207+G208+G202+G201</f>
        <v>1182.2</v>
      </c>
      <c r="H199" s="27">
        <f t="shared" si="75"/>
        <v>1269.3</v>
      </c>
      <c r="I199" s="27">
        <f t="shared" si="75"/>
        <v>1318.3000000000002</v>
      </c>
      <c r="J199" s="27">
        <f t="shared" si="75"/>
        <v>1498.8</v>
      </c>
      <c r="K199" s="27">
        <f t="shared" si="75"/>
        <v>386.3</v>
      </c>
      <c r="L199" s="27" t="e">
        <f t="shared" si="75"/>
        <v>#REF!</v>
      </c>
      <c r="M199" s="27" t="e">
        <f t="shared" si="75"/>
        <v>#DIV/0!</v>
      </c>
      <c r="N199" s="27">
        <f t="shared" si="75"/>
        <v>0</v>
      </c>
      <c r="O199" s="27">
        <f t="shared" si="75"/>
        <v>0</v>
      </c>
      <c r="P199" s="27" t="e">
        <f t="shared" si="75"/>
        <v>#DIV/0!</v>
      </c>
      <c r="Q199" s="27">
        <f t="shared" si="59"/>
        <v>32.676366097107085</v>
      </c>
      <c r="R199" s="24">
        <f t="shared" si="60"/>
        <v>7.332118589378582</v>
      </c>
      <c r="S199" s="24">
        <f t="shared" si="54"/>
        <v>7.332118589378582</v>
      </c>
    </row>
    <row r="200" spans="1:19" ht="12.75">
      <c r="A200" s="21" t="s">
        <v>23</v>
      </c>
      <c r="B200" s="21"/>
      <c r="C200" s="28" t="s">
        <v>22</v>
      </c>
      <c r="D200" s="68">
        <v>1320</v>
      </c>
      <c r="E200" s="37">
        <f>G200+H200+I200+J200</f>
        <v>1320</v>
      </c>
      <c r="F200" s="51">
        <f aca="true" t="shared" si="76" ref="F200:F210">G200</f>
        <v>245</v>
      </c>
      <c r="G200" s="37">
        <v>245</v>
      </c>
      <c r="H200" s="37">
        <v>330</v>
      </c>
      <c r="I200" s="17">
        <v>330</v>
      </c>
      <c r="J200" s="17">
        <v>415</v>
      </c>
      <c r="K200" s="18">
        <v>39.1</v>
      </c>
      <c r="L200" s="20" t="e">
        <f>K200/#REF!*100</f>
        <v>#REF!</v>
      </c>
      <c r="M200" s="20">
        <f aca="true" t="shared" si="77" ref="M200:M206">K200/I200*100</f>
        <v>11.848484848484848</v>
      </c>
      <c r="N200" s="48"/>
      <c r="O200" s="48"/>
      <c r="P200" s="17">
        <f t="shared" si="61"/>
        <v>9.421686746987952</v>
      </c>
      <c r="Q200" s="20">
        <f t="shared" si="59"/>
        <v>15.959183673469388</v>
      </c>
      <c r="R200" s="18">
        <f t="shared" si="60"/>
        <v>2.962121212121212</v>
      </c>
      <c r="S200" s="18">
        <f t="shared" si="54"/>
        <v>2.962121212121212</v>
      </c>
    </row>
    <row r="201" spans="1:19" ht="12.75">
      <c r="A201" s="12" t="s">
        <v>70</v>
      </c>
      <c r="B201" s="12"/>
      <c r="C201" s="28" t="s">
        <v>71</v>
      </c>
      <c r="D201" s="68">
        <v>3521.6</v>
      </c>
      <c r="E201" s="37">
        <f>G201+H201+I201+J201</f>
        <v>3521.6</v>
      </c>
      <c r="F201" s="51">
        <f t="shared" si="76"/>
        <v>879.7</v>
      </c>
      <c r="G201" s="37">
        <v>879.7</v>
      </c>
      <c r="H201" s="37">
        <v>879.8</v>
      </c>
      <c r="I201" s="17">
        <v>879.7</v>
      </c>
      <c r="J201" s="17">
        <v>882.4</v>
      </c>
      <c r="K201" s="18">
        <v>303</v>
      </c>
      <c r="L201" s="20"/>
      <c r="M201" s="20"/>
      <c r="N201" s="48"/>
      <c r="O201" s="48"/>
      <c r="P201" s="17"/>
      <c r="Q201" s="20">
        <f>K201*100/F201</f>
        <v>34.44356030464931</v>
      </c>
      <c r="R201" s="18">
        <f>K201*100/E201</f>
        <v>8.604043616537938</v>
      </c>
      <c r="S201" s="18">
        <f t="shared" si="54"/>
        <v>8.604043616537938</v>
      </c>
    </row>
    <row r="202" spans="1:19" ht="12.75">
      <c r="A202" s="12" t="s">
        <v>8</v>
      </c>
      <c r="B202" s="38" t="s">
        <v>55</v>
      </c>
      <c r="C202" s="28" t="s">
        <v>5</v>
      </c>
      <c r="D202" s="68">
        <v>16</v>
      </c>
      <c r="E202" s="37">
        <f aca="true" t="shared" si="78" ref="E202:E210">G202+H202+I202+J202</f>
        <v>16</v>
      </c>
      <c r="F202" s="51">
        <f t="shared" si="76"/>
        <v>0</v>
      </c>
      <c r="G202" s="37"/>
      <c r="H202" s="37">
        <v>16</v>
      </c>
      <c r="I202" s="17"/>
      <c r="J202" s="17"/>
      <c r="K202" s="18">
        <v>0</v>
      </c>
      <c r="L202" s="20" t="e">
        <f>K202/#REF!*100</f>
        <v>#REF!</v>
      </c>
      <c r="M202" s="20"/>
      <c r="N202" s="48"/>
      <c r="O202" s="48"/>
      <c r="P202" s="17" t="e">
        <f t="shared" si="61"/>
        <v>#DIV/0!</v>
      </c>
      <c r="Q202" s="20"/>
      <c r="R202" s="18">
        <f t="shared" si="60"/>
        <v>0</v>
      </c>
      <c r="S202" s="18">
        <f t="shared" si="54"/>
        <v>0</v>
      </c>
    </row>
    <row r="203" spans="1:19" ht="12.75">
      <c r="A203" s="12" t="s">
        <v>9</v>
      </c>
      <c r="B203" s="12"/>
      <c r="C203" s="28" t="s">
        <v>6</v>
      </c>
      <c r="D203" s="68">
        <v>256.9</v>
      </c>
      <c r="E203" s="37">
        <f t="shared" si="78"/>
        <v>256.9</v>
      </c>
      <c r="F203" s="51">
        <f t="shared" si="76"/>
        <v>30</v>
      </c>
      <c r="G203" s="37">
        <v>30</v>
      </c>
      <c r="H203" s="37">
        <v>7.7</v>
      </c>
      <c r="I203" s="17">
        <v>70.8</v>
      </c>
      <c r="J203" s="17">
        <v>148.4</v>
      </c>
      <c r="K203" s="18">
        <v>17</v>
      </c>
      <c r="L203" s="20" t="e">
        <f>K203/#REF!*100</f>
        <v>#REF!</v>
      </c>
      <c r="M203" s="20">
        <f t="shared" si="77"/>
        <v>24.01129943502825</v>
      </c>
      <c r="N203" s="48"/>
      <c r="O203" s="48"/>
      <c r="P203" s="17">
        <f t="shared" si="61"/>
        <v>11.455525606469003</v>
      </c>
      <c r="Q203" s="20">
        <f t="shared" si="59"/>
        <v>56.666666666666664</v>
      </c>
      <c r="R203" s="18">
        <f t="shared" si="60"/>
        <v>6.617360840794084</v>
      </c>
      <c r="S203" s="18">
        <f aca="true" t="shared" si="79" ref="S203:S232">K203*100/D203</f>
        <v>6.617360840794084</v>
      </c>
    </row>
    <row r="204" spans="1:19" ht="12.75">
      <c r="A204" s="12" t="s">
        <v>10</v>
      </c>
      <c r="B204" s="12"/>
      <c r="C204" s="28" t="s">
        <v>21</v>
      </c>
      <c r="D204" s="68">
        <v>19</v>
      </c>
      <c r="E204" s="37">
        <f t="shared" si="78"/>
        <v>19</v>
      </c>
      <c r="F204" s="51">
        <f t="shared" si="76"/>
        <v>2</v>
      </c>
      <c r="G204" s="37">
        <v>2</v>
      </c>
      <c r="H204" s="37">
        <v>2</v>
      </c>
      <c r="I204" s="17">
        <v>4</v>
      </c>
      <c r="J204" s="17">
        <v>11</v>
      </c>
      <c r="K204" s="18">
        <v>1.3</v>
      </c>
      <c r="L204" s="20" t="e">
        <f>K204/#REF!*100</f>
        <v>#REF!</v>
      </c>
      <c r="M204" s="20">
        <f t="shared" si="77"/>
        <v>32.5</v>
      </c>
      <c r="N204" s="48"/>
      <c r="O204" s="48"/>
      <c r="P204" s="17">
        <f t="shared" si="61"/>
        <v>11.818181818181818</v>
      </c>
      <c r="Q204" s="20">
        <f t="shared" si="59"/>
        <v>65</v>
      </c>
      <c r="R204" s="18">
        <f t="shared" si="60"/>
        <v>6.842105263157895</v>
      </c>
      <c r="S204" s="18">
        <f t="shared" si="79"/>
        <v>6.842105263157895</v>
      </c>
    </row>
    <row r="205" spans="1:19" ht="24">
      <c r="A205" s="13" t="s">
        <v>11</v>
      </c>
      <c r="B205" s="13"/>
      <c r="C205" s="28" t="s">
        <v>17</v>
      </c>
      <c r="D205" s="68">
        <v>135.1</v>
      </c>
      <c r="E205" s="37">
        <f t="shared" si="78"/>
        <v>135.1</v>
      </c>
      <c r="F205" s="51">
        <f t="shared" si="76"/>
        <v>25.5</v>
      </c>
      <c r="G205" s="37">
        <v>25.5</v>
      </c>
      <c r="H205" s="37">
        <v>33.8</v>
      </c>
      <c r="I205" s="17">
        <v>33.8</v>
      </c>
      <c r="J205" s="17">
        <v>42</v>
      </c>
      <c r="K205" s="18">
        <v>25.9</v>
      </c>
      <c r="L205" s="20" t="e">
        <f>K205/#REF!*100</f>
        <v>#REF!</v>
      </c>
      <c r="M205" s="20">
        <f t="shared" si="77"/>
        <v>76.62721893491124</v>
      </c>
      <c r="N205" s="48"/>
      <c r="O205" s="48"/>
      <c r="P205" s="17">
        <f t="shared" si="61"/>
        <v>61.666666666666664</v>
      </c>
      <c r="Q205" s="20">
        <f t="shared" si="59"/>
        <v>101.56862745098039</v>
      </c>
      <c r="R205" s="18">
        <f t="shared" si="60"/>
        <v>19.17098445595855</v>
      </c>
      <c r="S205" s="18">
        <f t="shared" si="79"/>
        <v>19.17098445595855</v>
      </c>
    </row>
    <row r="206" spans="1:19" ht="24" hidden="1">
      <c r="A206" s="29" t="s">
        <v>18</v>
      </c>
      <c r="B206" s="29"/>
      <c r="C206" s="28" t="s">
        <v>15</v>
      </c>
      <c r="D206" s="68"/>
      <c r="E206" s="37">
        <f t="shared" si="78"/>
        <v>0</v>
      </c>
      <c r="F206" s="51">
        <f t="shared" si="76"/>
        <v>0</v>
      </c>
      <c r="G206" s="37"/>
      <c r="H206" s="37"/>
      <c r="I206" s="17"/>
      <c r="J206" s="17"/>
      <c r="K206" s="18"/>
      <c r="L206" s="20" t="e">
        <f>K206/#REF!*100</f>
        <v>#REF!</v>
      </c>
      <c r="M206" s="20" t="e">
        <f t="shared" si="77"/>
        <v>#DIV/0!</v>
      </c>
      <c r="N206" s="48"/>
      <c r="O206" s="48"/>
      <c r="P206" s="17" t="e">
        <f t="shared" si="61"/>
        <v>#DIV/0!</v>
      </c>
      <c r="Q206" s="20"/>
      <c r="R206" s="18"/>
      <c r="S206" s="18" t="e">
        <f t="shared" si="79"/>
        <v>#DIV/0!</v>
      </c>
    </row>
    <row r="207" spans="1:19" ht="15.75" customHeight="1" hidden="1">
      <c r="A207" s="29" t="s">
        <v>12</v>
      </c>
      <c r="B207" s="54"/>
      <c r="C207" s="28" t="s">
        <v>7</v>
      </c>
      <c r="D207" s="68"/>
      <c r="E207" s="37">
        <f t="shared" si="78"/>
        <v>0</v>
      </c>
      <c r="F207" s="51">
        <f t="shared" si="76"/>
        <v>0</v>
      </c>
      <c r="G207" s="37"/>
      <c r="H207" s="37"/>
      <c r="I207" s="17"/>
      <c r="J207" s="17"/>
      <c r="K207" s="18"/>
      <c r="L207" s="20" t="e">
        <f>K207/#REF!*100</f>
        <v>#REF!</v>
      </c>
      <c r="M207" s="20"/>
      <c r="N207" s="48"/>
      <c r="O207" s="48"/>
      <c r="P207" s="17" t="e">
        <f t="shared" si="61"/>
        <v>#DIV/0!</v>
      </c>
      <c r="Q207" s="20"/>
      <c r="R207" s="18"/>
      <c r="S207" s="18" t="e">
        <f t="shared" si="79"/>
        <v>#DIV/0!</v>
      </c>
    </row>
    <row r="208" spans="1:19" ht="13.5" customHeight="1">
      <c r="A208" s="53" t="s">
        <v>39</v>
      </c>
      <c r="B208" s="52"/>
      <c r="C208" s="16" t="s">
        <v>40</v>
      </c>
      <c r="D208" s="68"/>
      <c r="E208" s="37">
        <f t="shared" si="78"/>
        <v>0</v>
      </c>
      <c r="F208" s="51">
        <f t="shared" si="76"/>
        <v>0</v>
      </c>
      <c r="G208" s="37"/>
      <c r="H208" s="37"/>
      <c r="I208" s="17"/>
      <c r="J208" s="17"/>
      <c r="K208" s="18"/>
      <c r="L208" s="20" t="e">
        <f>K208/#REF!*100</f>
        <v>#REF!</v>
      </c>
      <c r="M208" s="20"/>
      <c r="N208" s="48"/>
      <c r="O208" s="48"/>
      <c r="P208" s="17"/>
      <c r="Q208" s="20"/>
      <c r="R208" s="18"/>
      <c r="S208" s="18"/>
    </row>
    <row r="209" spans="1:19" ht="12.75">
      <c r="A209" s="25" t="s">
        <v>1</v>
      </c>
      <c r="B209" s="25"/>
      <c r="C209" s="32" t="s">
        <v>0</v>
      </c>
      <c r="D209" s="33">
        <f aca="true" t="shared" si="80" ref="D209:K209">D210</f>
        <v>25685.5</v>
      </c>
      <c r="E209" s="33">
        <f t="shared" si="80"/>
        <v>25685.5</v>
      </c>
      <c r="F209" s="33">
        <f t="shared" si="80"/>
        <v>6196.2</v>
      </c>
      <c r="G209" s="33">
        <f t="shared" si="80"/>
        <v>6196.2</v>
      </c>
      <c r="H209" s="33">
        <f t="shared" si="80"/>
        <v>6370.1</v>
      </c>
      <c r="I209" s="33">
        <f t="shared" si="80"/>
        <v>7192.2</v>
      </c>
      <c r="J209" s="33">
        <f t="shared" si="80"/>
        <v>5927</v>
      </c>
      <c r="K209" s="33">
        <f t="shared" si="80"/>
        <v>1640</v>
      </c>
      <c r="L209" s="27" t="e">
        <f>K209/#REF!*100</f>
        <v>#REF!</v>
      </c>
      <c r="M209" s="27">
        <f>K209/I209*100</f>
        <v>22.80248046494814</v>
      </c>
      <c r="N209" s="48"/>
      <c r="O209" s="48"/>
      <c r="P209" s="36">
        <f t="shared" si="61"/>
        <v>27.669984815252235</v>
      </c>
      <c r="Q209" s="27">
        <f t="shared" si="59"/>
        <v>26.467835124753883</v>
      </c>
      <c r="R209" s="24">
        <f t="shared" si="60"/>
        <v>6.3849253469856535</v>
      </c>
      <c r="S209" s="24">
        <f t="shared" si="79"/>
        <v>6.3849253469856535</v>
      </c>
    </row>
    <row r="210" spans="1:19" ht="24">
      <c r="A210" s="14" t="s">
        <v>67</v>
      </c>
      <c r="B210" s="12"/>
      <c r="C210" s="34" t="s">
        <v>20</v>
      </c>
      <c r="D210" s="37">
        <v>25685.5</v>
      </c>
      <c r="E210" s="37">
        <f t="shared" si="78"/>
        <v>25685.5</v>
      </c>
      <c r="F210" s="51">
        <f t="shared" si="76"/>
        <v>6196.2</v>
      </c>
      <c r="G210" s="37">
        <v>6196.2</v>
      </c>
      <c r="H210" s="37">
        <v>6370.1</v>
      </c>
      <c r="I210" s="17">
        <v>7192.2</v>
      </c>
      <c r="J210" s="17">
        <v>5927</v>
      </c>
      <c r="K210" s="18">
        <v>1640</v>
      </c>
      <c r="L210" s="20" t="e">
        <f>K210/#REF!*100</f>
        <v>#REF!</v>
      </c>
      <c r="M210" s="20">
        <f>K210/I210*100</f>
        <v>22.80248046494814</v>
      </c>
      <c r="N210" s="48"/>
      <c r="O210" s="48"/>
      <c r="P210" s="17">
        <f t="shared" si="61"/>
        <v>27.669984815252235</v>
      </c>
      <c r="Q210" s="20">
        <f t="shared" si="59"/>
        <v>26.467835124753883</v>
      </c>
      <c r="R210" s="18">
        <f t="shared" si="60"/>
        <v>6.3849253469856535</v>
      </c>
      <c r="S210" s="18">
        <f t="shared" si="79"/>
        <v>6.3849253469856535</v>
      </c>
    </row>
    <row r="211" spans="1:19" ht="12.75">
      <c r="A211" s="21"/>
      <c r="B211" s="22"/>
      <c r="C211" s="23" t="s">
        <v>4</v>
      </c>
      <c r="D211" s="24">
        <f aca="true" t="shared" si="81" ref="D211:K211">D209+D199</f>
        <v>30954.1</v>
      </c>
      <c r="E211" s="24">
        <f t="shared" si="81"/>
        <v>30954.1</v>
      </c>
      <c r="F211" s="24">
        <f t="shared" si="81"/>
        <v>7378.4</v>
      </c>
      <c r="G211" s="36">
        <f t="shared" si="81"/>
        <v>7378.4</v>
      </c>
      <c r="H211" s="36">
        <f t="shared" si="81"/>
        <v>7639.400000000001</v>
      </c>
      <c r="I211" s="36">
        <f t="shared" si="81"/>
        <v>8510.5</v>
      </c>
      <c r="J211" s="36">
        <f t="shared" si="81"/>
        <v>7425.8</v>
      </c>
      <c r="K211" s="24">
        <f t="shared" si="81"/>
        <v>2026.3</v>
      </c>
      <c r="L211" s="27" t="e">
        <f>K211/#REF!*100</f>
        <v>#REF!</v>
      </c>
      <c r="M211" s="27">
        <f>K211/I211*100</f>
        <v>23.809411902943424</v>
      </c>
      <c r="N211" s="48"/>
      <c r="O211" s="49" t="e">
        <f>J211+#REF!+#REF!</f>
        <v>#REF!</v>
      </c>
      <c r="P211" s="36">
        <f t="shared" si="61"/>
        <v>27.28729564491368</v>
      </c>
      <c r="Q211" s="27">
        <f t="shared" si="59"/>
        <v>27.462593516209477</v>
      </c>
      <c r="R211" s="24">
        <f t="shared" si="60"/>
        <v>6.5461441295337295</v>
      </c>
      <c r="S211" s="24">
        <f t="shared" si="79"/>
        <v>6.5461441295337295</v>
      </c>
    </row>
    <row r="212" spans="1:19" ht="12.75">
      <c r="A212" s="89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1"/>
      <c r="N212" s="48"/>
      <c r="O212" s="48"/>
      <c r="P212" s="47"/>
      <c r="Q212" s="27"/>
      <c r="R212" s="24"/>
      <c r="S212" s="18"/>
    </row>
    <row r="213" spans="1:19" ht="12.75">
      <c r="A213" s="98" t="s">
        <v>36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100"/>
    </row>
    <row r="214" spans="1:19" ht="12.75">
      <c r="A214" s="25" t="s">
        <v>3</v>
      </c>
      <c r="B214" s="39"/>
      <c r="C214" s="26" t="s">
        <v>68</v>
      </c>
      <c r="D214" s="27">
        <f aca="true" t="shared" si="82" ref="D214:J214">D215+D217+D218+D219+D221+D222+D224+D226+D223+D220+D227+D225+D216</f>
        <v>1078319.6</v>
      </c>
      <c r="E214" s="27">
        <f t="shared" si="82"/>
        <v>1078319.6</v>
      </c>
      <c r="F214" s="27">
        <f t="shared" si="82"/>
        <v>258756.69999999998</v>
      </c>
      <c r="G214" s="27">
        <f t="shared" si="82"/>
        <v>258756.69999999998</v>
      </c>
      <c r="H214" s="27">
        <f t="shared" si="82"/>
        <v>282299.1</v>
      </c>
      <c r="I214" s="27">
        <f t="shared" si="82"/>
        <v>241116.69999999998</v>
      </c>
      <c r="J214" s="27">
        <f t="shared" si="82"/>
        <v>296147.1</v>
      </c>
      <c r="K214" s="27">
        <f>K215+K217+K218+K219+K221+K222+K224+K226+K223+K220+K227+K225+K216+0.1</f>
        <v>83028.30000000002</v>
      </c>
      <c r="L214" s="27" t="e">
        <f>K214/#REF!*100</f>
        <v>#REF!</v>
      </c>
      <c r="M214" s="27">
        <f aca="true" t="shared" si="83" ref="M214:M225">K214/I214*100</f>
        <v>34.43490226931607</v>
      </c>
      <c r="N214" s="48"/>
      <c r="O214" s="48"/>
      <c r="P214" s="27">
        <f t="shared" si="61"/>
        <v>28.03616851220222</v>
      </c>
      <c r="Q214" s="27">
        <f t="shared" si="59"/>
        <v>32.08740102188659</v>
      </c>
      <c r="R214" s="24">
        <f t="shared" si="60"/>
        <v>7.69978585198674</v>
      </c>
      <c r="S214" s="24">
        <f t="shared" si="79"/>
        <v>7.69978585198674</v>
      </c>
    </row>
    <row r="215" spans="1:19" ht="12.75">
      <c r="A215" s="21" t="s">
        <v>23</v>
      </c>
      <c r="B215" s="40" t="s">
        <v>54</v>
      </c>
      <c r="C215" s="28" t="s">
        <v>22</v>
      </c>
      <c r="D215" s="18">
        <f>D9+D31+D47+D65+D82+D100+D116+D133+D150+D167+D184+D200</f>
        <v>788632.3</v>
      </c>
      <c r="E215" s="37">
        <f>G215+H215+I215+J215</f>
        <v>788632.3000000002</v>
      </c>
      <c r="F215" s="51">
        <f aca="true" t="shared" si="84" ref="F215:F231">G215</f>
        <v>197848.7</v>
      </c>
      <c r="G215" s="18">
        <f>G9+G31+G47+G65+G82+G100+G116+G133+G150+G167+G184+G200</f>
        <v>197848.7</v>
      </c>
      <c r="H215" s="18">
        <f>H9+H31+H47+H65+H82+H100+H116+H133+H150+H167+H184+H200</f>
        <v>206317.00000000003</v>
      </c>
      <c r="I215" s="18">
        <f>I9+I31+I47+I65+I82+I100+I116+I133+I150+I167+I184+I200</f>
        <v>173107.7</v>
      </c>
      <c r="J215" s="18">
        <f>J9+J31+J47+J65+J82+J100+J116+J133+J150+J167+J184+J200</f>
        <v>211358.9</v>
      </c>
      <c r="K215" s="18">
        <f>K9+K31+K47+K65+K82+K100+K116+K133+K150+K167+K184+K200+0.1</f>
        <v>63979.49999999999</v>
      </c>
      <c r="L215" s="20" t="e">
        <f>K215/#REF!*100</f>
        <v>#REF!</v>
      </c>
      <c r="M215" s="20">
        <f t="shared" si="83"/>
        <v>36.95936113760393</v>
      </c>
      <c r="N215" s="48"/>
      <c r="O215" s="48"/>
      <c r="P215" s="17">
        <f t="shared" si="61"/>
        <v>30.270549288437813</v>
      </c>
      <c r="Q215" s="20">
        <f t="shared" si="59"/>
        <v>32.33758927908042</v>
      </c>
      <c r="R215" s="18">
        <f t="shared" si="60"/>
        <v>8.112716154283813</v>
      </c>
      <c r="S215" s="18">
        <f t="shared" si="79"/>
        <v>8.112716154283813</v>
      </c>
    </row>
    <row r="216" spans="1:19" ht="12.75">
      <c r="A216" s="12" t="s">
        <v>70</v>
      </c>
      <c r="B216" s="12"/>
      <c r="C216" s="28" t="s">
        <v>71</v>
      </c>
      <c r="D216" s="18">
        <f>D10+D32+D48+D66+D83+D101+D118+D134+D151+D168+D185+D201</f>
        <v>48723.299999999996</v>
      </c>
      <c r="E216" s="37">
        <f aca="true" t="shared" si="85" ref="E216:E231">G216+H216+I216+J216</f>
        <v>48723.3</v>
      </c>
      <c r="F216" s="51">
        <f t="shared" si="84"/>
        <v>11895.2</v>
      </c>
      <c r="G216" s="18">
        <f>G10+G32+G48+G66+G83+G101+G118+G134+G151+G168+G185+G201</f>
        <v>11895.2</v>
      </c>
      <c r="H216" s="18">
        <f>H10+H32+H48+H66+H83+H101+H118+H134+H151+H168+H185+H201</f>
        <v>12027.6</v>
      </c>
      <c r="I216" s="18">
        <f>I10+I32+I48+I66+I83+I101+I118+I134+I151+I168+I185+I201</f>
        <v>12214.400000000001</v>
      </c>
      <c r="J216" s="18">
        <f>J10+J32+J48+J66+J83+J101+J118+J134+J151+J168+J185+J201</f>
        <v>12586.100000000002</v>
      </c>
      <c r="K216" s="18">
        <f>K10+K32+K48+K66+K83+K101+K118+K134+K151+K168+K185+K201-0.1</f>
        <v>4191.6</v>
      </c>
      <c r="L216" s="18">
        <f>L10</f>
        <v>0</v>
      </c>
      <c r="M216" s="18">
        <f>M10</f>
        <v>0</v>
      </c>
      <c r="N216" s="18">
        <f>N10</f>
        <v>0</v>
      </c>
      <c r="O216" s="18">
        <f>O10</f>
        <v>0</v>
      </c>
      <c r="P216" s="18">
        <f>P10</f>
        <v>0</v>
      </c>
      <c r="Q216" s="20">
        <f t="shared" si="59"/>
        <v>35.23774295514157</v>
      </c>
      <c r="R216" s="18">
        <f t="shared" si="60"/>
        <v>8.602865569450346</v>
      </c>
      <c r="S216" s="18">
        <f t="shared" si="79"/>
        <v>8.602865569450348</v>
      </c>
    </row>
    <row r="217" spans="1:19" ht="12.75">
      <c r="A217" s="12" t="s">
        <v>8</v>
      </c>
      <c r="B217" s="38" t="s">
        <v>55</v>
      </c>
      <c r="C217" s="28" t="s">
        <v>5</v>
      </c>
      <c r="D217" s="18">
        <f>D11+D49+D67+D202+D152+D117+D186+D84+D102+D169+D119</f>
        <v>44696</v>
      </c>
      <c r="E217" s="37">
        <f>G217+H217+I217+J217</f>
        <v>44696</v>
      </c>
      <c r="F217" s="51">
        <f t="shared" si="84"/>
        <v>7257</v>
      </c>
      <c r="G217" s="18">
        <f>G11+G49+G67+G202+G152+G186+G84+G102+G169+G119</f>
        <v>7257</v>
      </c>
      <c r="H217" s="18">
        <f>H11+H49+H67+H202+H152+H186+H84+H102+H169+H119</f>
        <v>17785.1</v>
      </c>
      <c r="I217" s="18">
        <f>I11+I49+I67+I202+I152+I186+I84+I102+I169+I119</f>
        <v>9438</v>
      </c>
      <c r="J217" s="18">
        <f>J11+J49+J67+J202+J152+J186+J84+J102+J169+J119</f>
        <v>10215.9</v>
      </c>
      <c r="K217" s="18">
        <f>K11+K49+K67+K202+K152+K117+K186+K84+K102+K169+K119</f>
        <v>3756.4</v>
      </c>
      <c r="L217" s="20" t="e">
        <f>K217/#REF!*100</f>
        <v>#REF!</v>
      </c>
      <c r="M217" s="20">
        <f t="shared" si="83"/>
        <v>39.80080525535071</v>
      </c>
      <c r="N217" s="48"/>
      <c r="O217" s="48"/>
      <c r="P217" s="17">
        <f t="shared" si="61"/>
        <v>36.7701328321538</v>
      </c>
      <c r="Q217" s="20">
        <f t="shared" si="59"/>
        <v>51.762436268430484</v>
      </c>
      <c r="R217" s="18">
        <f t="shared" si="60"/>
        <v>8.404331483801682</v>
      </c>
      <c r="S217" s="18">
        <f t="shared" si="79"/>
        <v>8.404331483801682</v>
      </c>
    </row>
    <row r="218" spans="1:19" ht="12.75">
      <c r="A218" s="12" t="s">
        <v>9</v>
      </c>
      <c r="B218" s="38" t="s">
        <v>56</v>
      </c>
      <c r="C218" s="28" t="s">
        <v>6</v>
      </c>
      <c r="D218" s="18">
        <f>D12+D33+D50+D68+D85+D103+D120+D135+D153+D170+D187+D203</f>
        <v>31354.900000000005</v>
      </c>
      <c r="E218" s="37">
        <f t="shared" si="85"/>
        <v>31354.9</v>
      </c>
      <c r="F218" s="51">
        <f t="shared" si="84"/>
        <v>4004.7999999999997</v>
      </c>
      <c r="G218" s="18">
        <f>G12+G33+G50+G68+G85+G103+G120+G135+G153+G170+G187+G203</f>
        <v>4004.7999999999997</v>
      </c>
      <c r="H218" s="18">
        <f>H12+H33+H50+H68+H85+H103+H120+H135+H153+H170+H187+H203</f>
        <v>3957.2999999999997</v>
      </c>
      <c r="I218" s="18">
        <f>I12+I33+I50+I68+I85+I103+I120+I135+I153+I170+I187+I203</f>
        <v>5912.900000000001</v>
      </c>
      <c r="J218" s="18">
        <f>J12+J33+J50+J68+J85+J103+J120+J135+J153+J170+J187+J203</f>
        <v>17479.9</v>
      </c>
      <c r="K218" s="18">
        <f>K12+K33+K50+K68+K85+K103+K120+K135+K153+K170+K187+K203+0.1</f>
        <v>3039.2999999999997</v>
      </c>
      <c r="L218" s="20" t="e">
        <f>K218/#REF!*100</f>
        <v>#REF!</v>
      </c>
      <c r="M218" s="20">
        <f t="shared" si="83"/>
        <v>51.40117370495019</v>
      </c>
      <c r="N218" s="48"/>
      <c r="O218" s="48"/>
      <c r="P218" s="17">
        <f t="shared" si="61"/>
        <v>17.387399241414425</v>
      </c>
      <c r="Q218" s="20">
        <f t="shared" si="59"/>
        <v>75.89143028365962</v>
      </c>
      <c r="R218" s="18">
        <f t="shared" si="60"/>
        <v>9.693221793084971</v>
      </c>
      <c r="S218" s="18">
        <f t="shared" si="79"/>
        <v>9.693221793084971</v>
      </c>
    </row>
    <row r="219" spans="1:19" ht="12.75">
      <c r="A219" s="12" t="s">
        <v>10</v>
      </c>
      <c r="B219" s="38" t="s">
        <v>49</v>
      </c>
      <c r="C219" s="28" t="s">
        <v>21</v>
      </c>
      <c r="D219" s="18">
        <f>D13+D34+D51+D69+D86+D104+D121+D136+D154+D171+D188+D204</f>
        <v>3813.7</v>
      </c>
      <c r="E219" s="37">
        <f t="shared" si="85"/>
        <v>3813.7</v>
      </c>
      <c r="F219" s="51">
        <f t="shared" si="84"/>
        <v>926.4</v>
      </c>
      <c r="G219" s="18">
        <f>G13+G34+G69+G86+G104+G121+G136+G154+G171+G188+G204</f>
        <v>926.4</v>
      </c>
      <c r="H219" s="18">
        <f>H13+H34+H69+H86+H104+H121+H136+H154+H171+H188+H204</f>
        <v>964.8</v>
      </c>
      <c r="I219" s="18">
        <f>I13+I34+I69+I86+I104+I121+I136+I154+I171+I188+I204</f>
        <v>971.9</v>
      </c>
      <c r="J219" s="18">
        <f>J13+J34+J69+J86+J104+J121+J136+J154+J171+J188+J204</f>
        <v>950.5999999999999</v>
      </c>
      <c r="K219" s="18">
        <f>K13+K34+K51+K69+K86+K104+K121+K136+K154+K171+K188+K204</f>
        <v>295.90000000000003</v>
      </c>
      <c r="L219" s="20" t="e">
        <f>K219/#REF!*100</f>
        <v>#REF!</v>
      </c>
      <c r="M219" s="20">
        <f t="shared" si="83"/>
        <v>30.445519086325756</v>
      </c>
      <c r="N219" s="48"/>
      <c r="O219" s="48"/>
      <c r="P219" s="17">
        <f t="shared" si="61"/>
        <v>31.127708815484965</v>
      </c>
      <c r="Q219" s="20">
        <f t="shared" si="59"/>
        <v>31.940846286701213</v>
      </c>
      <c r="R219" s="18">
        <f t="shared" si="60"/>
        <v>7.758869339486589</v>
      </c>
      <c r="S219" s="18">
        <f t="shared" si="79"/>
        <v>7.758869339486589</v>
      </c>
    </row>
    <row r="220" spans="1:19" ht="24" hidden="1">
      <c r="A220" s="12" t="s">
        <v>37</v>
      </c>
      <c r="B220" s="38" t="s">
        <v>57</v>
      </c>
      <c r="C220" s="28" t="s">
        <v>38</v>
      </c>
      <c r="D220" s="41">
        <f>D14</f>
        <v>0</v>
      </c>
      <c r="E220" s="37">
        <f t="shared" si="85"/>
        <v>0</v>
      </c>
      <c r="F220" s="51">
        <f t="shared" si="84"/>
        <v>0</v>
      </c>
      <c r="G220" s="41">
        <f>G14</f>
        <v>0</v>
      </c>
      <c r="H220" s="41">
        <f>H14</f>
        <v>0</v>
      </c>
      <c r="I220" s="41">
        <f>I14</f>
        <v>0</v>
      </c>
      <c r="J220" s="41">
        <f>J14</f>
        <v>0</v>
      </c>
      <c r="K220" s="41">
        <f>K14</f>
        <v>0</v>
      </c>
      <c r="L220" s="20" t="e">
        <f>K220/#REF!*100</f>
        <v>#REF!</v>
      </c>
      <c r="M220" s="20"/>
      <c r="N220" s="48"/>
      <c r="O220" s="48"/>
      <c r="P220" s="17" t="e">
        <f t="shared" si="61"/>
        <v>#DIV/0!</v>
      </c>
      <c r="Q220" s="20"/>
      <c r="R220" s="18"/>
      <c r="S220" s="18" t="e">
        <f t="shared" si="79"/>
        <v>#DIV/0!</v>
      </c>
    </row>
    <row r="221" spans="1:19" ht="24">
      <c r="A221" s="13" t="s">
        <v>11</v>
      </c>
      <c r="B221" s="42" t="s">
        <v>48</v>
      </c>
      <c r="C221" s="28" t="s">
        <v>17</v>
      </c>
      <c r="D221" s="18">
        <f>D15+D35+D52+D70+D87+D105+D122+D137+D155+D172+D189+D205</f>
        <v>122481.50000000001</v>
      </c>
      <c r="E221" s="37">
        <f t="shared" si="85"/>
        <v>122481.49999999999</v>
      </c>
      <c r="F221" s="51">
        <f t="shared" si="84"/>
        <v>29158.499999999996</v>
      </c>
      <c r="G221" s="18">
        <f>G15+G35+G52+G70+G87+G105+G122+G137+G155+G172+G189+G205</f>
        <v>29158.499999999996</v>
      </c>
      <c r="H221" s="18">
        <f>H15+H35+H52+H70+H87+H105+H122+H137+H155+H172+H189+H205</f>
        <v>30539.499999999996</v>
      </c>
      <c r="I221" s="18">
        <f>I15+I35+I52+I70+I87+I105+I122+I137+I155+I172+I189+I205</f>
        <v>30996.999999999996</v>
      </c>
      <c r="J221" s="18">
        <f>J15+J35+J52+J70+J87+J105+J122+J137+J155+J172+J189+J205</f>
        <v>31786.5</v>
      </c>
      <c r="K221" s="18">
        <f>K15+K35+K52+K70+K87+K105+K122+K137+K155+K172+K189+K205-0.2</f>
        <v>1709.6000000000004</v>
      </c>
      <c r="L221" s="20" t="e">
        <f>K221/#REF!*100</f>
        <v>#REF!</v>
      </c>
      <c r="M221" s="20">
        <f t="shared" si="83"/>
        <v>5.515372455398912</v>
      </c>
      <c r="N221" s="48"/>
      <c r="O221" s="48"/>
      <c r="P221" s="17">
        <f t="shared" si="61"/>
        <v>5.378383905116953</v>
      </c>
      <c r="Q221" s="20">
        <f aca="true" t="shared" si="86" ref="Q221:Q232">K221*100/F221</f>
        <v>5.8631273899549035</v>
      </c>
      <c r="R221" s="18">
        <f aca="true" t="shared" si="87" ref="R221:R232">K221*100/E221</f>
        <v>1.3958026314178062</v>
      </c>
      <c r="S221" s="18">
        <f t="shared" si="79"/>
        <v>1.395802631417806</v>
      </c>
    </row>
    <row r="222" spans="1:19" ht="12.75">
      <c r="A222" s="29" t="s">
        <v>14</v>
      </c>
      <c r="B222" s="43" t="s">
        <v>47</v>
      </c>
      <c r="C222" s="28" t="s">
        <v>13</v>
      </c>
      <c r="D222" s="18">
        <f>D16</f>
        <v>9593.1</v>
      </c>
      <c r="E222" s="37">
        <f t="shared" si="85"/>
        <v>9593.1</v>
      </c>
      <c r="F222" s="51">
        <f t="shared" si="84"/>
        <v>2399.3</v>
      </c>
      <c r="G222" s="18">
        <f>G16</f>
        <v>2399.3</v>
      </c>
      <c r="H222" s="18">
        <f>H16</f>
        <v>2399.3</v>
      </c>
      <c r="I222" s="18">
        <f>I16</f>
        <v>2399.3</v>
      </c>
      <c r="J222" s="18">
        <f>J16</f>
        <v>2395.2</v>
      </c>
      <c r="K222" s="18">
        <f>K16</f>
        <v>103</v>
      </c>
      <c r="L222" s="20" t="e">
        <f>K222/#REF!*100</f>
        <v>#REF!</v>
      </c>
      <c r="M222" s="20">
        <f t="shared" si="83"/>
        <v>4.292918767973992</v>
      </c>
      <c r="N222" s="48"/>
      <c r="O222" s="48"/>
      <c r="P222" s="17">
        <f t="shared" si="61"/>
        <v>4.300267201068805</v>
      </c>
      <c r="Q222" s="20">
        <f t="shared" si="86"/>
        <v>4.292918767973992</v>
      </c>
      <c r="R222" s="18">
        <f t="shared" si="87"/>
        <v>1.0736883801899282</v>
      </c>
      <c r="S222" s="18">
        <f t="shared" si="79"/>
        <v>1.0736883801899282</v>
      </c>
    </row>
    <row r="223" spans="1:19" ht="24">
      <c r="A223" s="30" t="s">
        <v>42</v>
      </c>
      <c r="B223" s="44" t="s">
        <v>58</v>
      </c>
      <c r="C223" s="28" t="s">
        <v>43</v>
      </c>
      <c r="D223" s="45">
        <f>D17+D88+D53+D106+D138+D156+D173+D190+D123+D71+D36</f>
        <v>15967.8</v>
      </c>
      <c r="E223" s="37">
        <f t="shared" si="85"/>
        <v>15967.8</v>
      </c>
      <c r="F223" s="51">
        <f t="shared" si="84"/>
        <v>2717</v>
      </c>
      <c r="G223" s="45">
        <f aca="true" t="shared" si="88" ref="G223:P223">G17+G88+G53+G106+G138+G156+G173+G190+G123+G71+G36</f>
        <v>2717</v>
      </c>
      <c r="H223" s="45">
        <f t="shared" si="88"/>
        <v>3527.4</v>
      </c>
      <c r="I223" s="45">
        <f t="shared" si="88"/>
        <v>3213.9</v>
      </c>
      <c r="J223" s="45">
        <f t="shared" si="88"/>
        <v>6509.5</v>
      </c>
      <c r="K223" s="45">
        <f t="shared" si="88"/>
        <v>2957.5</v>
      </c>
      <c r="L223" s="45" t="e">
        <f t="shared" si="88"/>
        <v>#REF!</v>
      </c>
      <c r="M223" s="45" t="e">
        <f t="shared" si="88"/>
        <v>#DIV/0!</v>
      </c>
      <c r="N223" s="45">
        <f t="shared" si="88"/>
        <v>0</v>
      </c>
      <c r="O223" s="45">
        <f t="shared" si="88"/>
        <v>0</v>
      </c>
      <c r="P223" s="45" t="e">
        <f t="shared" si="88"/>
        <v>#DIV/0!</v>
      </c>
      <c r="Q223" s="20">
        <f t="shared" si="86"/>
        <v>108.85167464114832</v>
      </c>
      <c r="R223" s="18">
        <f t="shared" si="87"/>
        <v>18.52164982026328</v>
      </c>
      <c r="S223" s="18">
        <f t="shared" si="79"/>
        <v>18.52164982026328</v>
      </c>
    </row>
    <row r="224" spans="1:19" ht="24">
      <c r="A224" s="30" t="s">
        <v>18</v>
      </c>
      <c r="B224" s="44" t="s">
        <v>53</v>
      </c>
      <c r="C224" s="28" t="s">
        <v>15</v>
      </c>
      <c r="D224" s="18">
        <f>D18+D37+D54+D72+D89+D124+D157+D174+D191+D206+D139</f>
        <v>13051</v>
      </c>
      <c r="E224" s="37">
        <f>G224+H224+I224+J224</f>
        <v>13051</v>
      </c>
      <c r="F224" s="51">
        <f t="shared" si="84"/>
        <v>2546.8</v>
      </c>
      <c r="G224" s="18">
        <f>G18+G37+G54+G72+G89+G107+G124+G157+G174+G191+G206+G139</f>
        <v>2546.8</v>
      </c>
      <c r="H224" s="18">
        <f>H18+H37+H54+H72+H89+H107+H124+H157+H174+H191+H206+H139</f>
        <v>4781.099999999999</v>
      </c>
      <c r="I224" s="18">
        <f>I18+I37+I54+I72+I89+I107+I124+I157+I174+I191+I206+I139</f>
        <v>2858.6</v>
      </c>
      <c r="J224" s="18">
        <f>J18+J37+J54+J72+J89+J107+J124+J157+J174+J191+J206+J139</f>
        <v>2864.5</v>
      </c>
      <c r="K224" s="18">
        <f>K18+K37+K54+K72+K89+K124+K157+K174+K191+K206+K139</f>
        <v>2275.6</v>
      </c>
      <c r="L224" s="20" t="e">
        <f>K224/#REF!*100</f>
        <v>#REF!</v>
      </c>
      <c r="M224" s="20">
        <f t="shared" si="83"/>
        <v>79.60540124536486</v>
      </c>
      <c r="N224" s="48"/>
      <c r="O224" s="48"/>
      <c r="P224" s="17">
        <f aca="true" t="shared" si="89" ref="P224:P232">K224*100/J224</f>
        <v>79.4414382963868</v>
      </c>
      <c r="Q224" s="20">
        <f t="shared" si="86"/>
        <v>89.35134286163027</v>
      </c>
      <c r="R224" s="18">
        <f t="shared" si="87"/>
        <v>17.436211784537583</v>
      </c>
      <c r="S224" s="18">
        <f t="shared" si="79"/>
        <v>17.436211784537583</v>
      </c>
    </row>
    <row r="225" spans="1:19" ht="12.75">
      <c r="A225" s="30" t="s">
        <v>60</v>
      </c>
      <c r="B225" s="30"/>
      <c r="C225" s="28" t="s">
        <v>61</v>
      </c>
      <c r="D225" s="18">
        <f>D19</f>
        <v>6</v>
      </c>
      <c r="E225" s="37">
        <f t="shared" si="85"/>
        <v>6</v>
      </c>
      <c r="F225" s="51">
        <f t="shared" si="84"/>
        <v>3</v>
      </c>
      <c r="G225" s="18">
        <f>G19</f>
        <v>3</v>
      </c>
      <c r="H225" s="18">
        <f>H19</f>
        <v>0</v>
      </c>
      <c r="I225" s="18">
        <f>I19</f>
        <v>3</v>
      </c>
      <c r="J225" s="18">
        <f>J19</f>
        <v>0</v>
      </c>
      <c r="K225" s="18">
        <f>K19</f>
        <v>0</v>
      </c>
      <c r="L225" s="20" t="e">
        <f>K225/#REF!*100</f>
        <v>#REF!</v>
      </c>
      <c r="M225" s="20">
        <f t="shared" si="83"/>
        <v>0</v>
      </c>
      <c r="N225" s="48"/>
      <c r="O225" s="48"/>
      <c r="P225" s="17" t="e">
        <f t="shared" si="89"/>
        <v>#DIV/0!</v>
      </c>
      <c r="Q225" s="20">
        <f t="shared" si="86"/>
        <v>0</v>
      </c>
      <c r="R225" s="18">
        <f t="shared" si="87"/>
        <v>0</v>
      </c>
      <c r="S225" s="18">
        <f t="shared" si="79"/>
        <v>0</v>
      </c>
    </row>
    <row r="226" spans="1:19" ht="12.75">
      <c r="A226" s="21" t="s">
        <v>12</v>
      </c>
      <c r="B226" s="40" t="s">
        <v>50</v>
      </c>
      <c r="C226" s="28" t="s">
        <v>7</v>
      </c>
      <c r="D226" s="18">
        <f>D20+D192+D207+D73+D140+D55+D158+D90+D175+D107</f>
        <v>0</v>
      </c>
      <c r="E226" s="37">
        <f t="shared" si="85"/>
        <v>0</v>
      </c>
      <c r="F226" s="51">
        <f t="shared" si="84"/>
        <v>0</v>
      </c>
      <c r="G226" s="18">
        <f>G20+G192+G207+G73+G140+G55+G158+G90+G175</f>
        <v>0</v>
      </c>
      <c r="H226" s="18">
        <f>H20+H192+H207+H73+H140+H55+H158+H90+H175</f>
        <v>0</v>
      </c>
      <c r="I226" s="18">
        <f>I20+I192+I207+I73+I140+I55+I158+I90+I175</f>
        <v>0</v>
      </c>
      <c r="J226" s="18">
        <f>J20+J192+J207+J73+J140+J55+J158+J90+J175</f>
        <v>0</v>
      </c>
      <c r="K226" s="18">
        <f>K20+K192+K207+K73+K140+K55+K158+K90+K175+K107+K38</f>
        <v>672.5</v>
      </c>
      <c r="L226" s="18" t="e">
        <f>L20+L192+L207+L73+L140+L55+L158+L90</f>
        <v>#REF!</v>
      </c>
      <c r="M226" s="18" t="e">
        <f>M20+M192+M207+M73+M140+M55+M158+M90</f>
        <v>#DIV/0!</v>
      </c>
      <c r="N226" s="18">
        <f>N20+N192+N207+N73+N140+N55+N158+N90</f>
        <v>0</v>
      </c>
      <c r="O226" s="18">
        <f>O20+O192+O207+O73+O140+O55+O158+O90</f>
        <v>0</v>
      </c>
      <c r="P226" s="18" t="e">
        <f>P20+P192+P207+P73+P140+P55+P158+P90</f>
        <v>#DIV/0!</v>
      </c>
      <c r="Q226" s="20"/>
      <c r="R226" s="18"/>
      <c r="S226" s="18"/>
    </row>
    <row r="227" spans="1:19" ht="12.75">
      <c r="A227" s="31" t="s">
        <v>39</v>
      </c>
      <c r="B227" s="46" t="s">
        <v>57</v>
      </c>
      <c r="C227" s="16" t="s">
        <v>40</v>
      </c>
      <c r="D227" s="18">
        <f>D21+D39+D56+D74+D91+D108+D126+D141+D159+D176+D193+D208</f>
        <v>0</v>
      </c>
      <c r="E227" s="37">
        <f t="shared" si="85"/>
        <v>0</v>
      </c>
      <c r="F227" s="51">
        <f t="shared" si="84"/>
        <v>0</v>
      </c>
      <c r="G227" s="18">
        <v>0</v>
      </c>
      <c r="H227" s="18">
        <f>H21+H39+H56+H74+H91+H108+H126+H141+H159+H176+H193+H208</f>
        <v>0</v>
      </c>
      <c r="I227" s="18">
        <f>I21+I39+I56+I74+I91+I108+I126+I141+I159+I176+I193+I208</f>
        <v>0</v>
      </c>
      <c r="J227" s="18">
        <f>J21+J39+J56+J74+J91+J108+J126+J141+J159+J176+J193+J208</f>
        <v>0</v>
      </c>
      <c r="K227" s="18">
        <f>K21+K39+K56+K74+K91+K108+K126+K141+K159+K176+K193+K208</f>
        <v>47.3</v>
      </c>
      <c r="L227" s="20"/>
      <c r="M227" s="20"/>
      <c r="N227" s="48"/>
      <c r="O227" s="48"/>
      <c r="P227" s="17" t="e">
        <f t="shared" si="89"/>
        <v>#DIV/0!</v>
      </c>
      <c r="Q227" s="20"/>
      <c r="R227" s="18"/>
      <c r="S227" s="18"/>
    </row>
    <row r="228" spans="1:19" ht="12.75">
      <c r="A228" s="25" t="s">
        <v>1</v>
      </c>
      <c r="B228" s="39"/>
      <c r="C228" s="32" t="s">
        <v>0</v>
      </c>
      <c r="D228" s="33">
        <f aca="true" t="shared" si="90" ref="D228:J228">D229+D230+D231</f>
        <v>3294234.4</v>
      </c>
      <c r="E228" s="33">
        <f t="shared" si="90"/>
        <v>3315036</v>
      </c>
      <c r="F228" s="33">
        <f t="shared" si="90"/>
        <v>792331.8</v>
      </c>
      <c r="G228" s="33">
        <f t="shared" si="90"/>
        <v>792331.8</v>
      </c>
      <c r="H228" s="33">
        <f t="shared" si="90"/>
        <v>972952.5</v>
      </c>
      <c r="I228" s="33">
        <f t="shared" si="90"/>
        <v>775212.2999999999</v>
      </c>
      <c r="J228" s="33">
        <f t="shared" si="90"/>
        <v>774539.3999999999</v>
      </c>
      <c r="K228" s="33">
        <f>K229+K230+K231</f>
        <v>190091.5</v>
      </c>
      <c r="L228" s="27" t="e">
        <f>K228/#REF!*100</f>
        <v>#REF!</v>
      </c>
      <c r="M228" s="27">
        <f>K228/I228*100</f>
        <v>24.52121825208398</v>
      </c>
      <c r="N228" s="48"/>
      <c r="O228" s="48"/>
      <c r="P228" s="36">
        <f t="shared" si="89"/>
        <v>24.542521658678698</v>
      </c>
      <c r="Q228" s="27">
        <f t="shared" si="86"/>
        <v>23.99140107717499</v>
      </c>
      <c r="R228" s="24">
        <f>K228*100/E228</f>
        <v>5.734221287491297</v>
      </c>
      <c r="S228" s="24">
        <f t="shared" si="79"/>
        <v>5.770430300891764</v>
      </c>
    </row>
    <row r="229" spans="1:19" ht="24">
      <c r="A229" s="14" t="s">
        <v>67</v>
      </c>
      <c r="B229" s="38" t="s">
        <v>51</v>
      </c>
      <c r="C229" s="34" t="s">
        <v>20</v>
      </c>
      <c r="D229" s="17">
        <f>D23-26864.5</f>
        <v>3294234.4</v>
      </c>
      <c r="E229" s="37">
        <f t="shared" si="85"/>
        <v>3315036</v>
      </c>
      <c r="F229" s="51">
        <f t="shared" si="84"/>
        <v>792331.8</v>
      </c>
      <c r="G229" s="17">
        <f>G23</f>
        <v>792331.8</v>
      </c>
      <c r="H229" s="17">
        <f>H23-5372.9</f>
        <v>972952.5</v>
      </c>
      <c r="I229" s="17">
        <f>I23-10745.8</f>
        <v>775212.2999999999</v>
      </c>
      <c r="J229" s="17">
        <f>J23-10745.8</f>
        <v>774539.3999999999</v>
      </c>
      <c r="K229" s="17">
        <f>K23</f>
        <v>193937.2</v>
      </c>
      <c r="L229" s="20" t="e">
        <f>K229/#REF!*100</f>
        <v>#REF!</v>
      </c>
      <c r="M229" s="20">
        <f>K229/I229*100</f>
        <v>25.017301712060043</v>
      </c>
      <c r="N229" s="48"/>
      <c r="O229" s="48"/>
      <c r="P229" s="17">
        <f t="shared" si="89"/>
        <v>25.039036103263438</v>
      </c>
      <c r="Q229" s="20">
        <f t="shared" si="86"/>
        <v>24.476765920539854</v>
      </c>
      <c r="R229" s="18">
        <f t="shared" si="87"/>
        <v>5.850229077451949</v>
      </c>
      <c r="S229" s="18">
        <f t="shared" si="79"/>
        <v>5.887170627566757</v>
      </c>
    </row>
    <row r="230" spans="1:19" ht="12.75">
      <c r="A230" s="14" t="s">
        <v>2</v>
      </c>
      <c r="B230" s="14" t="s">
        <v>52</v>
      </c>
      <c r="C230" s="35" t="s">
        <v>19</v>
      </c>
      <c r="D230" s="18">
        <f>D24+D95+D179+D77</f>
        <v>0</v>
      </c>
      <c r="E230" s="18">
        <f>E24+E95+E179+E77+E144</f>
        <v>0</v>
      </c>
      <c r="F230" s="51">
        <f t="shared" si="84"/>
        <v>0</v>
      </c>
      <c r="G230" s="18">
        <f>G24+G95+G179+G77</f>
        <v>0</v>
      </c>
      <c r="H230" s="18">
        <f>H24+H95+H179+H77</f>
        <v>0</v>
      </c>
      <c r="I230" s="18">
        <f>I24+I95+I179+I77</f>
        <v>0</v>
      </c>
      <c r="J230" s="18">
        <f>J24+J95+J179+J77</f>
        <v>0</v>
      </c>
      <c r="K230" s="18">
        <f>K24+K95+K179+K77+K144</f>
        <v>0</v>
      </c>
      <c r="L230" s="20" t="e">
        <f>K230/#REF!*100</f>
        <v>#REF!</v>
      </c>
      <c r="M230" s="20" t="e">
        <f>K230/I230*100</f>
        <v>#DIV/0!</v>
      </c>
      <c r="N230" s="48"/>
      <c r="O230" s="48"/>
      <c r="P230" s="17" t="e">
        <f t="shared" si="89"/>
        <v>#DIV/0!</v>
      </c>
      <c r="Q230" s="20"/>
      <c r="R230" s="18"/>
      <c r="S230" s="18"/>
    </row>
    <row r="231" spans="1:19" ht="36">
      <c r="A231" s="14" t="s">
        <v>66</v>
      </c>
      <c r="B231" s="15"/>
      <c r="C231" s="19" t="s">
        <v>63</v>
      </c>
      <c r="D231" s="18">
        <f>D26</f>
        <v>0</v>
      </c>
      <c r="E231" s="37">
        <f t="shared" si="85"/>
        <v>0</v>
      </c>
      <c r="F231" s="51">
        <f t="shared" si="84"/>
        <v>0</v>
      </c>
      <c r="G231" s="18">
        <f>G26</f>
        <v>0</v>
      </c>
      <c r="H231" s="18">
        <f>H26</f>
        <v>0</v>
      </c>
      <c r="I231" s="18">
        <f>I26</f>
        <v>0</v>
      </c>
      <c r="J231" s="18">
        <f>J26</f>
        <v>0</v>
      </c>
      <c r="K231" s="18">
        <f>K26</f>
        <v>-3845.7</v>
      </c>
      <c r="L231" s="20" t="e">
        <f>K231/#REF!*100</f>
        <v>#REF!</v>
      </c>
      <c r="M231" s="20"/>
      <c r="N231" s="48"/>
      <c r="O231" s="48"/>
      <c r="P231" s="17" t="e">
        <f t="shared" si="89"/>
        <v>#DIV/0!</v>
      </c>
      <c r="Q231" s="20"/>
      <c r="R231" s="18"/>
      <c r="S231" s="18"/>
    </row>
    <row r="232" spans="1:19" ht="12.75">
      <c r="A232" s="21"/>
      <c r="B232" s="22"/>
      <c r="C232" s="23" t="s">
        <v>4</v>
      </c>
      <c r="D232" s="24">
        <f>D228+D214</f>
        <v>4372554</v>
      </c>
      <c r="E232" s="24">
        <f>E228+E214</f>
        <v>4393355.6</v>
      </c>
      <c r="F232" s="24">
        <f aca="true" t="shared" si="91" ref="F232:K232">F228+F214</f>
        <v>1051088.5</v>
      </c>
      <c r="G232" s="24">
        <f t="shared" si="91"/>
        <v>1051088.5</v>
      </c>
      <c r="H232" s="24">
        <f t="shared" si="91"/>
        <v>1255251.6</v>
      </c>
      <c r="I232" s="24">
        <f t="shared" si="91"/>
        <v>1016328.9999999999</v>
      </c>
      <c r="J232" s="24">
        <f t="shared" si="91"/>
        <v>1070686.5</v>
      </c>
      <c r="K232" s="24">
        <f t="shared" si="91"/>
        <v>273119.80000000005</v>
      </c>
      <c r="L232" s="27" t="e">
        <f>K232/#REF!*100</f>
        <v>#REF!</v>
      </c>
      <c r="M232" s="27">
        <f>K232/I232*100</f>
        <v>26.873168039089713</v>
      </c>
      <c r="N232" s="48"/>
      <c r="O232" s="49" t="e">
        <f>J232+#REF!+#REF!</f>
        <v>#REF!</v>
      </c>
      <c r="P232" s="36">
        <f t="shared" si="89"/>
        <v>25.508848761985888</v>
      </c>
      <c r="Q232" s="27">
        <f t="shared" si="86"/>
        <v>25.984472287538114</v>
      </c>
      <c r="R232" s="24">
        <f t="shared" si="87"/>
        <v>6.216655897373753</v>
      </c>
      <c r="S232" s="24">
        <f t="shared" si="79"/>
        <v>6.2462304639348085</v>
      </c>
    </row>
    <row r="233" spans="3:9" ht="12.75">
      <c r="C233" s="8"/>
      <c r="D233" s="8"/>
      <c r="E233" s="8"/>
      <c r="F233" s="8"/>
      <c r="G233" s="8"/>
      <c r="H233" s="8"/>
      <c r="I233" s="2"/>
    </row>
    <row r="234" spans="3:12" ht="12.75">
      <c r="C234" s="9" t="s">
        <v>59</v>
      </c>
      <c r="D234" s="9"/>
      <c r="E234" s="9"/>
      <c r="F234" s="9"/>
      <c r="G234" s="9"/>
      <c r="H234" s="9"/>
      <c r="I234" s="3"/>
      <c r="J234" s="3"/>
      <c r="K234" s="5"/>
      <c r="L234" s="5"/>
    </row>
    <row r="235" spans="3:13" ht="12.75" hidden="1">
      <c r="C235" s="9"/>
      <c r="D235" s="9"/>
      <c r="E235" s="9"/>
      <c r="F235" s="9"/>
      <c r="G235" s="9"/>
      <c r="H235" s="9"/>
      <c r="I235" s="3" t="s">
        <v>62</v>
      </c>
      <c r="J235" s="3">
        <f>J234-J214</f>
        <v>-296147.1</v>
      </c>
      <c r="K235" s="4"/>
      <c r="L235" s="5"/>
      <c r="M235" s="2" t="e">
        <f>O27+O43+O61+O78+O96+O112+O129+O146+O163+O180+O196+O211-#REF!-#REF!-#REF!-#REF!-#REF!-#REF!-#REF!-#REF!-#REF!-#REF!-#REF!-#REF!-5301.3-7951.9-535.1-7243.1</f>
        <v>#REF!</v>
      </c>
    </row>
    <row r="236" spans="1:13" ht="12.75" hidden="1">
      <c r="A236" s="2"/>
      <c r="C236" s="9"/>
      <c r="D236" s="9"/>
      <c r="E236" s="9"/>
      <c r="F236" s="9"/>
      <c r="G236" s="9"/>
      <c r="H236" s="9"/>
      <c r="I236" s="6"/>
      <c r="J236" s="3"/>
      <c r="K236" s="5"/>
      <c r="L236" s="5"/>
      <c r="M236" s="2" t="e">
        <f>O232-M235</f>
        <v>#REF!</v>
      </c>
    </row>
    <row r="237" spans="3:12" ht="12.75" hidden="1">
      <c r="C237" s="10"/>
      <c r="D237" s="10"/>
      <c r="E237" s="10"/>
      <c r="F237" s="10"/>
      <c r="G237" s="10"/>
      <c r="H237" s="10"/>
      <c r="I237" s="3"/>
      <c r="J237" s="3">
        <f>J236-J228</f>
        <v>-774539.3999999999</v>
      </c>
      <c r="K237" s="5"/>
      <c r="L237" s="5"/>
    </row>
    <row r="238" spans="3:12" ht="12.75" hidden="1">
      <c r="C238" s="10"/>
      <c r="D238" s="10"/>
      <c r="E238" s="10"/>
      <c r="F238" s="10"/>
      <c r="G238" s="10"/>
      <c r="H238" s="10"/>
      <c r="I238" s="6"/>
      <c r="J238" s="3" t="e">
        <f>#REF!+#REF!+#REF!+#REF!+#REF!+#REF!+#REF!+#REF!+#REF!+#REF!</f>
        <v>#REF!</v>
      </c>
      <c r="K238" s="5"/>
      <c r="L238" s="5"/>
    </row>
    <row r="239" spans="1:12" ht="12.75" hidden="1">
      <c r="A239" s="2">
        <f>J214+J228</f>
        <v>1070686.5</v>
      </c>
      <c r="C239" s="11"/>
      <c r="D239" s="11"/>
      <c r="E239" s="11"/>
      <c r="F239" s="11"/>
      <c r="G239" s="11"/>
      <c r="H239" s="11"/>
      <c r="I239" s="6"/>
      <c r="J239" s="3" t="e">
        <f>J238-#REF!</f>
        <v>#REF!</v>
      </c>
      <c r="K239" s="5"/>
      <c r="L239" s="5"/>
    </row>
    <row r="240" spans="1:12" ht="12.75" hidden="1">
      <c r="A240" s="2" t="e">
        <f>#REF!+#REF!</f>
        <v>#REF!</v>
      </c>
      <c r="C240" s="10"/>
      <c r="D240" s="10"/>
      <c r="E240" s="10"/>
      <c r="F240" s="10"/>
      <c r="G240" s="10"/>
      <c r="H240" s="10"/>
      <c r="I240" s="6"/>
      <c r="J240" s="3" t="e">
        <f>J234+J236+J238</f>
        <v>#REF!</v>
      </c>
      <c r="K240" s="5"/>
      <c r="L240" s="5"/>
    </row>
    <row r="241" spans="1:12" ht="12.75" hidden="1">
      <c r="A241" s="2" t="e">
        <f>J214+#REF!</f>
        <v>#REF!</v>
      </c>
      <c r="C241" s="9"/>
      <c r="D241" s="9"/>
      <c r="E241" s="9"/>
      <c r="F241" s="9"/>
      <c r="G241" s="9"/>
      <c r="H241" s="9"/>
      <c r="I241" s="6"/>
      <c r="J241" s="3">
        <f>J27+J43+J61+J78+J96+J112+J129+J146+J163+J180+J196+J211-J209-J194-J177-J160-J142-J127-J109-J93-J75-J40-J57</f>
        <v>1081432.2999999998</v>
      </c>
      <c r="K241" s="5"/>
      <c r="L241" s="5"/>
    </row>
    <row r="242" spans="1:12" ht="12.75" hidden="1">
      <c r="A242" s="2" t="e">
        <f>J228+#REF!</f>
        <v>#REF!</v>
      </c>
      <c r="C242" s="9"/>
      <c r="D242" s="9"/>
      <c r="E242" s="9"/>
      <c r="F242" s="9"/>
      <c r="G242" s="9"/>
      <c r="H242" s="9"/>
      <c r="I242" s="6"/>
      <c r="J242" s="3">
        <f>J241-J232</f>
        <v>10745.799999999814</v>
      </c>
      <c r="K242" s="5"/>
      <c r="L242" s="5"/>
    </row>
    <row r="243" spans="3:12" ht="12.75" hidden="1">
      <c r="C243" s="9"/>
      <c r="D243" s="9"/>
      <c r="E243" s="9"/>
      <c r="F243" s="9"/>
      <c r="G243" s="9"/>
      <c r="H243" s="9"/>
      <c r="I243" s="6"/>
      <c r="J243" s="3"/>
      <c r="K243" s="5"/>
      <c r="L243" s="5"/>
    </row>
    <row r="244" spans="3:12" ht="12.75" hidden="1">
      <c r="C244" s="8"/>
      <c r="D244" s="8"/>
      <c r="E244" s="8"/>
      <c r="F244" s="8"/>
      <c r="G244" s="8"/>
      <c r="H244" s="8"/>
      <c r="I244" s="5"/>
      <c r="J244" s="4"/>
      <c r="K244" s="5"/>
      <c r="L244" s="5"/>
    </row>
    <row r="245" spans="3:12" ht="12.75">
      <c r="C245" s="8"/>
      <c r="D245" s="8"/>
      <c r="E245" s="8"/>
      <c r="F245" s="50"/>
      <c r="G245" s="50">
        <f>G8+G30+G46+G64+G81+G99+G115+G132+G149+G166+G183+G199</f>
        <v>258756.69999999998</v>
      </c>
      <c r="H245" s="50">
        <f>H8+H30+H46+H64+H81+H99+H115+H132+H149+H166+H183+H199</f>
        <v>282299.1</v>
      </c>
      <c r="I245" s="50">
        <f>I8+I30+I46+I64+I81+I99+I115+I132+I149+I166+I183+I199</f>
        <v>241116.69999999995</v>
      </c>
      <c r="J245" s="50">
        <f>J8+J30+J46+J64+J81+J99+J115+J132+J149+J166+J183+J199</f>
        <v>296147.10000000003</v>
      </c>
      <c r="K245" s="50"/>
      <c r="L245" s="5"/>
    </row>
    <row r="246" spans="3:12" ht="12.75">
      <c r="C246" s="8"/>
      <c r="D246" s="8"/>
      <c r="E246" s="8"/>
      <c r="F246" s="8"/>
      <c r="G246" s="8"/>
      <c r="H246" s="8"/>
      <c r="I246" s="5"/>
      <c r="J246" s="4"/>
      <c r="K246" s="5"/>
      <c r="L246" s="5"/>
    </row>
    <row r="247" spans="3:12" ht="12.75">
      <c r="C247" s="8"/>
      <c r="D247" s="50"/>
      <c r="E247" s="50"/>
      <c r="F247" s="8"/>
      <c r="G247" s="50"/>
      <c r="H247" s="50"/>
      <c r="I247" s="50"/>
      <c r="J247" s="50"/>
      <c r="K247" s="50"/>
      <c r="L247" s="5"/>
    </row>
    <row r="248" spans="4:12" ht="12.75">
      <c r="D248" s="2"/>
      <c r="E248" s="2"/>
      <c r="F248" s="2"/>
      <c r="G248" s="2">
        <f>G41+G58+G76+G94+G110+G128+G143+G161+G178+G195+G210</f>
        <v>106352.79999999999</v>
      </c>
      <c r="H248" s="2">
        <f>H41+H58+H76+H94+H110+H128+H143+H161+H178+H195+H210</f>
        <v>87797.79999999999</v>
      </c>
      <c r="I248" s="2">
        <f>I41+I58+I76+I94+I110+I128+I143+I161+I178+I195+I210</f>
        <v>86266.69999999998</v>
      </c>
      <c r="J248" s="2">
        <f>J41+J58+J76+J94+J110+J128+J143+J161+J178+J195+J210</f>
        <v>81332</v>
      </c>
      <c r="K248" s="2"/>
      <c r="L248" s="5"/>
    </row>
    <row r="249" spans="9:12" ht="12.75">
      <c r="I249" s="5"/>
      <c r="J249" s="4"/>
      <c r="K249" s="5"/>
      <c r="L249" s="5"/>
    </row>
    <row r="250" spans="9:12" ht="12.75"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4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5"/>
      <c r="J253" s="4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5"/>
      <c r="J254" s="4"/>
      <c r="K254" s="5"/>
      <c r="L254" s="5"/>
    </row>
    <row r="255" spans="3:12" ht="12.75">
      <c r="C255" s="8"/>
      <c r="D255" s="8"/>
      <c r="E255" s="8"/>
      <c r="F255" s="8"/>
      <c r="G255" s="8"/>
      <c r="H255" s="8"/>
      <c r="I255" s="4"/>
      <c r="J255" s="4"/>
      <c r="K255" s="4"/>
      <c r="L255" s="5"/>
    </row>
    <row r="256" spans="3:12" ht="12.75">
      <c r="C256" s="8"/>
      <c r="D256" s="8"/>
      <c r="E256" s="8"/>
      <c r="F256" s="8"/>
      <c r="G256" s="8"/>
      <c r="H256" s="8"/>
      <c r="I256" s="5"/>
      <c r="J256" s="5"/>
      <c r="K256" s="5"/>
      <c r="L256" s="5"/>
    </row>
    <row r="257" spans="3:12" ht="12.75">
      <c r="C257" s="8"/>
      <c r="D257" s="8"/>
      <c r="E257" s="8"/>
      <c r="F257" s="8"/>
      <c r="G257" s="8"/>
      <c r="H257" s="8"/>
      <c r="I257" s="7"/>
      <c r="J257" s="4"/>
      <c r="K257" s="5"/>
      <c r="L257" s="5"/>
    </row>
  </sheetData>
  <sheetProtection password="CF7A" sheet="1"/>
  <mergeCells count="43">
    <mergeCell ref="A2:M2"/>
    <mergeCell ref="A97:M97"/>
    <mergeCell ref="A113:M113"/>
    <mergeCell ref="C44:M44"/>
    <mergeCell ref="A28:M28"/>
    <mergeCell ref="A7:S7"/>
    <mergeCell ref="A62:M62"/>
    <mergeCell ref="R4:R6"/>
    <mergeCell ref="A45:S45"/>
    <mergeCell ref="A29:S29"/>
    <mergeCell ref="A1:S1"/>
    <mergeCell ref="A213:S213"/>
    <mergeCell ref="A198:S198"/>
    <mergeCell ref="A182:S182"/>
    <mergeCell ref="A165:S165"/>
    <mergeCell ref="A148:S148"/>
    <mergeCell ref="A131:S131"/>
    <mergeCell ref="D4:D6"/>
    <mergeCell ref="S4:S6"/>
    <mergeCell ref="F4:F6"/>
    <mergeCell ref="A212:M212"/>
    <mergeCell ref="A197:M197"/>
    <mergeCell ref="A164:M164"/>
    <mergeCell ref="K4:K6"/>
    <mergeCell ref="H4:H6"/>
    <mergeCell ref="L4:L6"/>
    <mergeCell ref="M4:M6"/>
    <mergeCell ref="A98:S98"/>
    <mergeCell ref="A80:S80"/>
    <mergeCell ref="E4:E6"/>
    <mergeCell ref="A181:M181"/>
    <mergeCell ref="A147:M147"/>
    <mergeCell ref="A63:S63"/>
    <mergeCell ref="A114:S114"/>
    <mergeCell ref="A79:M79"/>
    <mergeCell ref="N4:N6"/>
    <mergeCell ref="O4:O6"/>
    <mergeCell ref="Q4:Q6"/>
    <mergeCell ref="A130:M130"/>
    <mergeCell ref="I4:I6"/>
    <mergeCell ref="J4:J6"/>
    <mergeCell ref="G4:G6"/>
    <mergeCell ref="P4:P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18">
      <selection activeCell="I132" sqref="I132"/>
    </sheetView>
  </sheetViews>
  <sheetFormatPr defaultColWidth="9.00390625" defaultRowHeight="12.75"/>
  <cols>
    <col min="2" max="2" width="36.75390625" style="0" customWidth="1"/>
    <col min="3" max="3" width="15.625" style="0" customWidth="1"/>
    <col min="4" max="4" width="16.625" style="0" customWidth="1"/>
    <col min="6" max="6" width="14.875" style="0" customWidth="1"/>
    <col min="7" max="7" width="14.125" style="0" customWidth="1"/>
    <col min="9" max="9" width="18.625" style="0" customWidth="1"/>
    <col min="10" max="10" width="12.875" style="0" customWidth="1"/>
  </cols>
  <sheetData>
    <row r="1" spans="1:11" ht="15.75">
      <c r="A1" s="105" t="s">
        <v>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3.5" thickBot="1">
      <c r="A2" s="106"/>
      <c r="B2" s="107"/>
      <c r="C2" s="108"/>
      <c r="D2" s="109"/>
      <c r="E2" s="110"/>
      <c r="F2" s="111"/>
      <c r="G2" s="111"/>
      <c r="H2" s="112"/>
      <c r="I2" s="113"/>
      <c r="J2" s="114"/>
      <c r="K2" s="115"/>
    </row>
    <row r="3" spans="1:11" ht="15">
      <c r="A3" s="116" t="s">
        <v>90</v>
      </c>
      <c r="B3" s="117" t="s">
        <v>91</v>
      </c>
      <c r="C3" s="118" t="s">
        <v>92</v>
      </c>
      <c r="D3" s="118"/>
      <c r="E3" s="118"/>
      <c r="F3" s="119" t="s">
        <v>93</v>
      </c>
      <c r="G3" s="119"/>
      <c r="H3" s="119"/>
      <c r="I3" s="120" t="s">
        <v>94</v>
      </c>
      <c r="J3" s="120"/>
      <c r="K3" s="121"/>
    </row>
    <row r="4" spans="1:11" ht="12.75">
      <c r="A4" s="122"/>
      <c r="B4" s="123"/>
      <c r="C4" s="124" t="s">
        <v>95</v>
      </c>
      <c r="D4" s="124" t="s">
        <v>96</v>
      </c>
      <c r="E4" s="125" t="s">
        <v>97</v>
      </c>
      <c r="F4" s="124" t="s">
        <v>95</v>
      </c>
      <c r="G4" s="124" t="s">
        <v>96</v>
      </c>
      <c r="H4" s="126" t="s">
        <v>97</v>
      </c>
      <c r="I4" s="127" t="s">
        <v>95</v>
      </c>
      <c r="J4" s="128" t="s">
        <v>98</v>
      </c>
      <c r="K4" s="129" t="s">
        <v>97</v>
      </c>
    </row>
    <row r="5" spans="1:11" ht="12.75">
      <c r="A5" s="122"/>
      <c r="B5" s="123"/>
      <c r="C5" s="130"/>
      <c r="D5" s="124"/>
      <c r="E5" s="131"/>
      <c r="F5" s="130"/>
      <c r="G5" s="124"/>
      <c r="H5" s="132"/>
      <c r="I5" s="133"/>
      <c r="J5" s="128"/>
      <c r="K5" s="134"/>
    </row>
    <row r="6" spans="1:11" ht="12.75">
      <c r="A6" s="122"/>
      <c r="B6" s="135" t="s">
        <v>99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1:11" ht="12.75">
      <c r="A7" s="122"/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1" ht="12.75">
      <c r="A8" s="122"/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ht="71.25">
      <c r="A9" s="137" t="s">
        <v>100</v>
      </c>
      <c r="B9" s="138" t="s">
        <v>101</v>
      </c>
      <c r="C9" s="139">
        <f>SUM(C10:C17)</f>
        <v>431055</v>
      </c>
      <c r="D9" s="139">
        <f>SUM(D10:D17)</f>
        <v>30695</v>
      </c>
      <c r="E9" s="139">
        <f>D9/C9*100</f>
        <v>7.120901045110253</v>
      </c>
      <c r="F9" s="139">
        <f>F10+F11+F12+F13+F14+F16+F17+F15</f>
        <v>195844.59999999998</v>
      </c>
      <c r="G9" s="139">
        <f>SUM(G10:G17)</f>
        <v>17166.399999999998</v>
      </c>
      <c r="H9" s="140">
        <f>G9/F9*100</f>
        <v>8.765316991124596</v>
      </c>
      <c r="I9" s="139">
        <f>SUM(I10:I17)</f>
        <v>610939.5999999999</v>
      </c>
      <c r="J9" s="139">
        <f>SUM(J10:J17)</f>
        <v>47861.399999999994</v>
      </c>
      <c r="K9" s="141">
        <f>J9/I9*100</f>
        <v>7.834064120250186</v>
      </c>
    </row>
    <row r="10" spans="1:11" ht="105">
      <c r="A10" s="142" t="s">
        <v>102</v>
      </c>
      <c r="B10" s="143" t="s">
        <v>103</v>
      </c>
      <c r="C10" s="144">
        <v>4678.7</v>
      </c>
      <c r="D10" s="144">
        <v>447.7</v>
      </c>
      <c r="E10" s="145">
        <f>D10/C10*100</f>
        <v>9.568897343279117</v>
      </c>
      <c r="F10" s="146">
        <v>44009</v>
      </c>
      <c r="G10" s="146">
        <v>4802.2</v>
      </c>
      <c r="H10" s="147">
        <f>G10/F10*100</f>
        <v>10.911858937944512</v>
      </c>
      <c r="I10" s="148">
        <f>C10+F10</f>
        <v>48687.7</v>
      </c>
      <c r="J10" s="149">
        <f>D10+G10</f>
        <v>5249.9</v>
      </c>
      <c r="K10" s="150">
        <f aca="true" t="shared" si="0" ref="K10:K99">J10/I10*100</f>
        <v>10.782805513507517</v>
      </c>
    </row>
    <row r="11" spans="1:11" ht="150">
      <c r="A11" s="142" t="s">
        <v>104</v>
      </c>
      <c r="B11" s="143" t="s">
        <v>105</v>
      </c>
      <c r="C11" s="144">
        <v>8538.4</v>
      </c>
      <c r="D11" s="144">
        <v>705.8</v>
      </c>
      <c r="E11" s="145">
        <f aca="true" t="shared" si="1" ref="E11:E19">D11/C11*100</f>
        <v>8.266185702239296</v>
      </c>
      <c r="F11" s="146">
        <v>0</v>
      </c>
      <c r="G11" s="146"/>
      <c r="H11" s="147">
        <v>0</v>
      </c>
      <c r="I11" s="148">
        <f>C11+F11</f>
        <v>8538.4</v>
      </c>
      <c r="J11" s="149">
        <f>D11+G11</f>
        <v>705.8</v>
      </c>
      <c r="K11" s="150">
        <f t="shared" si="0"/>
        <v>8.266185702239296</v>
      </c>
    </row>
    <row r="12" spans="1:11" ht="120">
      <c r="A12" s="142" t="s">
        <v>106</v>
      </c>
      <c r="B12" s="143" t="s">
        <v>107</v>
      </c>
      <c r="C12" s="144">
        <v>174563</v>
      </c>
      <c r="D12" s="144">
        <v>18156.3</v>
      </c>
      <c r="E12" s="145">
        <f t="shared" si="1"/>
        <v>10.401001357676025</v>
      </c>
      <c r="F12" s="146">
        <v>126201.5</v>
      </c>
      <c r="G12" s="146">
        <v>11751.9</v>
      </c>
      <c r="H12" s="147">
        <f>G12/F12*100</f>
        <v>9.312012931700494</v>
      </c>
      <c r="I12" s="151">
        <f>C12+F12-6300</f>
        <v>294464.5</v>
      </c>
      <c r="J12" s="149">
        <f>D12+G12</f>
        <v>29908.199999999997</v>
      </c>
      <c r="K12" s="150">
        <f t="shared" si="0"/>
        <v>10.156810073879873</v>
      </c>
    </row>
    <row r="13" spans="1:11" ht="45">
      <c r="A13" s="142" t="s">
        <v>108</v>
      </c>
      <c r="B13" s="143" t="s">
        <v>109</v>
      </c>
      <c r="C13" s="144">
        <v>13.1</v>
      </c>
      <c r="D13" s="144"/>
      <c r="E13" s="145">
        <f t="shared" si="1"/>
        <v>0</v>
      </c>
      <c r="F13" s="146">
        <v>0</v>
      </c>
      <c r="G13" s="146"/>
      <c r="H13" s="147">
        <v>0</v>
      </c>
      <c r="I13" s="148">
        <f>C13+F13</f>
        <v>13.1</v>
      </c>
      <c r="J13" s="149">
        <f>D13+G13</f>
        <v>0</v>
      </c>
      <c r="K13" s="150">
        <f t="shared" si="0"/>
        <v>0</v>
      </c>
    </row>
    <row r="14" spans="1:11" ht="105">
      <c r="A14" s="142" t="s">
        <v>110</v>
      </c>
      <c r="B14" s="143" t="s">
        <v>111</v>
      </c>
      <c r="C14" s="144">
        <v>34572</v>
      </c>
      <c r="D14" s="144">
        <v>3601.6</v>
      </c>
      <c r="E14" s="145">
        <f t="shared" si="1"/>
        <v>10.417679046627327</v>
      </c>
      <c r="F14" s="146">
        <v>0</v>
      </c>
      <c r="G14" s="146"/>
      <c r="H14" s="147">
        <v>0</v>
      </c>
      <c r="I14" s="148">
        <f>C14+F14</f>
        <v>34572</v>
      </c>
      <c r="J14" s="152">
        <f>D14+G14</f>
        <v>3601.6</v>
      </c>
      <c r="K14" s="150">
        <f t="shared" si="0"/>
        <v>10.417679046627327</v>
      </c>
    </row>
    <row r="15" spans="1:11" ht="120">
      <c r="A15" s="142" t="s">
        <v>112</v>
      </c>
      <c r="B15" s="143" t="s">
        <v>113</v>
      </c>
      <c r="C15" s="144"/>
      <c r="D15" s="144"/>
      <c r="E15" s="145"/>
      <c r="F15" s="146">
        <v>1362.3</v>
      </c>
      <c r="G15" s="146"/>
      <c r="H15" s="147">
        <f>G15/F15*100</f>
        <v>0</v>
      </c>
      <c r="I15" s="148">
        <f>C15+F15</f>
        <v>1362.3</v>
      </c>
      <c r="J15" s="149">
        <f>D15+G15</f>
        <v>0</v>
      </c>
      <c r="K15" s="150">
        <f t="shared" si="0"/>
        <v>0</v>
      </c>
    </row>
    <row r="16" spans="1:11" ht="30">
      <c r="A16" s="153" t="s">
        <v>114</v>
      </c>
      <c r="B16" s="143" t="s">
        <v>115</v>
      </c>
      <c r="C16" s="144">
        <v>23326.3</v>
      </c>
      <c r="D16" s="144">
        <v>0</v>
      </c>
      <c r="E16" s="145">
        <f t="shared" si="1"/>
        <v>0</v>
      </c>
      <c r="F16" s="146">
        <v>950</v>
      </c>
      <c r="G16" s="146"/>
      <c r="H16" s="147">
        <f>G16/F16*100</f>
        <v>0</v>
      </c>
      <c r="I16" s="148">
        <f>C16+F16</f>
        <v>24276.3</v>
      </c>
      <c r="J16" s="149">
        <f>D16+G16</f>
        <v>0</v>
      </c>
      <c r="K16" s="150">
        <f t="shared" si="0"/>
        <v>0</v>
      </c>
    </row>
    <row r="17" spans="1:11" ht="75">
      <c r="A17" s="142" t="s">
        <v>116</v>
      </c>
      <c r="B17" s="143" t="s">
        <v>117</v>
      </c>
      <c r="C17" s="144">
        <v>185363.5</v>
      </c>
      <c r="D17" s="144">
        <v>7783.6</v>
      </c>
      <c r="E17" s="145">
        <f t="shared" si="1"/>
        <v>4.1991006859494995</v>
      </c>
      <c r="F17" s="146">
        <v>23321.8</v>
      </c>
      <c r="G17" s="146">
        <v>612.3</v>
      </c>
      <c r="H17" s="147">
        <f>G17/F17*100</f>
        <v>2.6254405749127425</v>
      </c>
      <c r="I17" s="154">
        <f>C17+F17-9660</f>
        <v>199025.3</v>
      </c>
      <c r="J17" s="151">
        <f>D17+G17</f>
        <v>8395.9</v>
      </c>
      <c r="K17" s="150">
        <f t="shared" si="0"/>
        <v>4.21850890313945</v>
      </c>
    </row>
    <row r="18" spans="1:11" ht="42.75">
      <c r="A18" s="137" t="s">
        <v>118</v>
      </c>
      <c r="B18" s="138" t="s">
        <v>119</v>
      </c>
      <c r="C18" s="139">
        <f aca="true" t="shared" si="2" ref="C18:J18">C19</f>
        <v>3723</v>
      </c>
      <c r="D18" s="139">
        <f t="shared" si="2"/>
        <v>0</v>
      </c>
      <c r="E18" s="139">
        <f t="shared" si="2"/>
        <v>0</v>
      </c>
      <c r="F18" s="139">
        <f t="shared" si="2"/>
        <v>3723</v>
      </c>
      <c r="G18" s="139">
        <f t="shared" si="2"/>
        <v>0</v>
      </c>
      <c r="H18" s="155">
        <f t="shared" si="2"/>
        <v>0</v>
      </c>
      <c r="I18" s="139">
        <f>I19</f>
        <v>3723</v>
      </c>
      <c r="J18" s="139">
        <f t="shared" si="2"/>
        <v>0</v>
      </c>
      <c r="K18" s="156">
        <f t="shared" si="0"/>
        <v>0</v>
      </c>
    </row>
    <row r="19" spans="1:11" ht="60">
      <c r="A19" s="142" t="s">
        <v>120</v>
      </c>
      <c r="B19" s="143" t="s">
        <v>121</v>
      </c>
      <c r="C19" s="144">
        <v>3723</v>
      </c>
      <c r="D19" s="144"/>
      <c r="E19" s="145">
        <f t="shared" si="1"/>
        <v>0</v>
      </c>
      <c r="F19" s="146">
        <v>3723</v>
      </c>
      <c r="G19" s="146"/>
      <c r="H19" s="147">
        <f>G19/F19*100</f>
        <v>0</v>
      </c>
      <c r="I19" s="151">
        <f>C19+F19-3723</f>
        <v>3723</v>
      </c>
      <c r="J19" s="151">
        <f>D19+G19</f>
        <v>0</v>
      </c>
      <c r="K19" s="150">
        <f t="shared" si="0"/>
        <v>0</v>
      </c>
    </row>
    <row r="20" spans="1:11" ht="12.75">
      <c r="A20" s="157" t="s">
        <v>122</v>
      </c>
      <c r="B20" s="158" t="s">
        <v>123</v>
      </c>
      <c r="C20" s="159">
        <f>C23+C24+C22</f>
        <v>18131.4</v>
      </c>
      <c r="D20" s="159">
        <f>D23+D24+D22</f>
        <v>0</v>
      </c>
      <c r="E20" s="159">
        <f>D20/C20*100</f>
        <v>0</v>
      </c>
      <c r="F20" s="159">
        <f>F23+F24+F22</f>
        <v>11308.8</v>
      </c>
      <c r="G20" s="159">
        <f>G23+G24+G22</f>
        <v>0</v>
      </c>
      <c r="H20" s="159">
        <f>G20/F20*100</f>
        <v>0</v>
      </c>
      <c r="I20" s="159">
        <f>I23+I24+I22</f>
        <v>21348.100000000002</v>
      </c>
      <c r="J20" s="159">
        <f>SUM(J22:J24)</f>
        <v>0</v>
      </c>
      <c r="K20" s="159">
        <f>J20/I20*100</f>
        <v>0</v>
      </c>
    </row>
    <row r="21" spans="1:11" ht="12.75">
      <c r="A21" s="157"/>
      <c r="B21" s="158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5">
      <c r="A22" s="153" t="s">
        <v>124</v>
      </c>
      <c r="B22" s="143" t="s">
        <v>125</v>
      </c>
      <c r="C22" s="144">
        <v>4872.7</v>
      </c>
      <c r="D22" s="144"/>
      <c r="E22" s="145">
        <f aca="true" t="shared" si="3" ref="E22:E110">D22/C22*100</f>
        <v>0</v>
      </c>
      <c r="F22" s="146">
        <v>915.9</v>
      </c>
      <c r="G22" s="146"/>
      <c r="H22" s="147">
        <f>G22/F22*100</f>
        <v>0</v>
      </c>
      <c r="I22" s="151">
        <f>C22+F22-915.9</f>
        <v>4872.7</v>
      </c>
      <c r="J22" s="151">
        <f>D22+G22</f>
        <v>0</v>
      </c>
      <c r="K22" s="150">
        <f>J22/I22*100</f>
        <v>0</v>
      </c>
    </row>
    <row r="23" spans="1:11" ht="105">
      <c r="A23" s="142" t="s">
        <v>126</v>
      </c>
      <c r="B23" s="143" t="s">
        <v>127</v>
      </c>
      <c r="C23" s="144">
        <v>11624.6</v>
      </c>
      <c r="D23" s="144"/>
      <c r="E23" s="145">
        <f t="shared" si="3"/>
        <v>0</v>
      </c>
      <c r="F23" s="146">
        <v>10105.4</v>
      </c>
      <c r="G23" s="146"/>
      <c r="H23" s="147">
        <f>G23/F23*100</f>
        <v>0</v>
      </c>
      <c r="I23" s="151">
        <f>C23+F23-6939.6</f>
        <v>14790.4</v>
      </c>
      <c r="J23" s="151">
        <f>D23+G23</f>
        <v>0</v>
      </c>
      <c r="K23" s="150">
        <f>J23/I23*100</f>
        <v>0</v>
      </c>
    </row>
    <row r="24" spans="1:11" ht="195">
      <c r="A24" s="153" t="s">
        <v>128</v>
      </c>
      <c r="B24" s="143" t="s">
        <v>129</v>
      </c>
      <c r="C24" s="144">
        <v>1634.1</v>
      </c>
      <c r="D24" s="144"/>
      <c r="E24" s="145">
        <f t="shared" si="3"/>
        <v>0</v>
      </c>
      <c r="F24" s="146">
        <v>287.5</v>
      </c>
      <c r="G24" s="146"/>
      <c r="H24" s="147">
        <f>G24/F24*100</f>
        <v>0</v>
      </c>
      <c r="I24" s="151">
        <f>C24+F24-236.6</f>
        <v>1685</v>
      </c>
      <c r="J24" s="151">
        <f>D24+G24</f>
        <v>0</v>
      </c>
      <c r="K24" s="150">
        <f>J24/I24*100</f>
        <v>0</v>
      </c>
    </row>
    <row r="25" spans="1:11" ht="57">
      <c r="A25" s="137" t="s">
        <v>130</v>
      </c>
      <c r="B25" s="138" t="s">
        <v>131</v>
      </c>
      <c r="C25" s="139">
        <f>SUM(C26:C48)</f>
        <v>152182.29999999996</v>
      </c>
      <c r="D25" s="139">
        <f>SUM(D26:D48)</f>
        <v>9863.3</v>
      </c>
      <c r="E25" s="139">
        <f>D25/C25*100</f>
        <v>6.481239933947641</v>
      </c>
      <c r="F25" s="139">
        <f>SUM(F26:F48)</f>
        <v>85283.6</v>
      </c>
      <c r="G25" s="139">
        <f>SUM(G26:G48)</f>
        <v>1190</v>
      </c>
      <c r="H25" s="140">
        <f>G25/F25*100</f>
        <v>1.3953444742013705</v>
      </c>
      <c r="I25" s="139">
        <f>SUM(I26:I48)</f>
        <v>211396.49999999997</v>
      </c>
      <c r="J25" s="139">
        <f>SUM(J26:J48)</f>
        <v>7070.900000000001</v>
      </c>
      <c r="K25" s="160">
        <f t="shared" si="0"/>
        <v>3.3448519724782586</v>
      </c>
    </row>
    <row r="26" spans="1:11" ht="300">
      <c r="A26" s="153" t="s">
        <v>132</v>
      </c>
      <c r="B26" s="161" t="s">
        <v>133</v>
      </c>
      <c r="C26" s="144">
        <v>10795.9</v>
      </c>
      <c r="D26" s="144">
        <v>4020.6</v>
      </c>
      <c r="E26" s="145">
        <f t="shared" si="3"/>
        <v>37.241915912522344</v>
      </c>
      <c r="F26" s="144">
        <v>3982.4</v>
      </c>
      <c r="G26" s="146">
        <v>882.4</v>
      </c>
      <c r="H26" s="147">
        <f>G26/F26*100</f>
        <v>22.15749296906388</v>
      </c>
      <c r="I26" s="151">
        <f>C26+F26-3982.4</f>
        <v>10795.9</v>
      </c>
      <c r="J26" s="151">
        <f>D26+G26-3982.4</f>
        <v>920.5999999999999</v>
      </c>
      <c r="K26" s="150">
        <f t="shared" si="0"/>
        <v>8.52731129410239</v>
      </c>
    </row>
    <row r="27" spans="1:11" ht="90">
      <c r="A27" s="142" t="s">
        <v>134</v>
      </c>
      <c r="B27" s="143" t="s">
        <v>135</v>
      </c>
      <c r="C27" s="144">
        <v>42773.4</v>
      </c>
      <c r="D27" s="144">
        <v>5429.9</v>
      </c>
      <c r="E27" s="145">
        <f t="shared" si="3"/>
        <v>12.694571860081263</v>
      </c>
      <c r="F27" s="146">
        <v>0</v>
      </c>
      <c r="G27" s="146"/>
      <c r="H27" s="147">
        <v>0</v>
      </c>
      <c r="I27" s="149">
        <f>C27+F27</f>
        <v>42773.4</v>
      </c>
      <c r="J27" s="149">
        <f>D27+G27</f>
        <v>5429.9</v>
      </c>
      <c r="K27" s="150">
        <f t="shared" si="0"/>
        <v>12.694571860081263</v>
      </c>
    </row>
    <row r="28" spans="1:11" ht="90">
      <c r="A28" s="142" t="s">
        <v>136</v>
      </c>
      <c r="B28" s="143" t="s">
        <v>137</v>
      </c>
      <c r="C28" s="144">
        <v>7000</v>
      </c>
      <c r="D28" s="144"/>
      <c r="E28" s="145">
        <f t="shared" si="3"/>
        <v>0</v>
      </c>
      <c r="F28" s="146">
        <v>0</v>
      </c>
      <c r="G28" s="146"/>
      <c r="H28" s="147">
        <v>0</v>
      </c>
      <c r="I28" s="148">
        <f>C28+F28</f>
        <v>7000</v>
      </c>
      <c r="J28" s="149">
        <f>D28+G28</f>
        <v>0</v>
      </c>
      <c r="K28" s="150">
        <f t="shared" si="0"/>
        <v>0</v>
      </c>
    </row>
    <row r="29" spans="1:11" ht="165">
      <c r="A29" s="142" t="s">
        <v>136</v>
      </c>
      <c r="B29" s="143" t="s">
        <v>138</v>
      </c>
      <c r="C29" s="144">
        <v>18607</v>
      </c>
      <c r="D29" s="144"/>
      <c r="E29" s="145">
        <f t="shared" si="3"/>
        <v>0</v>
      </c>
      <c r="F29" s="146">
        <v>12993</v>
      </c>
      <c r="G29" s="146"/>
      <c r="H29" s="147">
        <f>G29/F29*100</f>
        <v>0</v>
      </c>
      <c r="I29" s="151">
        <f>C29+F29-2107</f>
        <v>29493</v>
      </c>
      <c r="J29" s="151">
        <f>D29+G29</f>
        <v>0</v>
      </c>
      <c r="K29" s="150">
        <f t="shared" si="0"/>
        <v>0</v>
      </c>
    </row>
    <row r="30" spans="1:11" ht="75">
      <c r="A30" s="142" t="s">
        <v>136</v>
      </c>
      <c r="B30" s="143" t="s">
        <v>139</v>
      </c>
      <c r="C30" s="144">
        <v>21500</v>
      </c>
      <c r="D30" s="144"/>
      <c r="E30" s="145">
        <f t="shared" si="3"/>
        <v>0</v>
      </c>
      <c r="F30" s="146">
        <v>0</v>
      </c>
      <c r="G30" s="146"/>
      <c r="H30" s="147">
        <v>0</v>
      </c>
      <c r="I30" s="148">
        <f>C30+F30</f>
        <v>21500</v>
      </c>
      <c r="J30" s="149">
        <f>D30+G30</f>
        <v>0</v>
      </c>
      <c r="K30" s="150">
        <f t="shared" si="0"/>
        <v>0</v>
      </c>
    </row>
    <row r="31" spans="1:11" ht="255">
      <c r="A31" s="142" t="s">
        <v>140</v>
      </c>
      <c r="B31" s="162" t="s">
        <v>141</v>
      </c>
      <c r="C31" s="144"/>
      <c r="D31" s="144"/>
      <c r="E31" s="145" t="e">
        <f t="shared" si="3"/>
        <v>#DIV/0!</v>
      </c>
      <c r="F31" s="146"/>
      <c r="G31" s="146"/>
      <c r="H31" s="147" t="e">
        <f aca="true" t="shared" si="4" ref="H31:H40">G31/F31*100</f>
        <v>#DIV/0!</v>
      </c>
      <c r="I31" s="148">
        <f>C31+F31</f>
        <v>0</v>
      </c>
      <c r="J31" s="149">
        <f>D31+G31</f>
        <v>0</v>
      </c>
      <c r="K31" s="150" t="e">
        <f t="shared" si="0"/>
        <v>#DIV/0!</v>
      </c>
    </row>
    <row r="32" spans="1:11" ht="300">
      <c r="A32" s="153" t="s">
        <v>140</v>
      </c>
      <c r="B32" s="162" t="s">
        <v>142</v>
      </c>
      <c r="C32" s="144"/>
      <c r="D32" s="144"/>
      <c r="E32" s="145" t="e">
        <f t="shared" si="3"/>
        <v>#DIV/0!</v>
      </c>
      <c r="F32" s="146"/>
      <c r="G32" s="146"/>
      <c r="H32" s="147" t="e">
        <f t="shared" si="4"/>
        <v>#DIV/0!</v>
      </c>
      <c r="I32" s="151">
        <f>C32+F32</f>
        <v>0</v>
      </c>
      <c r="J32" s="151">
        <f>D32+G32</f>
        <v>0</v>
      </c>
      <c r="K32" s="150" t="e">
        <f t="shared" si="0"/>
        <v>#DIV/0!</v>
      </c>
    </row>
    <row r="33" spans="1:11" ht="240">
      <c r="A33" s="153" t="s">
        <v>140</v>
      </c>
      <c r="B33" s="143" t="s">
        <v>143</v>
      </c>
      <c r="C33" s="144">
        <v>15245</v>
      </c>
      <c r="D33" s="144"/>
      <c r="E33" s="145">
        <f t="shared" si="3"/>
        <v>0</v>
      </c>
      <c r="F33" s="146">
        <v>15245</v>
      </c>
      <c r="G33" s="146"/>
      <c r="H33" s="147">
        <f t="shared" si="4"/>
        <v>0</v>
      </c>
      <c r="I33" s="151">
        <f>C33+F33-15245</f>
        <v>15245</v>
      </c>
      <c r="J33" s="151">
        <f>D33+G33</f>
        <v>0</v>
      </c>
      <c r="K33" s="150">
        <f t="shared" si="0"/>
        <v>0</v>
      </c>
    </row>
    <row r="34" spans="1:11" ht="225">
      <c r="A34" s="153" t="s">
        <v>140</v>
      </c>
      <c r="B34" s="143" t="s">
        <v>144</v>
      </c>
      <c r="C34" s="144"/>
      <c r="D34" s="144"/>
      <c r="E34" s="145" t="e">
        <f t="shared" si="3"/>
        <v>#DIV/0!</v>
      </c>
      <c r="F34" s="146">
        <v>4754.9</v>
      </c>
      <c r="G34" s="146"/>
      <c r="H34" s="147">
        <f t="shared" si="4"/>
        <v>0</v>
      </c>
      <c r="I34" s="149">
        <f>C34+F34</f>
        <v>4754.9</v>
      </c>
      <c r="J34" s="149">
        <f>D34+G34</f>
        <v>0</v>
      </c>
      <c r="K34" s="150">
        <f t="shared" si="0"/>
        <v>0</v>
      </c>
    </row>
    <row r="35" spans="1:11" ht="409.5">
      <c r="A35" s="153" t="s">
        <v>140</v>
      </c>
      <c r="B35" s="143" t="s">
        <v>145</v>
      </c>
      <c r="C35" s="144">
        <v>3500</v>
      </c>
      <c r="D35" s="144"/>
      <c r="E35" s="145">
        <f t="shared" si="3"/>
        <v>0</v>
      </c>
      <c r="F35" s="146">
        <v>3500</v>
      </c>
      <c r="G35" s="146"/>
      <c r="H35" s="147">
        <f t="shared" si="4"/>
        <v>0</v>
      </c>
      <c r="I35" s="151">
        <f>C35+F35-3500</f>
        <v>3500</v>
      </c>
      <c r="J35" s="151">
        <f>D35+G35</f>
        <v>0</v>
      </c>
      <c r="K35" s="150">
        <f t="shared" si="0"/>
        <v>0</v>
      </c>
    </row>
    <row r="36" spans="1:11" ht="225">
      <c r="A36" s="153" t="s">
        <v>140</v>
      </c>
      <c r="B36" s="143" t="s">
        <v>146</v>
      </c>
      <c r="C36" s="144">
        <v>0</v>
      </c>
      <c r="D36" s="144"/>
      <c r="E36" s="145" t="e">
        <f>D36/C36*100</f>
        <v>#DIV/0!</v>
      </c>
      <c r="F36" s="146"/>
      <c r="G36" s="146"/>
      <c r="H36" s="147" t="e">
        <f t="shared" si="4"/>
        <v>#DIV/0!</v>
      </c>
      <c r="I36" s="148">
        <f>C36+F36</f>
        <v>0</v>
      </c>
      <c r="J36" s="149">
        <f>D36+G36</f>
        <v>0</v>
      </c>
      <c r="K36" s="150" t="e">
        <f t="shared" si="0"/>
        <v>#DIV/0!</v>
      </c>
    </row>
    <row r="37" spans="1:11" ht="150">
      <c r="A37" s="153" t="s">
        <v>140</v>
      </c>
      <c r="B37" s="143" t="s">
        <v>147</v>
      </c>
      <c r="C37" s="144"/>
      <c r="D37" s="144"/>
      <c r="E37" s="144" t="e">
        <f t="shared" si="3"/>
        <v>#DIV/0!</v>
      </c>
      <c r="F37" s="146">
        <v>7074.5</v>
      </c>
      <c r="G37" s="146"/>
      <c r="H37" s="147">
        <f t="shared" si="4"/>
        <v>0</v>
      </c>
      <c r="I37" s="148">
        <f>C37+F37</f>
        <v>7074.5</v>
      </c>
      <c r="J37" s="149">
        <f>D37+G37</f>
        <v>0</v>
      </c>
      <c r="K37" s="150">
        <f t="shared" si="0"/>
        <v>0</v>
      </c>
    </row>
    <row r="38" spans="1:11" ht="255">
      <c r="A38" s="153" t="s">
        <v>140</v>
      </c>
      <c r="B38" s="143" t="s">
        <v>148</v>
      </c>
      <c r="C38" s="144"/>
      <c r="D38" s="144"/>
      <c r="E38" s="145"/>
      <c r="F38" s="146">
        <v>32542.9</v>
      </c>
      <c r="G38" s="146"/>
      <c r="H38" s="147">
        <f t="shared" si="4"/>
        <v>0</v>
      </c>
      <c r="I38" s="148">
        <f>C38+F38</f>
        <v>32542.9</v>
      </c>
      <c r="J38" s="149">
        <f>D38+G38</f>
        <v>0</v>
      </c>
      <c r="K38" s="150">
        <f t="shared" si="0"/>
        <v>0</v>
      </c>
    </row>
    <row r="39" spans="1:11" ht="45">
      <c r="A39" s="142" t="s">
        <v>149</v>
      </c>
      <c r="B39" s="143" t="s">
        <v>150</v>
      </c>
      <c r="C39" s="144">
        <v>5580.5</v>
      </c>
      <c r="D39" s="144">
        <v>267.5</v>
      </c>
      <c r="E39" s="145">
        <f t="shared" si="3"/>
        <v>4.793477286981453</v>
      </c>
      <c r="F39" s="146">
        <v>3955.9</v>
      </c>
      <c r="G39" s="146">
        <v>307.6</v>
      </c>
      <c r="H39" s="146">
        <f t="shared" si="4"/>
        <v>7.775727394524634</v>
      </c>
      <c r="I39" s="148">
        <f>C39+F39</f>
        <v>9536.4</v>
      </c>
      <c r="J39" s="149">
        <f>D39+G39</f>
        <v>575.1</v>
      </c>
      <c r="K39" s="150">
        <f t="shared" si="0"/>
        <v>6.0305775764439415</v>
      </c>
    </row>
    <row r="40" spans="1:11" ht="300">
      <c r="A40" s="142" t="s">
        <v>151</v>
      </c>
      <c r="B40" s="162" t="s">
        <v>152</v>
      </c>
      <c r="C40" s="144">
        <v>3350</v>
      </c>
      <c r="D40" s="144">
        <v>21</v>
      </c>
      <c r="E40" s="144">
        <f t="shared" si="3"/>
        <v>0.6268656716417911</v>
      </c>
      <c r="F40" s="146">
        <v>1235</v>
      </c>
      <c r="G40" s="146"/>
      <c r="H40" s="146">
        <f t="shared" si="4"/>
        <v>0</v>
      </c>
      <c r="I40" s="151">
        <f>C40+F40-1235</f>
        <v>3350</v>
      </c>
      <c r="J40" s="151">
        <f>D40+G40</f>
        <v>21</v>
      </c>
      <c r="K40" s="150">
        <f t="shared" si="0"/>
        <v>0.6268656716417911</v>
      </c>
    </row>
    <row r="41" spans="1:11" ht="195">
      <c r="A41" s="142" t="s">
        <v>151</v>
      </c>
      <c r="B41" s="162" t="s">
        <v>153</v>
      </c>
      <c r="C41" s="144">
        <f>12953.4+681.8</f>
        <v>13635.199999999999</v>
      </c>
      <c r="D41" s="144"/>
      <c r="E41" s="144">
        <f t="shared" si="3"/>
        <v>0</v>
      </c>
      <c r="F41" s="146"/>
      <c r="G41" s="146"/>
      <c r="H41" s="146"/>
      <c r="I41" s="148">
        <f>C41+F41</f>
        <v>13635.199999999999</v>
      </c>
      <c r="J41" s="149">
        <f>D41+G41</f>
        <v>0</v>
      </c>
      <c r="K41" s="150">
        <f t="shared" si="0"/>
        <v>0</v>
      </c>
    </row>
    <row r="42" spans="1:11" ht="390">
      <c r="A42" s="142" t="s">
        <v>151</v>
      </c>
      <c r="B42" s="162" t="s">
        <v>154</v>
      </c>
      <c r="C42" s="144">
        <v>1123.4</v>
      </c>
      <c r="D42" s="146"/>
      <c r="E42" s="145">
        <f t="shared" si="3"/>
        <v>0</v>
      </c>
      <c r="F42" s="146">
        <v>0</v>
      </c>
      <c r="G42" s="146"/>
      <c r="H42" s="146">
        <v>0</v>
      </c>
      <c r="I42" s="148">
        <f>C42+F42</f>
        <v>1123.4</v>
      </c>
      <c r="J42" s="149">
        <f>D42+G42</f>
        <v>0</v>
      </c>
      <c r="K42" s="150">
        <f t="shared" si="0"/>
        <v>0</v>
      </c>
    </row>
    <row r="43" spans="1:11" ht="409.5">
      <c r="A43" s="153" t="s">
        <v>151</v>
      </c>
      <c r="B43" s="162" t="s">
        <v>155</v>
      </c>
      <c r="C43" s="144">
        <f>3962+344.5+601.8</f>
        <v>4908.3</v>
      </c>
      <c r="D43" s="146"/>
      <c r="E43" s="144">
        <f t="shared" si="3"/>
        <v>0</v>
      </c>
      <c r="F43" s="146"/>
      <c r="G43" s="146"/>
      <c r="H43" s="146"/>
      <c r="I43" s="148">
        <f>C43+F43</f>
        <v>4908.3</v>
      </c>
      <c r="J43" s="149">
        <f>D43+G43</f>
        <v>0</v>
      </c>
      <c r="K43" s="150">
        <f t="shared" si="0"/>
        <v>0</v>
      </c>
    </row>
    <row r="44" spans="1:11" ht="210">
      <c r="A44" s="153" t="s">
        <v>151</v>
      </c>
      <c r="B44" s="162" t="s">
        <v>156</v>
      </c>
      <c r="C44" s="144">
        <v>1546.5</v>
      </c>
      <c r="D44" s="146">
        <v>124.3</v>
      </c>
      <c r="E44" s="144">
        <f t="shared" si="3"/>
        <v>8.03750404138377</v>
      </c>
      <c r="F44" s="146">
        <v>0</v>
      </c>
      <c r="G44" s="146"/>
      <c r="H44" s="146">
        <v>0</v>
      </c>
      <c r="I44" s="148">
        <f>C44+F44</f>
        <v>1546.5</v>
      </c>
      <c r="J44" s="149">
        <f>D44+G44</f>
        <v>124.3</v>
      </c>
      <c r="K44" s="150">
        <f t="shared" si="0"/>
        <v>8.03750404138377</v>
      </c>
    </row>
    <row r="45" spans="1:11" ht="360">
      <c r="A45" s="153" t="s">
        <v>151</v>
      </c>
      <c r="B45" s="162" t="s">
        <v>157</v>
      </c>
      <c r="C45" s="144">
        <v>2479.8</v>
      </c>
      <c r="D45" s="146"/>
      <c r="E45" s="144">
        <f t="shared" si="3"/>
        <v>0</v>
      </c>
      <c r="F45" s="146"/>
      <c r="G45" s="146"/>
      <c r="H45" s="146"/>
      <c r="I45" s="148">
        <f>C45+F45</f>
        <v>2479.8</v>
      </c>
      <c r="J45" s="149">
        <f>D45+G45</f>
        <v>0</v>
      </c>
      <c r="K45" s="150">
        <f t="shared" si="0"/>
        <v>0</v>
      </c>
    </row>
    <row r="46" spans="1:11" ht="330">
      <c r="A46" s="153" t="s">
        <v>151</v>
      </c>
      <c r="B46" s="162" t="s">
        <v>158</v>
      </c>
      <c r="C46" s="144">
        <v>52.3</v>
      </c>
      <c r="D46" s="146"/>
      <c r="E46" s="144">
        <f t="shared" si="3"/>
        <v>0</v>
      </c>
      <c r="F46" s="146"/>
      <c r="G46" s="146"/>
      <c r="H46" s="146"/>
      <c r="I46" s="148">
        <f>C46+F46</f>
        <v>52.3</v>
      </c>
      <c r="J46" s="149">
        <f>D46+G46</f>
        <v>0</v>
      </c>
      <c r="K46" s="150">
        <f t="shared" si="0"/>
        <v>0</v>
      </c>
    </row>
    <row r="47" spans="1:11" ht="225">
      <c r="A47" s="153" t="s">
        <v>151</v>
      </c>
      <c r="B47" s="162" t="s">
        <v>159</v>
      </c>
      <c r="C47" s="144">
        <v>85</v>
      </c>
      <c r="D47" s="146"/>
      <c r="E47" s="144">
        <f>D47/C47*100</f>
        <v>0</v>
      </c>
      <c r="F47" s="146"/>
      <c r="G47" s="146"/>
      <c r="H47" s="146">
        <v>0</v>
      </c>
      <c r="I47" s="148">
        <f>C47+F47</f>
        <v>85</v>
      </c>
      <c r="J47" s="149">
        <f>D47+G47</f>
        <v>0</v>
      </c>
      <c r="K47" s="150">
        <f t="shared" si="0"/>
        <v>0</v>
      </c>
    </row>
    <row r="48" spans="1:11" ht="195">
      <c r="A48" s="153" t="s">
        <v>151</v>
      </c>
      <c r="B48" s="162" t="s">
        <v>160</v>
      </c>
      <c r="C48" s="144">
        <v>0</v>
      </c>
      <c r="D48" s="146">
        <v>0</v>
      </c>
      <c r="E48" s="144" t="e">
        <f t="shared" si="3"/>
        <v>#DIV/0!</v>
      </c>
      <c r="F48" s="146"/>
      <c r="G48" s="146"/>
      <c r="H48" s="146">
        <v>0</v>
      </c>
      <c r="I48" s="148">
        <f>C48+F48</f>
        <v>0</v>
      </c>
      <c r="J48" s="149">
        <f>D48+G48</f>
        <v>0</v>
      </c>
      <c r="K48" s="150" t="e">
        <f t="shared" si="0"/>
        <v>#DIV/0!</v>
      </c>
    </row>
    <row r="49" spans="1:11" ht="85.5">
      <c r="A49" s="137" t="s">
        <v>161</v>
      </c>
      <c r="B49" s="138" t="s">
        <v>162</v>
      </c>
      <c r="C49" s="139">
        <f>SUM(C50:C84)</f>
        <v>275466.29999999993</v>
      </c>
      <c r="D49" s="139">
        <f>SUM(D50:D84)</f>
        <v>2261.0699999999997</v>
      </c>
      <c r="E49" s="139">
        <f t="shared" si="3"/>
        <v>0.8208154681716059</v>
      </c>
      <c r="F49" s="163">
        <f>SUM(F50:F84)</f>
        <v>125019.40000000001</v>
      </c>
      <c r="G49" s="163">
        <f>SUM(G50:G84)</f>
        <v>4190.8</v>
      </c>
      <c r="H49" s="163">
        <f>G49/F49*100</f>
        <v>3.3521197510146425</v>
      </c>
      <c r="I49" s="139">
        <f>SUM(I50:I84)</f>
        <v>351373.99999999994</v>
      </c>
      <c r="J49" s="139">
        <f>SUM(J50:J84)</f>
        <v>6451.87</v>
      </c>
      <c r="K49" s="141">
        <f t="shared" si="0"/>
        <v>1.836183098351045</v>
      </c>
    </row>
    <row r="50" spans="1:11" ht="390">
      <c r="A50" s="142" t="s">
        <v>163</v>
      </c>
      <c r="B50" s="143" t="s">
        <v>164</v>
      </c>
      <c r="C50" s="144">
        <f>42749.2+3623</f>
        <v>46372.2</v>
      </c>
      <c r="D50" s="144"/>
      <c r="E50" s="145">
        <f t="shared" si="3"/>
        <v>0</v>
      </c>
      <c r="F50" s="146">
        <v>0</v>
      </c>
      <c r="G50" s="146">
        <v>0</v>
      </c>
      <c r="H50" s="147">
        <v>0</v>
      </c>
      <c r="I50" s="148">
        <f>C50+F50</f>
        <v>46372.2</v>
      </c>
      <c r="J50" s="149">
        <f>D50+G50</f>
        <v>0</v>
      </c>
      <c r="K50" s="150">
        <f t="shared" si="0"/>
        <v>0</v>
      </c>
    </row>
    <row r="51" spans="1:11" ht="270">
      <c r="A51" s="142" t="s">
        <v>163</v>
      </c>
      <c r="B51" s="143" t="s">
        <v>165</v>
      </c>
      <c r="C51" s="144">
        <v>1836</v>
      </c>
      <c r="D51" s="144">
        <v>-0.03</v>
      </c>
      <c r="E51" s="145">
        <f t="shared" si="3"/>
        <v>-0.001633986928104575</v>
      </c>
      <c r="F51" s="146"/>
      <c r="G51" s="146"/>
      <c r="H51" s="147">
        <v>0</v>
      </c>
      <c r="I51" s="148">
        <f>C51+F51</f>
        <v>1836</v>
      </c>
      <c r="J51" s="149">
        <f>D51+G51</f>
        <v>-0.03</v>
      </c>
      <c r="K51" s="150">
        <f t="shared" si="0"/>
        <v>-0.001633986928104575</v>
      </c>
    </row>
    <row r="52" spans="1:11" ht="210">
      <c r="A52" s="142" t="s">
        <v>163</v>
      </c>
      <c r="B52" s="143" t="s">
        <v>166</v>
      </c>
      <c r="C52" s="144">
        <v>0</v>
      </c>
      <c r="D52" s="144">
        <v>0</v>
      </c>
      <c r="E52" s="145" t="e">
        <f t="shared" si="3"/>
        <v>#DIV/0!</v>
      </c>
      <c r="F52" s="146"/>
      <c r="G52" s="146"/>
      <c r="H52" s="147">
        <v>0</v>
      </c>
      <c r="I52" s="148">
        <f>C52+F52</f>
        <v>0</v>
      </c>
      <c r="J52" s="149">
        <f>D52+G52</f>
        <v>0</v>
      </c>
      <c r="K52" s="150" t="e">
        <f t="shared" si="0"/>
        <v>#DIV/0!</v>
      </c>
    </row>
    <row r="53" spans="1:11" ht="180">
      <c r="A53" s="142" t="s">
        <v>163</v>
      </c>
      <c r="B53" s="143" t="s">
        <v>167</v>
      </c>
      <c r="C53" s="144"/>
      <c r="D53" s="144"/>
      <c r="E53" s="145" t="e">
        <f t="shared" si="3"/>
        <v>#DIV/0!</v>
      </c>
      <c r="F53" s="146"/>
      <c r="G53" s="146"/>
      <c r="H53" s="147">
        <v>0</v>
      </c>
      <c r="I53" s="148">
        <f>C53+F53</f>
        <v>0</v>
      </c>
      <c r="J53" s="149">
        <f>D53+G53</f>
        <v>0</v>
      </c>
      <c r="K53" s="150" t="e">
        <f t="shared" si="0"/>
        <v>#DIV/0!</v>
      </c>
    </row>
    <row r="54" spans="1:11" ht="270">
      <c r="A54" s="142" t="s">
        <v>163</v>
      </c>
      <c r="B54" s="143" t="s">
        <v>168</v>
      </c>
      <c r="C54" s="144"/>
      <c r="D54" s="144"/>
      <c r="E54" s="145" t="e">
        <f t="shared" si="3"/>
        <v>#DIV/0!</v>
      </c>
      <c r="F54" s="146"/>
      <c r="G54" s="146"/>
      <c r="H54" s="147">
        <v>0</v>
      </c>
      <c r="I54" s="148">
        <f>C54+F54</f>
        <v>0</v>
      </c>
      <c r="J54" s="149">
        <f>D54+G54</f>
        <v>0</v>
      </c>
      <c r="K54" s="150" t="e">
        <f t="shared" si="0"/>
        <v>#DIV/0!</v>
      </c>
    </row>
    <row r="55" spans="1:11" ht="409.5">
      <c r="A55" s="142" t="s">
        <v>163</v>
      </c>
      <c r="B55" s="143" t="s">
        <v>169</v>
      </c>
      <c r="C55" s="144">
        <v>51343.6</v>
      </c>
      <c r="D55" s="144"/>
      <c r="E55" s="145">
        <f t="shared" si="3"/>
        <v>0</v>
      </c>
      <c r="F55" s="146"/>
      <c r="G55" s="146"/>
      <c r="H55" s="147">
        <v>0</v>
      </c>
      <c r="I55" s="148">
        <f>C55+F55</f>
        <v>51343.6</v>
      </c>
      <c r="J55" s="149">
        <f>D55+G55</f>
        <v>0</v>
      </c>
      <c r="K55" s="150">
        <f t="shared" si="0"/>
        <v>0</v>
      </c>
    </row>
    <row r="56" spans="1:11" ht="409.5">
      <c r="A56" s="142" t="s">
        <v>163</v>
      </c>
      <c r="B56" s="143" t="s">
        <v>170</v>
      </c>
      <c r="C56" s="144">
        <v>2226.4</v>
      </c>
      <c r="D56" s="144"/>
      <c r="E56" s="145">
        <f t="shared" si="3"/>
        <v>0</v>
      </c>
      <c r="F56" s="146"/>
      <c r="G56" s="146"/>
      <c r="H56" s="147">
        <v>0</v>
      </c>
      <c r="I56" s="148">
        <f>C56+F56</f>
        <v>2226.4</v>
      </c>
      <c r="J56" s="149">
        <f>D56+G56</f>
        <v>0</v>
      </c>
      <c r="K56" s="150">
        <f t="shared" si="0"/>
        <v>0</v>
      </c>
    </row>
    <row r="57" spans="1:11" ht="409.5">
      <c r="A57" s="142" t="s">
        <v>163</v>
      </c>
      <c r="B57" s="143" t="s">
        <v>171</v>
      </c>
      <c r="C57" s="144">
        <v>33091</v>
      </c>
      <c r="D57" s="144"/>
      <c r="E57" s="145">
        <f t="shared" si="3"/>
        <v>0</v>
      </c>
      <c r="F57" s="146"/>
      <c r="G57" s="146"/>
      <c r="H57" s="147">
        <v>0</v>
      </c>
      <c r="I57" s="148">
        <f>C57+F57</f>
        <v>33091</v>
      </c>
      <c r="J57" s="149">
        <f>D57+G57</f>
        <v>0</v>
      </c>
      <c r="K57" s="150">
        <f t="shared" si="0"/>
        <v>0</v>
      </c>
    </row>
    <row r="58" spans="1:11" ht="270">
      <c r="A58" s="142" t="s">
        <v>163</v>
      </c>
      <c r="B58" s="143" t="s">
        <v>172</v>
      </c>
      <c r="C58" s="144"/>
      <c r="D58" s="144"/>
      <c r="E58" s="145"/>
      <c r="F58" s="146">
        <v>100</v>
      </c>
      <c r="G58" s="146"/>
      <c r="H58" s="147">
        <v>0</v>
      </c>
      <c r="I58" s="148">
        <f>C58+F58</f>
        <v>100</v>
      </c>
      <c r="J58" s="149">
        <f>D58+G58</f>
        <v>0</v>
      </c>
      <c r="K58" s="150">
        <f t="shared" si="0"/>
        <v>0</v>
      </c>
    </row>
    <row r="59" spans="1:11" ht="240">
      <c r="A59" s="153" t="s">
        <v>163</v>
      </c>
      <c r="B59" s="143" t="s">
        <v>173</v>
      </c>
      <c r="C59" s="144"/>
      <c r="D59" s="144"/>
      <c r="E59" s="145" t="e">
        <f t="shared" si="3"/>
        <v>#DIV/0!</v>
      </c>
      <c r="F59" s="146">
        <v>21199.4</v>
      </c>
      <c r="G59" s="146">
        <v>-28</v>
      </c>
      <c r="H59" s="147">
        <f>G59/F59*100</f>
        <v>-0.1320792097889563</v>
      </c>
      <c r="I59" s="148">
        <f>C59+F59</f>
        <v>21199.4</v>
      </c>
      <c r="J59" s="149">
        <f>D59+G59</f>
        <v>-28</v>
      </c>
      <c r="K59" s="150">
        <f t="shared" si="0"/>
        <v>-0.1320792097889563</v>
      </c>
    </row>
    <row r="60" spans="1:11" ht="409.5">
      <c r="A60" s="164" t="s">
        <v>174</v>
      </c>
      <c r="B60" s="143" t="s">
        <v>175</v>
      </c>
      <c r="C60" s="144">
        <v>13274.8</v>
      </c>
      <c r="D60" s="144">
        <v>544.3</v>
      </c>
      <c r="E60" s="145">
        <f t="shared" si="3"/>
        <v>4.100250097929912</v>
      </c>
      <c r="F60" s="146"/>
      <c r="G60" s="146"/>
      <c r="H60" s="147"/>
      <c r="I60" s="148">
        <f>C60+F60</f>
        <v>13274.8</v>
      </c>
      <c r="J60" s="149">
        <f>D60+G60</f>
        <v>544.3</v>
      </c>
      <c r="K60" s="150">
        <f t="shared" si="0"/>
        <v>4.100250097929912</v>
      </c>
    </row>
    <row r="61" spans="1:11" ht="409.5">
      <c r="A61" s="142" t="s">
        <v>174</v>
      </c>
      <c r="B61" s="143" t="s">
        <v>176</v>
      </c>
      <c r="C61" s="144">
        <v>14898</v>
      </c>
      <c r="D61" s="144"/>
      <c r="E61" s="145">
        <f t="shared" si="3"/>
        <v>0</v>
      </c>
      <c r="F61" s="146"/>
      <c r="G61" s="146"/>
      <c r="H61" s="147"/>
      <c r="I61" s="148">
        <f>C61+F61</f>
        <v>14898</v>
      </c>
      <c r="J61" s="149">
        <f>D61+G61</f>
        <v>0</v>
      </c>
      <c r="K61" s="150">
        <f t="shared" si="0"/>
        <v>0</v>
      </c>
    </row>
    <row r="62" spans="1:11" ht="409.5">
      <c r="A62" s="153" t="s">
        <v>174</v>
      </c>
      <c r="B62" s="143" t="s">
        <v>177</v>
      </c>
      <c r="C62" s="144">
        <v>3929.9</v>
      </c>
      <c r="D62" s="144"/>
      <c r="E62" s="145">
        <f t="shared" si="3"/>
        <v>0</v>
      </c>
      <c r="F62" s="146"/>
      <c r="G62" s="146"/>
      <c r="H62" s="147"/>
      <c r="I62" s="148">
        <f>C62+F62</f>
        <v>3929.9</v>
      </c>
      <c r="J62" s="149">
        <f>D62+G62</f>
        <v>0</v>
      </c>
      <c r="K62" s="150">
        <f t="shared" si="0"/>
        <v>0</v>
      </c>
    </row>
    <row r="63" spans="1:11" ht="409.5">
      <c r="A63" s="153" t="s">
        <v>174</v>
      </c>
      <c r="B63" s="143" t="s">
        <v>178</v>
      </c>
      <c r="C63" s="144">
        <v>5894.9</v>
      </c>
      <c r="D63" s="144"/>
      <c r="E63" s="145">
        <f t="shared" si="3"/>
        <v>0</v>
      </c>
      <c r="F63" s="146"/>
      <c r="G63" s="146"/>
      <c r="H63" s="147"/>
      <c r="I63" s="148">
        <f>C63+F63</f>
        <v>5894.9</v>
      </c>
      <c r="J63" s="149">
        <f>D63+G63</f>
        <v>0</v>
      </c>
      <c r="K63" s="150">
        <f t="shared" si="0"/>
        <v>0</v>
      </c>
    </row>
    <row r="64" spans="1:11" ht="409.5">
      <c r="A64" s="142" t="s">
        <v>174</v>
      </c>
      <c r="B64" s="165" t="s">
        <v>179</v>
      </c>
      <c r="C64" s="144">
        <v>30247.3</v>
      </c>
      <c r="D64" s="144">
        <v>1716.8</v>
      </c>
      <c r="E64" s="145">
        <f>D64/C64*100</f>
        <v>5.675878508164365</v>
      </c>
      <c r="F64" s="146"/>
      <c r="G64" s="146"/>
      <c r="H64" s="147"/>
      <c r="I64" s="148">
        <f>C64+F64</f>
        <v>30247.3</v>
      </c>
      <c r="J64" s="149">
        <f>D64+G64</f>
        <v>1716.8</v>
      </c>
      <c r="K64" s="150">
        <f>J64/I64*100</f>
        <v>5.675878508164365</v>
      </c>
    </row>
    <row r="65" spans="1:11" ht="409.5">
      <c r="A65" s="153" t="s">
        <v>174</v>
      </c>
      <c r="B65" s="162" t="s">
        <v>180</v>
      </c>
      <c r="C65" s="144">
        <f>42762+4802.1+9188.4</f>
        <v>56752.5</v>
      </c>
      <c r="D65" s="144"/>
      <c r="E65" s="145">
        <f aca="true" t="shared" si="5" ref="E65:E70">D65/C65*100</f>
        <v>0</v>
      </c>
      <c r="F65" s="146">
        <f>27211.7+4802.1</f>
        <v>32013.800000000003</v>
      </c>
      <c r="G65" s="146"/>
      <c r="H65" s="147">
        <f>G65/F65*100</f>
        <v>0</v>
      </c>
      <c r="I65" s="151">
        <f>C65+F65-32013.7</f>
        <v>56752.600000000006</v>
      </c>
      <c r="J65" s="151">
        <f>D65+G65</f>
        <v>0</v>
      </c>
      <c r="K65" s="150">
        <f t="shared" si="0"/>
        <v>0</v>
      </c>
    </row>
    <row r="66" spans="1:11" ht="409.5">
      <c r="A66" s="153" t="s">
        <v>174</v>
      </c>
      <c r="B66" s="162" t="s">
        <v>181</v>
      </c>
      <c r="C66" s="144"/>
      <c r="D66" s="144"/>
      <c r="E66" s="145" t="e">
        <f t="shared" si="5"/>
        <v>#DIV/0!</v>
      </c>
      <c r="F66" s="146"/>
      <c r="G66" s="146"/>
      <c r="H66" s="147" t="e">
        <f aca="true" t="shared" si="6" ref="H66:H83">G66/F66*100</f>
        <v>#DIV/0!</v>
      </c>
      <c r="I66" s="149">
        <f aca="true" t="shared" si="7" ref="I66:J69">C66+F66</f>
        <v>0</v>
      </c>
      <c r="J66" s="149">
        <f t="shared" si="7"/>
        <v>0</v>
      </c>
      <c r="K66" s="150" t="e">
        <f t="shared" si="0"/>
        <v>#DIV/0!</v>
      </c>
    </row>
    <row r="67" spans="1:11" ht="210">
      <c r="A67" s="153" t="s">
        <v>174</v>
      </c>
      <c r="B67" s="162" t="s">
        <v>182</v>
      </c>
      <c r="C67" s="144"/>
      <c r="D67" s="144"/>
      <c r="E67" s="145" t="e">
        <f t="shared" si="5"/>
        <v>#DIV/0!</v>
      </c>
      <c r="F67" s="146"/>
      <c r="G67" s="146"/>
      <c r="H67" s="147" t="e">
        <f t="shared" si="6"/>
        <v>#DIV/0!</v>
      </c>
      <c r="I67" s="149">
        <f t="shared" si="7"/>
        <v>0</v>
      </c>
      <c r="J67" s="149">
        <f t="shared" si="7"/>
        <v>0</v>
      </c>
      <c r="K67" s="150" t="e">
        <f t="shared" si="0"/>
        <v>#DIV/0!</v>
      </c>
    </row>
    <row r="68" spans="1:11" ht="330">
      <c r="A68" s="153" t="s">
        <v>174</v>
      </c>
      <c r="B68" s="162" t="s">
        <v>183</v>
      </c>
      <c r="C68" s="144"/>
      <c r="D68" s="144"/>
      <c r="E68" s="145" t="e">
        <f t="shared" si="5"/>
        <v>#DIV/0!</v>
      </c>
      <c r="F68" s="146">
        <v>50</v>
      </c>
      <c r="G68" s="146"/>
      <c r="H68" s="147">
        <f t="shared" si="6"/>
        <v>0</v>
      </c>
      <c r="I68" s="148">
        <f t="shared" si="7"/>
        <v>50</v>
      </c>
      <c r="J68" s="149">
        <f t="shared" si="7"/>
        <v>0</v>
      </c>
      <c r="K68" s="150">
        <f>J68/I68*100</f>
        <v>0</v>
      </c>
    </row>
    <row r="69" spans="1:11" ht="375">
      <c r="A69" s="153" t="s">
        <v>174</v>
      </c>
      <c r="B69" s="162" t="s">
        <v>184</v>
      </c>
      <c r="C69" s="144">
        <v>1700</v>
      </c>
      <c r="D69" s="144"/>
      <c r="E69" s="145">
        <f t="shared" si="5"/>
        <v>0</v>
      </c>
      <c r="F69" s="146"/>
      <c r="G69" s="146"/>
      <c r="H69" s="147"/>
      <c r="I69" s="148">
        <f t="shared" si="7"/>
        <v>1700</v>
      </c>
      <c r="J69" s="149">
        <f t="shared" si="7"/>
        <v>0</v>
      </c>
      <c r="K69" s="150">
        <f>J69/I69*100</f>
        <v>0</v>
      </c>
    </row>
    <row r="70" spans="1:11" ht="409.5">
      <c r="A70" s="153" t="s">
        <v>174</v>
      </c>
      <c r="B70" s="162" t="s">
        <v>185</v>
      </c>
      <c r="C70" s="144"/>
      <c r="D70" s="144"/>
      <c r="E70" s="145" t="e">
        <f t="shared" si="5"/>
        <v>#DIV/0!</v>
      </c>
      <c r="F70" s="146">
        <v>4869</v>
      </c>
      <c r="G70" s="146">
        <v>2738.6</v>
      </c>
      <c r="H70" s="147">
        <f t="shared" si="6"/>
        <v>56.245635654138425</v>
      </c>
      <c r="I70" s="148">
        <f>C70+F70</f>
        <v>4869</v>
      </c>
      <c r="J70" s="149">
        <f>D70+G70</f>
        <v>2738.6</v>
      </c>
      <c r="K70" s="166">
        <f t="shared" si="0"/>
        <v>56.245635654138425</v>
      </c>
    </row>
    <row r="71" spans="1:11" ht="75">
      <c r="A71" s="153" t="s">
        <v>174</v>
      </c>
      <c r="B71" s="162" t="s">
        <v>186</v>
      </c>
      <c r="C71" s="144"/>
      <c r="D71" s="144"/>
      <c r="E71" s="145"/>
      <c r="F71" s="146">
        <v>1100</v>
      </c>
      <c r="G71" s="146"/>
      <c r="H71" s="147">
        <f t="shared" si="6"/>
        <v>0</v>
      </c>
      <c r="I71" s="148">
        <f>C71+F71</f>
        <v>1100</v>
      </c>
      <c r="J71" s="149">
        <f>D71+G71</f>
        <v>0</v>
      </c>
      <c r="K71" s="150">
        <f t="shared" si="0"/>
        <v>0</v>
      </c>
    </row>
    <row r="72" spans="1:11" ht="409.5">
      <c r="A72" s="153" t="s">
        <v>174</v>
      </c>
      <c r="B72" s="162" t="s">
        <v>187</v>
      </c>
      <c r="C72" s="144"/>
      <c r="D72" s="144"/>
      <c r="E72" s="145"/>
      <c r="F72" s="146">
        <v>16598</v>
      </c>
      <c r="G72" s="146"/>
      <c r="H72" s="147">
        <f t="shared" si="6"/>
        <v>0</v>
      </c>
      <c r="I72" s="151">
        <f>C72+F72-8587-8011</f>
        <v>0</v>
      </c>
      <c r="J72" s="167">
        <f>D72+G72</f>
        <v>0</v>
      </c>
      <c r="K72" s="150" t="e">
        <f>J72/I72*100</f>
        <v>#DIV/0!</v>
      </c>
    </row>
    <row r="73" spans="1:11" ht="409.5">
      <c r="A73" s="153" t="s">
        <v>188</v>
      </c>
      <c r="B73" s="143" t="s">
        <v>189</v>
      </c>
      <c r="C73" s="144">
        <v>500</v>
      </c>
      <c r="D73" s="144"/>
      <c r="E73" s="145">
        <f t="shared" si="3"/>
        <v>0</v>
      </c>
      <c r="F73" s="144">
        <v>500</v>
      </c>
      <c r="G73" s="146"/>
      <c r="H73" s="147">
        <f t="shared" si="6"/>
        <v>0</v>
      </c>
      <c r="I73" s="151">
        <f>C73+F73-500</f>
        <v>500</v>
      </c>
      <c r="J73" s="151">
        <f>D73+G73</f>
        <v>0</v>
      </c>
      <c r="K73" s="150">
        <f t="shared" si="0"/>
        <v>0</v>
      </c>
    </row>
    <row r="74" spans="1:11" ht="240">
      <c r="A74" s="153" t="s">
        <v>188</v>
      </c>
      <c r="B74" s="143" t="s">
        <v>190</v>
      </c>
      <c r="C74" s="144"/>
      <c r="D74" s="144"/>
      <c r="E74" s="145" t="e">
        <f t="shared" si="3"/>
        <v>#DIV/0!</v>
      </c>
      <c r="F74" s="144"/>
      <c r="G74" s="146"/>
      <c r="H74" s="147" t="e">
        <f t="shared" si="6"/>
        <v>#DIV/0!</v>
      </c>
      <c r="I74" s="151">
        <f aca="true" t="shared" si="8" ref="I74:I84">C74+F74</f>
        <v>0</v>
      </c>
      <c r="J74" s="151">
        <f>D74+G74</f>
        <v>0</v>
      </c>
      <c r="K74" s="150" t="e">
        <f t="shared" si="0"/>
        <v>#DIV/0!</v>
      </c>
    </row>
    <row r="75" spans="1:11" ht="345">
      <c r="A75" s="153" t="s">
        <v>188</v>
      </c>
      <c r="B75" s="143" t="s">
        <v>191</v>
      </c>
      <c r="C75" s="144"/>
      <c r="D75" s="144"/>
      <c r="E75" s="145" t="e">
        <f t="shared" si="3"/>
        <v>#DIV/0!</v>
      </c>
      <c r="F75" s="144"/>
      <c r="G75" s="146"/>
      <c r="H75" s="147" t="e">
        <f t="shared" si="6"/>
        <v>#DIV/0!</v>
      </c>
      <c r="I75" s="149">
        <f t="shared" si="8"/>
        <v>0</v>
      </c>
      <c r="J75" s="149">
        <f>D75+G75</f>
        <v>0</v>
      </c>
      <c r="K75" s="150" t="e">
        <f t="shared" si="0"/>
        <v>#DIV/0!</v>
      </c>
    </row>
    <row r="76" spans="1:11" ht="390">
      <c r="A76" s="153" t="s">
        <v>188</v>
      </c>
      <c r="B76" s="143" t="s">
        <v>192</v>
      </c>
      <c r="C76" s="144"/>
      <c r="D76" s="144"/>
      <c r="E76" s="145" t="e">
        <f t="shared" si="3"/>
        <v>#DIV/0!</v>
      </c>
      <c r="F76" s="144"/>
      <c r="G76" s="146"/>
      <c r="H76" s="147" t="e">
        <f t="shared" si="6"/>
        <v>#DIV/0!</v>
      </c>
      <c r="I76" s="151">
        <f t="shared" si="8"/>
        <v>0</v>
      </c>
      <c r="J76" s="151">
        <f>D76+G76</f>
        <v>0</v>
      </c>
      <c r="K76" s="150" t="e">
        <f t="shared" si="0"/>
        <v>#DIV/0!</v>
      </c>
    </row>
    <row r="77" spans="1:11" ht="390">
      <c r="A77" s="153" t="s">
        <v>188</v>
      </c>
      <c r="B77" s="143" t="s">
        <v>193</v>
      </c>
      <c r="C77" s="144"/>
      <c r="D77" s="144"/>
      <c r="E77" s="145" t="e">
        <f t="shared" si="3"/>
        <v>#DIV/0!</v>
      </c>
      <c r="F77" s="144"/>
      <c r="G77" s="146"/>
      <c r="H77" s="147" t="e">
        <f t="shared" si="6"/>
        <v>#DIV/0!</v>
      </c>
      <c r="I77" s="151">
        <f t="shared" si="8"/>
        <v>0</v>
      </c>
      <c r="J77" s="151">
        <f>D77+G77</f>
        <v>0</v>
      </c>
      <c r="K77" s="150" t="e">
        <f t="shared" si="0"/>
        <v>#DIV/0!</v>
      </c>
    </row>
    <row r="78" spans="1:11" ht="409.5">
      <c r="A78" s="153" t="s">
        <v>188</v>
      </c>
      <c r="B78" s="143" t="s">
        <v>194</v>
      </c>
      <c r="C78" s="144"/>
      <c r="D78" s="144"/>
      <c r="E78" s="145" t="e">
        <f t="shared" si="3"/>
        <v>#DIV/0!</v>
      </c>
      <c r="F78" s="144">
        <v>903</v>
      </c>
      <c r="G78" s="146"/>
      <c r="H78" s="147">
        <f t="shared" si="6"/>
        <v>0</v>
      </c>
      <c r="I78" s="148">
        <f t="shared" si="8"/>
        <v>903</v>
      </c>
      <c r="J78" s="149">
        <f>D78+G78</f>
        <v>0</v>
      </c>
      <c r="K78" s="150">
        <f t="shared" si="0"/>
        <v>0</v>
      </c>
    </row>
    <row r="79" spans="1:11" ht="150">
      <c r="A79" s="153" t="s">
        <v>188</v>
      </c>
      <c r="B79" s="143" t="s">
        <v>195</v>
      </c>
      <c r="C79" s="144">
        <v>13353.1</v>
      </c>
      <c r="D79" s="144"/>
      <c r="E79" s="145">
        <f t="shared" si="3"/>
        <v>0</v>
      </c>
      <c r="F79" s="144"/>
      <c r="G79" s="146"/>
      <c r="H79" s="147" t="e">
        <f t="shared" si="6"/>
        <v>#DIV/0!</v>
      </c>
      <c r="I79" s="151">
        <f t="shared" si="8"/>
        <v>13353.1</v>
      </c>
      <c r="J79" s="168">
        <f>D79+G79</f>
        <v>0</v>
      </c>
      <c r="K79" s="150">
        <f t="shared" si="0"/>
        <v>0</v>
      </c>
    </row>
    <row r="80" spans="1:11" ht="195">
      <c r="A80" s="153" t="s">
        <v>188</v>
      </c>
      <c r="B80" s="143" t="s">
        <v>196</v>
      </c>
      <c r="C80" s="144"/>
      <c r="D80" s="144"/>
      <c r="E80" s="145" t="e">
        <f t="shared" si="3"/>
        <v>#DIV/0!</v>
      </c>
      <c r="F80" s="144"/>
      <c r="G80" s="146"/>
      <c r="H80" s="147" t="e">
        <f t="shared" si="6"/>
        <v>#DIV/0!</v>
      </c>
      <c r="I80" s="151">
        <f t="shared" si="8"/>
        <v>0</v>
      </c>
      <c r="J80" s="168">
        <f>D80+G80</f>
        <v>0</v>
      </c>
      <c r="K80" s="150" t="e">
        <f t="shared" si="0"/>
        <v>#DIV/0!</v>
      </c>
    </row>
    <row r="81" spans="1:11" ht="180">
      <c r="A81" s="153" t="s">
        <v>188</v>
      </c>
      <c r="B81" s="143" t="s">
        <v>197</v>
      </c>
      <c r="C81" s="144"/>
      <c r="D81" s="144"/>
      <c r="E81" s="145" t="e">
        <f t="shared" si="3"/>
        <v>#DIV/0!</v>
      </c>
      <c r="F81" s="144"/>
      <c r="G81" s="146"/>
      <c r="H81" s="147" t="e">
        <f t="shared" si="6"/>
        <v>#DIV/0!</v>
      </c>
      <c r="I81" s="151">
        <f t="shared" si="8"/>
        <v>0</v>
      </c>
      <c r="J81" s="168">
        <f>D81+G81</f>
        <v>0</v>
      </c>
      <c r="K81" s="150" t="e">
        <f t="shared" si="0"/>
        <v>#DIV/0!</v>
      </c>
    </row>
    <row r="82" spans="1:11" ht="240">
      <c r="A82" s="153" t="s">
        <v>188</v>
      </c>
      <c r="B82" s="169" t="s">
        <v>198</v>
      </c>
      <c r="C82" s="144"/>
      <c r="D82" s="144"/>
      <c r="E82" s="145" t="e">
        <f t="shared" si="3"/>
        <v>#DIV/0!</v>
      </c>
      <c r="F82" s="144"/>
      <c r="G82" s="146"/>
      <c r="H82" s="147" t="e">
        <f t="shared" si="6"/>
        <v>#DIV/0!</v>
      </c>
      <c r="I82" s="151">
        <f t="shared" si="8"/>
        <v>0</v>
      </c>
      <c r="J82" s="168">
        <f>D82+G82</f>
        <v>0</v>
      </c>
      <c r="K82" s="150" t="e">
        <f t="shared" si="0"/>
        <v>#DIV/0!</v>
      </c>
    </row>
    <row r="83" spans="1:11" ht="105">
      <c r="A83" s="142" t="s">
        <v>188</v>
      </c>
      <c r="B83" s="143" t="s">
        <v>199</v>
      </c>
      <c r="C83" s="144"/>
      <c r="D83" s="144"/>
      <c r="E83" s="145"/>
      <c r="F83" s="144">
        <v>47686.2</v>
      </c>
      <c r="G83" s="146">
        <v>1480.2</v>
      </c>
      <c r="H83" s="147">
        <f t="shared" si="6"/>
        <v>3.1040426790140545</v>
      </c>
      <c r="I83" s="148">
        <f t="shared" si="8"/>
        <v>47686.2</v>
      </c>
      <c r="J83" s="149">
        <f>D83+G83</f>
        <v>1480.2</v>
      </c>
      <c r="K83" s="150">
        <f t="shared" si="0"/>
        <v>3.1040426790140545</v>
      </c>
    </row>
    <row r="84" spans="1:11" ht="90">
      <c r="A84" s="153" t="s">
        <v>200</v>
      </c>
      <c r="B84" s="143" t="s">
        <v>201</v>
      </c>
      <c r="C84" s="144">
        <v>46.6</v>
      </c>
      <c r="D84" s="144"/>
      <c r="E84" s="145">
        <f>D84/C84*100</f>
        <v>0</v>
      </c>
      <c r="F84" s="144">
        <v>0</v>
      </c>
      <c r="G84" s="146"/>
      <c r="H84" s="147">
        <v>0</v>
      </c>
      <c r="I84" s="148">
        <f t="shared" si="8"/>
        <v>46.6</v>
      </c>
      <c r="J84" s="149">
        <f>D84+G84</f>
        <v>0</v>
      </c>
      <c r="K84" s="170">
        <f t="shared" si="0"/>
        <v>0</v>
      </c>
    </row>
    <row r="85" spans="1:11" ht="57">
      <c r="A85" s="171" t="s">
        <v>202</v>
      </c>
      <c r="B85" s="172" t="s">
        <v>203</v>
      </c>
      <c r="C85" s="163">
        <f aca="true" t="shared" si="9" ref="C85:H85">C86</f>
        <v>219009.5</v>
      </c>
      <c r="D85" s="163">
        <f t="shared" si="9"/>
        <v>0</v>
      </c>
      <c r="E85" s="155">
        <f t="shared" si="3"/>
        <v>0</v>
      </c>
      <c r="F85" s="163">
        <f t="shared" si="9"/>
        <v>0</v>
      </c>
      <c r="G85" s="163">
        <f t="shared" si="9"/>
        <v>0</v>
      </c>
      <c r="H85" s="140" t="e">
        <f t="shared" si="9"/>
        <v>#DIV/0!</v>
      </c>
      <c r="I85" s="163">
        <f>I86</f>
        <v>219009.5</v>
      </c>
      <c r="J85" s="163">
        <f>J86</f>
        <v>0</v>
      </c>
      <c r="K85" s="173">
        <f t="shared" si="0"/>
        <v>0</v>
      </c>
    </row>
    <row r="86" spans="1:11" ht="120">
      <c r="A86" s="153" t="s">
        <v>204</v>
      </c>
      <c r="B86" s="174" t="s">
        <v>205</v>
      </c>
      <c r="C86" s="146">
        <v>219009.5</v>
      </c>
      <c r="D86" s="146"/>
      <c r="E86" s="145">
        <f t="shared" si="3"/>
        <v>0</v>
      </c>
      <c r="F86" s="146"/>
      <c r="G86" s="146"/>
      <c r="H86" s="147" t="e">
        <f>G86/F86*100</f>
        <v>#DIV/0!</v>
      </c>
      <c r="I86" s="151">
        <f>C86+F86</f>
        <v>219009.5</v>
      </c>
      <c r="J86" s="149">
        <f>D86+G86</f>
        <v>0</v>
      </c>
      <c r="K86" s="150">
        <f t="shared" si="0"/>
        <v>0</v>
      </c>
    </row>
    <row r="87" spans="1:11" ht="28.5">
      <c r="A87" s="137" t="s">
        <v>206</v>
      </c>
      <c r="B87" s="138" t="s">
        <v>207</v>
      </c>
      <c r="C87" s="139">
        <f>SUM(C88:C97)</f>
        <v>2458849</v>
      </c>
      <c r="D87" s="139">
        <f>SUM(D88:D97)</f>
        <v>148594.69999999998</v>
      </c>
      <c r="E87" s="139">
        <f>D87/C87*100</f>
        <v>6.0432625183571655</v>
      </c>
      <c r="F87" s="163">
        <f>F88+F90+F91+F96+F97</f>
        <v>0</v>
      </c>
      <c r="G87" s="163">
        <f>SUM(G88:G97)</f>
        <v>0</v>
      </c>
      <c r="H87" s="140">
        <v>0</v>
      </c>
      <c r="I87" s="139">
        <f>SUM(I88:I97)</f>
        <v>2458849</v>
      </c>
      <c r="J87" s="139">
        <f>SUM(J88:J97)</f>
        <v>148594.69999999998</v>
      </c>
      <c r="K87" s="141">
        <f t="shared" si="0"/>
        <v>6.0432625183571655</v>
      </c>
    </row>
    <row r="88" spans="1:11" ht="60">
      <c r="A88" s="142" t="s">
        <v>208</v>
      </c>
      <c r="B88" s="143" t="s">
        <v>209</v>
      </c>
      <c r="C88" s="144">
        <v>443221.9</v>
      </c>
      <c r="D88" s="144">
        <v>60712</v>
      </c>
      <c r="E88" s="145">
        <f t="shared" si="3"/>
        <v>13.697879098483174</v>
      </c>
      <c r="F88" s="146">
        <v>0</v>
      </c>
      <c r="G88" s="146">
        <v>0</v>
      </c>
      <c r="H88" s="147">
        <v>0</v>
      </c>
      <c r="I88" s="148">
        <f>C88+F88</f>
        <v>443221.9</v>
      </c>
      <c r="J88" s="149">
        <f>D88+G88</f>
        <v>60712</v>
      </c>
      <c r="K88" s="150">
        <f t="shared" si="0"/>
        <v>13.697879098483174</v>
      </c>
    </row>
    <row r="89" spans="1:11" ht="409.5">
      <c r="A89" s="142" t="s">
        <v>208</v>
      </c>
      <c r="B89" s="143" t="s">
        <v>210</v>
      </c>
      <c r="C89" s="144">
        <f>159263.3+17695.9</f>
        <v>176959.19999999998</v>
      </c>
      <c r="D89" s="144"/>
      <c r="E89" s="145">
        <f t="shared" si="3"/>
        <v>0</v>
      </c>
      <c r="F89" s="146"/>
      <c r="G89" s="146"/>
      <c r="H89" s="147"/>
      <c r="I89" s="148">
        <f>C89+F89</f>
        <v>176959.19999999998</v>
      </c>
      <c r="J89" s="149">
        <f>D89+G89</f>
        <v>0</v>
      </c>
      <c r="K89" s="150">
        <f t="shared" si="0"/>
        <v>0</v>
      </c>
    </row>
    <row r="90" spans="1:11" ht="45">
      <c r="A90" s="142" t="s">
        <v>211</v>
      </c>
      <c r="B90" s="143" t="s">
        <v>212</v>
      </c>
      <c r="C90" s="175">
        <v>1259492.6</v>
      </c>
      <c r="D90" s="175">
        <v>60533.9</v>
      </c>
      <c r="E90" s="145">
        <f t="shared" si="3"/>
        <v>4.806213232217481</v>
      </c>
      <c r="F90" s="146">
        <v>0</v>
      </c>
      <c r="G90" s="146">
        <v>0</v>
      </c>
      <c r="H90" s="147">
        <v>0</v>
      </c>
      <c r="I90" s="148">
        <f>C90+F90</f>
        <v>1259492.6</v>
      </c>
      <c r="J90" s="149">
        <f>D90+G90</f>
        <v>60533.9</v>
      </c>
      <c r="K90" s="150">
        <f t="shared" si="0"/>
        <v>4.806213232217481</v>
      </c>
    </row>
    <row r="91" spans="1:11" ht="75">
      <c r="A91" s="142" t="s">
        <v>211</v>
      </c>
      <c r="B91" s="143" t="s">
        <v>213</v>
      </c>
      <c r="C91" s="144">
        <v>36273.9</v>
      </c>
      <c r="D91" s="144">
        <v>700.4</v>
      </c>
      <c r="E91" s="145">
        <f t="shared" si="3"/>
        <v>1.9308648918368303</v>
      </c>
      <c r="F91" s="146">
        <v>0</v>
      </c>
      <c r="G91" s="146">
        <v>0</v>
      </c>
      <c r="H91" s="147">
        <v>0</v>
      </c>
      <c r="I91" s="148">
        <f>C91+F91</f>
        <v>36273.9</v>
      </c>
      <c r="J91" s="149">
        <f>D91+G91</f>
        <v>700.4</v>
      </c>
      <c r="K91" s="150">
        <f t="shared" si="0"/>
        <v>1.9308648918368303</v>
      </c>
    </row>
    <row r="92" spans="1:11" ht="409.5">
      <c r="A92" s="142" t="s">
        <v>211</v>
      </c>
      <c r="B92" s="143" t="s">
        <v>214</v>
      </c>
      <c r="C92" s="144">
        <f>304623.1+150</f>
        <v>304773.1</v>
      </c>
      <c r="D92" s="144"/>
      <c r="E92" s="145"/>
      <c r="F92" s="146"/>
      <c r="G92" s="146"/>
      <c r="H92" s="147"/>
      <c r="I92" s="148">
        <f>C92+F92</f>
        <v>304773.1</v>
      </c>
      <c r="J92" s="149">
        <f>D92+G92</f>
        <v>0</v>
      </c>
      <c r="K92" s="150">
        <f t="shared" si="0"/>
        <v>0</v>
      </c>
    </row>
    <row r="93" spans="1:11" ht="409.5">
      <c r="A93" s="142" t="s">
        <v>211</v>
      </c>
      <c r="B93" s="143" t="s">
        <v>215</v>
      </c>
      <c r="C93" s="144">
        <v>3061.4</v>
      </c>
      <c r="D93" s="144"/>
      <c r="E93" s="145">
        <f t="shared" si="3"/>
        <v>0</v>
      </c>
      <c r="F93" s="146"/>
      <c r="G93" s="146"/>
      <c r="H93" s="147"/>
      <c r="I93" s="148">
        <f>C93+F93</f>
        <v>3061.4</v>
      </c>
      <c r="J93" s="149">
        <f>D93+G93</f>
        <v>0</v>
      </c>
      <c r="K93" s="150">
        <f t="shared" si="0"/>
        <v>0</v>
      </c>
    </row>
    <row r="94" spans="1:11" ht="409.5">
      <c r="A94" s="142" t="s">
        <v>211</v>
      </c>
      <c r="B94" s="143" t="s">
        <v>216</v>
      </c>
      <c r="C94" s="144"/>
      <c r="D94" s="144"/>
      <c r="E94" s="145" t="e">
        <f t="shared" si="3"/>
        <v>#DIV/0!</v>
      </c>
      <c r="F94" s="146">
        <v>0</v>
      </c>
      <c r="G94" s="146">
        <v>0</v>
      </c>
      <c r="H94" s="147">
        <v>0</v>
      </c>
      <c r="I94" s="148">
        <f>C94+F94</f>
        <v>0</v>
      </c>
      <c r="J94" s="149">
        <f>D94+G94</f>
        <v>0</v>
      </c>
      <c r="K94" s="150" t="e">
        <f t="shared" si="0"/>
        <v>#DIV/0!</v>
      </c>
    </row>
    <row r="95" spans="1:11" ht="75">
      <c r="A95" s="142" t="s">
        <v>217</v>
      </c>
      <c r="B95" s="143" t="s">
        <v>218</v>
      </c>
      <c r="C95" s="144">
        <v>147192.1</v>
      </c>
      <c r="D95" s="144">
        <v>16855.3</v>
      </c>
      <c r="E95" s="145">
        <f t="shared" si="3"/>
        <v>11.451225982916203</v>
      </c>
      <c r="F95" s="146"/>
      <c r="G95" s="146"/>
      <c r="H95" s="147"/>
      <c r="I95" s="148">
        <f>C95+F95</f>
        <v>147192.1</v>
      </c>
      <c r="J95" s="149">
        <f>D95+G95</f>
        <v>16855.3</v>
      </c>
      <c r="K95" s="150">
        <f t="shared" si="0"/>
        <v>11.451225982916203</v>
      </c>
    </row>
    <row r="96" spans="1:11" ht="105">
      <c r="A96" s="142" t="s">
        <v>219</v>
      </c>
      <c r="B96" s="143" t="s">
        <v>220</v>
      </c>
      <c r="C96" s="144">
        <v>33168.4</v>
      </c>
      <c r="D96" s="144">
        <v>1223.7</v>
      </c>
      <c r="E96" s="145">
        <f t="shared" si="3"/>
        <v>3.689354928184658</v>
      </c>
      <c r="F96" s="146"/>
      <c r="G96" s="146"/>
      <c r="H96" s="147"/>
      <c r="I96" s="148">
        <f>C96+F96</f>
        <v>33168.4</v>
      </c>
      <c r="J96" s="149">
        <f>D96+G96</f>
        <v>1223.7</v>
      </c>
      <c r="K96" s="150">
        <f t="shared" si="0"/>
        <v>3.689354928184658</v>
      </c>
    </row>
    <row r="97" spans="1:11" ht="90">
      <c r="A97" s="142" t="s">
        <v>221</v>
      </c>
      <c r="B97" s="143" t="s">
        <v>222</v>
      </c>
      <c r="C97" s="144">
        <v>54706.4</v>
      </c>
      <c r="D97" s="144">
        <v>8569.4</v>
      </c>
      <c r="E97" s="145">
        <f t="shared" si="3"/>
        <v>15.664346401883508</v>
      </c>
      <c r="F97" s="146">
        <v>0</v>
      </c>
      <c r="G97" s="146"/>
      <c r="H97" s="147">
        <v>0</v>
      </c>
      <c r="I97" s="148">
        <f>C97+F97</f>
        <v>54706.4</v>
      </c>
      <c r="J97" s="149">
        <f>D97+G97</f>
        <v>8569.4</v>
      </c>
      <c r="K97" s="150">
        <f t="shared" si="0"/>
        <v>15.664346401883508</v>
      </c>
    </row>
    <row r="98" spans="1:11" ht="71.25">
      <c r="A98" s="137" t="s">
        <v>223</v>
      </c>
      <c r="B98" s="138" t="s">
        <v>224</v>
      </c>
      <c r="C98" s="139">
        <f>SUM(C99:C102)</f>
        <v>74771.5</v>
      </c>
      <c r="D98" s="139">
        <f>SUM(D99:D102)</f>
        <v>6795.1</v>
      </c>
      <c r="E98" s="139">
        <f>D98/C98*100</f>
        <v>9.08782089432471</v>
      </c>
      <c r="F98" s="163">
        <f>SUM(F99:F102)</f>
        <v>115218.7</v>
      </c>
      <c r="G98" s="163">
        <f>SUM(G99:G102)</f>
        <v>3667.3</v>
      </c>
      <c r="H98" s="140">
        <f>G98/F98*100</f>
        <v>3.182903469662477</v>
      </c>
      <c r="I98" s="163">
        <f>SUM(I99:I102)</f>
        <v>187988.6</v>
      </c>
      <c r="J98" s="163">
        <f>SUM(J99:J102)</f>
        <v>10462.399999999998</v>
      </c>
      <c r="K98" s="160">
        <f t="shared" si="0"/>
        <v>5.56544386202142</v>
      </c>
    </row>
    <row r="99" spans="1:11" ht="30">
      <c r="A99" s="142" t="s">
        <v>225</v>
      </c>
      <c r="B99" s="143" t="s">
        <v>226</v>
      </c>
      <c r="C99" s="144">
        <v>69233.6</v>
      </c>
      <c r="D99" s="144">
        <v>6640.3</v>
      </c>
      <c r="E99" s="145">
        <f t="shared" si="3"/>
        <v>9.591152272884841</v>
      </c>
      <c r="F99" s="176">
        <v>114694.2</v>
      </c>
      <c r="G99" s="146">
        <v>3659</v>
      </c>
      <c r="H99" s="147">
        <f>G99/F99*100</f>
        <v>3.190222347773471</v>
      </c>
      <c r="I99" s="151">
        <f>C99+F99-1877.1</f>
        <v>182050.69999999998</v>
      </c>
      <c r="J99" s="151">
        <f>D99+G99</f>
        <v>10299.3</v>
      </c>
      <c r="K99" s="150">
        <f t="shared" si="0"/>
        <v>5.657380059510895</v>
      </c>
    </row>
    <row r="100" spans="1:11" ht="135">
      <c r="A100" s="177" t="s">
        <v>225</v>
      </c>
      <c r="B100" s="178" t="s">
        <v>227</v>
      </c>
      <c r="C100" s="144">
        <f>1095.8+193.4</f>
        <v>1289.2</v>
      </c>
      <c r="D100" s="144"/>
      <c r="E100" s="145">
        <f t="shared" si="3"/>
        <v>0</v>
      </c>
      <c r="F100" s="146">
        <v>124.5</v>
      </c>
      <c r="G100" s="146"/>
      <c r="H100" s="147">
        <f>G100/F100*100</f>
        <v>0</v>
      </c>
      <c r="I100" s="151">
        <f>C100+F100-124.5</f>
        <v>1289.2</v>
      </c>
      <c r="J100" s="151">
        <f>D100+G100</f>
        <v>0</v>
      </c>
      <c r="K100" s="150">
        <f>J100/I100*100</f>
        <v>0</v>
      </c>
    </row>
    <row r="101" spans="1:11" ht="30">
      <c r="A101" s="142" t="s">
        <v>228</v>
      </c>
      <c r="B101" s="143" t="s">
        <v>229</v>
      </c>
      <c r="C101" s="144">
        <v>150</v>
      </c>
      <c r="D101" s="144"/>
      <c r="E101" s="145">
        <f t="shared" si="3"/>
        <v>0</v>
      </c>
      <c r="F101" s="146">
        <v>400</v>
      </c>
      <c r="G101" s="146">
        <v>8.3</v>
      </c>
      <c r="H101" s="147">
        <f>G101/F101*100</f>
        <v>2.075</v>
      </c>
      <c r="I101" s="148">
        <f>C101+F101</f>
        <v>550</v>
      </c>
      <c r="J101" s="149">
        <f>D101+G101</f>
        <v>8.3</v>
      </c>
      <c r="K101" s="150">
        <f aca="true" t="shared" si="10" ref="K101:K127">J101/I101*100</f>
        <v>1.5090909090909093</v>
      </c>
    </row>
    <row r="102" spans="1:11" ht="120">
      <c r="A102" s="142" t="s">
        <v>230</v>
      </c>
      <c r="B102" s="143" t="s">
        <v>231</v>
      </c>
      <c r="C102" s="144">
        <v>4098.7</v>
      </c>
      <c r="D102" s="144">
        <v>154.8</v>
      </c>
      <c r="E102" s="145">
        <f t="shared" si="3"/>
        <v>3.776807280357187</v>
      </c>
      <c r="F102" s="146"/>
      <c r="G102" s="146"/>
      <c r="H102" s="147"/>
      <c r="I102" s="148">
        <f>C102+F102</f>
        <v>4098.7</v>
      </c>
      <c r="J102" s="149">
        <f>D102+G102</f>
        <v>154.8</v>
      </c>
      <c r="K102" s="150">
        <f t="shared" si="10"/>
        <v>3.776807280357187</v>
      </c>
    </row>
    <row r="103" spans="1:11" ht="42.75">
      <c r="A103" s="137" t="s">
        <v>232</v>
      </c>
      <c r="B103" s="138" t="s">
        <v>233</v>
      </c>
      <c r="C103" s="139">
        <f>SUM(C104:C105)</f>
        <v>2307.7</v>
      </c>
      <c r="D103" s="139">
        <f>SUM(D104:D105)</f>
        <v>0</v>
      </c>
      <c r="E103" s="139">
        <f>SUM(E105:E105)</f>
        <v>0</v>
      </c>
      <c r="F103" s="163">
        <v>0</v>
      </c>
      <c r="G103" s="163">
        <v>0</v>
      </c>
      <c r="H103" s="140"/>
      <c r="I103" s="163">
        <f>C103+F103</f>
        <v>2307.7</v>
      </c>
      <c r="J103" s="163">
        <f aca="true" t="shared" si="11" ref="I103:J114">D103+G103</f>
        <v>0</v>
      </c>
      <c r="K103" s="141">
        <f t="shared" si="10"/>
        <v>0</v>
      </c>
    </row>
    <row r="104" spans="1:11" ht="255">
      <c r="A104" s="153" t="s">
        <v>234</v>
      </c>
      <c r="B104" s="178" t="s">
        <v>235</v>
      </c>
      <c r="C104" s="144"/>
      <c r="D104" s="144"/>
      <c r="E104" s="145" t="e">
        <f t="shared" si="3"/>
        <v>#DIV/0!</v>
      </c>
      <c r="F104" s="149"/>
      <c r="G104" s="149"/>
      <c r="H104" s="146"/>
      <c r="I104" s="148">
        <f t="shared" si="11"/>
        <v>0</v>
      </c>
      <c r="J104" s="149">
        <f t="shared" si="11"/>
        <v>0</v>
      </c>
      <c r="K104" s="150" t="e">
        <f t="shared" si="10"/>
        <v>#DIV/0!</v>
      </c>
    </row>
    <row r="105" spans="1:11" ht="210">
      <c r="A105" s="153" t="s">
        <v>234</v>
      </c>
      <c r="B105" s="178" t="s">
        <v>236</v>
      </c>
      <c r="C105" s="144">
        <v>2307.7</v>
      </c>
      <c r="D105" s="146"/>
      <c r="E105" s="145">
        <f t="shared" si="3"/>
        <v>0</v>
      </c>
      <c r="F105" s="146"/>
      <c r="G105" s="146"/>
      <c r="H105" s="147"/>
      <c r="I105" s="148">
        <f t="shared" si="11"/>
        <v>2307.7</v>
      </c>
      <c r="J105" s="149">
        <f t="shared" si="11"/>
        <v>0</v>
      </c>
      <c r="K105" s="150">
        <f t="shared" si="10"/>
        <v>0</v>
      </c>
    </row>
    <row r="106" spans="1:11" ht="57">
      <c r="A106" s="137">
        <v>10</v>
      </c>
      <c r="B106" s="138" t="s">
        <v>237</v>
      </c>
      <c r="C106" s="139">
        <f>SUM(C107:C114)</f>
        <v>179556.30000000002</v>
      </c>
      <c r="D106" s="139">
        <f>SUM(D107:D114)</f>
        <v>2098.3</v>
      </c>
      <c r="E106" s="139">
        <f>D106/C106*100</f>
        <v>1.1686028281937197</v>
      </c>
      <c r="F106" s="139">
        <f>SUM(F107:F114)</f>
        <v>860.4</v>
      </c>
      <c r="G106" s="139">
        <f>SUM(G107:G114)</f>
        <v>40</v>
      </c>
      <c r="H106" s="140">
        <f>G106/F106*100</f>
        <v>4.6490004649000465</v>
      </c>
      <c r="I106" s="139">
        <f>SUM(I107:I114)</f>
        <v>180416.7</v>
      </c>
      <c r="J106" s="139">
        <f>SUM(J107:J114)</f>
        <v>2138.3</v>
      </c>
      <c r="K106" s="141">
        <f t="shared" si="10"/>
        <v>1.1852007048128028</v>
      </c>
    </row>
    <row r="107" spans="1:11" ht="60">
      <c r="A107" s="153">
        <v>1001</v>
      </c>
      <c r="B107" s="143" t="s">
        <v>238</v>
      </c>
      <c r="C107" s="144">
        <v>4627.3</v>
      </c>
      <c r="D107" s="144">
        <v>390.8</v>
      </c>
      <c r="E107" s="145">
        <f t="shared" si="3"/>
        <v>8.445529790590625</v>
      </c>
      <c r="F107" s="146">
        <v>860.4</v>
      </c>
      <c r="G107" s="146">
        <v>40</v>
      </c>
      <c r="H107" s="147">
        <f>G107/F107*100</f>
        <v>4.6490004649000465</v>
      </c>
      <c r="I107" s="148">
        <f>C107+F107</f>
        <v>5487.7</v>
      </c>
      <c r="J107" s="149">
        <f t="shared" si="11"/>
        <v>430.8</v>
      </c>
      <c r="K107" s="150">
        <f t="shared" si="10"/>
        <v>7.850283360970899</v>
      </c>
    </row>
    <row r="108" spans="1:11" ht="409.5">
      <c r="A108" s="153">
        <v>1003</v>
      </c>
      <c r="B108" s="178" t="s">
        <v>239</v>
      </c>
      <c r="C108" s="144">
        <v>1890</v>
      </c>
      <c r="D108" s="144"/>
      <c r="E108" s="145">
        <f t="shared" si="3"/>
        <v>0</v>
      </c>
      <c r="F108" s="146">
        <v>0</v>
      </c>
      <c r="G108" s="146">
        <v>0</v>
      </c>
      <c r="H108" s="147">
        <v>0</v>
      </c>
      <c r="I108" s="148">
        <f t="shared" si="11"/>
        <v>1890</v>
      </c>
      <c r="J108" s="149">
        <f t="shared" si="11"/>
        <v>0</v>
      </c>
      <c r="K108" s="150">
        <f t="shared" si="10"/>
        <v>0</v>
      </c>
    </row>
    <row r="109" spans="1:11" ht="345">
      <c r="A109" s="153" t="s">
        <v>240</v>
      </c>
      <c r="B109" s="143" t="s">
        <v>241</v>
      </c>
      <c r="C109" s="144"/>
      <c r="D109" s="144"/>
      <c r="E109" s="145" t="e">
        <f t="shared" si="3"/>
        <v>#DIV/0!</v>
      </c>
      <c r="F109" s="146"/>
      <c r="G109" s="146"/>
      <c r="H109" s="147"/>
      <c r="I109" s="148">
        <f t="shared" si="11"/>
        <v>0</v>
      </c>
      <c r="J109" s="149">
        <f t="shared" si="11"/>
        <v>0</v>
      </c>
      <c r="K109" s="150" t="e">
        <f t="shared" si="10"/>
        <v>#DIV/0!</v>
      </c>
    </row>
    <row r="110" spans="1:11" ht="409.5">
      <c r="A110" s="153">
        <v>1004</v>
      </c>
      <c r="B110" s="143" t="s">
        <v>242</v>
      </c>
      <c r="C110" s="144">
        <v>22262</v>
      </c>
      <c r="D110" s="144">
        <v>1545.4</v>
      </c>
      <c r="E110" s="145">
        <f t="shared" si="3"/>
        <v>6.941874045458629</v>
      </c>
      <c r="F110" s="146">
        <v>0</v>
      </c>
      <c r="G110" s="146">
        <v>0</v>
      </c>
      <c r="H110" s="147">
        <v>0</v>
      </c>
      <c r="I110" s="148">
        <f t="shared" si="11"/>
        <v>22262</v>
      </c>
      <c r="J110" s="149">
        <f t="shared" si="11"/>
        <v>1545.4</v>
      </c>
      <c r="K110" s="150">
        <f t="shared" si="10"/>
        <v>6.941874045458629</v>
      </c>
    </row>
    <row r="111" spans="1:11" ht="409.5">
      <c r="A111" s="153">
        <v>1004</v>
      </c>
      <c r="B111" s="143" t="s">
        <v>243</v>
      </c>
      <c r="C111" s="144">
        <v>77685.6</v>
      </c>
      <c r="D111" s="144"/>
      <c r="E111" s="145">
        <f aca="true" t="shared" si="12" ref="E111:E126">D111/C111*100</f>
        <v>0</v>
      </c>
      <c r="F111" s="146">
        <v>0</v>
      </c>
      <c r="G111" s="146">
        <v>0</v>
      </c>
      <c r="H111" s="147">
        <v>0</v>
      </c>
      <c r="I111" s="148">
        <f t="shared" si="11"/>
        <v>77685.6</v>
      </c>
      <c r="J111" s="149">
        <f t="shared" si="11"/>
        <v>0</v>
      </c>
      <c r="K111" s="150">
        <f t="shared" si="10"/>
        <v>0</v>
      </c>
    </row>
    <row r="112" spans="1:11" ht="409.5">
      <c r="A112" s="153" t="s">
        <v>244</v>
      </c>
      <c r="B112" s="143" t="s">
        <v>245</v>
      </c>
      <c r="C112" s="144">
        <v>51138.9</v>
      </c>
      <c r="D112" s="144"/>
      <c r="E112" s="145">
        <f>D112/C112*100</f>
        <v>0</v>
      </c>
      <c r="F112" s="146">
        <v>0</v>
      </c>
      <c r="G112" s="146">
        <v>0</v>
      </c>
      <c r="H112" s="147">
        <v>0</v>
      </c>
      <c r="I112" s="148">
        <f t="shared" si="11"/>
        <v>51138.9</v>
      </c>
      <c r="J112" s="149">
        <f t="shared" si="11"/>
        <v>0</v>
      </c>
      <c r="K112" s="150">
        <f>J112/I112*100</f>
        <v>0</v>
      </c>
    </row>
    <row r="113" spans="1:11" ht="135">
      <c r="A113" s="153" t="s">
        <v>244</v>
      </c>
      <c r="B113" s="143" t="s">
        <v>246</v>
      </c>
      <c r="C113" s="144">
        <v>1700.5</v>
      </c>
      <c r="D113" s="144"/>
      <c r="E113" s="145">
        <f>D113/C113*100</f>
        <v>0</v>
      </c>
      <c r="F113" s="146"/>
      <c r="G113" s="146"/>
      <c r="H113" s="147"/>
      <c r="I113" s="148">
        <f t="shared" si="11"/>
        <v>1700.5</v>
      </c>
      <c r="J113" s="149">
        <f t="shared" si="11"/>
        <v>0</v>
      </c>
      <c r="K113" s="150">
        <f>J113/I113*100</f>
        <v>0</v>
      </c>
    </row>
    <row r="114" spans="1:11" ht="135">
      <c r="A114" s="153">
        <v>1006</v>
      </c>
      <c r="B114" s="143" t="s">
        <v>247</v>
      </c>
      <c r="C114" s="144">
        <v>20252</v>
      </c>
      <c r="D114" s="144">
        <v>162.1</v>
      </c>
      <c r="E114" s="145">
        <f t="shared" si="12"/>
        <v>0.8004147738494962</v>
      </c>
      <c r="F114" s="146"/>
      <c r="G114" s="146"/>
      <c r="H114" s="147" t="e">
        <f>G114/F114*100</f>
        <v>#DIV/0!</v>
      </c>
      <c r="I114" s="148">
        <f t="shared" si="11"/>
        <v>20252</v>
      </c>
      <c r="J114" s="149">
        <f t="shared" si="11"/>
        <v>162.1</v>
      </c>
      <c r="K114" s="150">
        <f t="shared" si="10"/>
        <v>0.8004147738494962</v>
      </c>
    </row>
    <row r="115" spans="1:11" ht="71.25">
      <c r="A115" s="171">
        <v>1100</v>
      </c>
      <c r="B115" s="138" t="s">
        <v>248</v>
      </c>
      <c r="C115" s="139">
        <f>SUM(C116:C118)</f>
        <v>101748.9</v>
      </c>
      <c r="D115" s="139">
        <f>SUM(D116:D117)</f>
        <v>11310.6</v>
      </c>
      <c r="E115" s="139">
        <f>D115/C115*100</f>
        <v>11.1161889710847</v>
      </c>
      <c r="F115" s="163">
        <f>F116+F117</f>
        <v>37431</v>
      </c>
      <c r="G115" s="163">
        <f>G116+G117</f>
        <v>871.9</v>
      </c>
      <c r="H115" s="140">
        <f>G115/F115*100</f>
        <v>2.329352675589752</v>
      </c>
      <c r="I115" s="163">
        <f>I116+I117+I118</f>
        <v>139117.9</v>
      </c>
      <c r="J115" s="163">
        <f>SUM(J116:J117)</f>
        <v>12182.5</v>
      </c>
      <c r="K115" s="141">
        <f t="shared" si="10"/>
        <v>8.756960822439098</v>
      </c>
    </row>
    <row r="116" spans="1:11" ht="45">
      <c r="A116" s="153">
        <v>1101</v>
      </c>
      <c r="B116" s="143" t="s">
        <v>249</v>
      </c>
      <c r="C116" s="144">
        <v>101077.4</v>
      </c>
      <c r="D116" s="144">
        <v>11310.6</v>
      </c>
      <c r="E116" s="145">
        <f t="shared" si="12"/>
        <v>11.19003852493238</v>
      </c>
      <c r="F116" s="146">
        <v>37431</v>
      </c>
      <c r="G116" s="146">
        <v>871.9</v>
      </c>
      <c r="H116" s="147">
        <f>G116/F116*100</f>
        <v>2.329352675589752</v>
      </c>
      <c r="I116" s="151">
        <f>C116+F116-62</f>
        <v>138446.4</v>
      </c>
      <c r="J116" s="151">
        <f>D116+G116</f>
        <v>12182.5</v>
      </c>
      <c r="K116" s="150">
        <f t="shared" si="10"/>
        <v>8.799434293705001</v>
      </c>
    </row>
    <row r="117" spans="1:11" ht="30">
      <c r="A117" s="153">
        <v>1102</v>
      </c>
      <c r="B117" s="143" t="s">
        <v>250</v>
      </c>
      <c r="C117" s="144">
        <v>165</v>
      </c>
      <c r="D117" s="144"/>
      <c r="E117" s="145">
        <f t="shared" si="12"/>
        <v>0</v>
      </c>
      <c r="F117" s="146"/>
      <c r="G117" s="146">
        <v>0</v>
      </c>
      <c r="H117" s="147"/>
      <c r="I117" s="148">
        <f>C117+F117</f>
        <v>165</v>
      </c>
      <c r="J117" s="149">
        <f>D117+G117</f>
        <v>0</v>
      </c>
      <c r="K117" s="150">
        <f t="shared" si="10"/>
        <v>0</v>
      </c>
    </row>
    <row r="118" spans="1:11" ht="60">
      <c r="A118" s="153" t="s">
        <v>251</v>
      </c>
      <c r="B118" s="143" t="s">
        <v>252</v>
      </c>
      <c r="C118" s="144">
        <v>506.5</v>
      </c>
      <c r="D118" s="144"/>
      <c r="E118" s="145"/>
      <c r="F118" s="146"/>
      <c r="G118" s="146"/>
      <c r="H118" s="147"/>
      <c r="I118" s="148">
        <f>C118+F118</f>
        <v>506.5</v>
      </c>
      <c r="J118" s="149">
        <f>D118+G118</f>
        <v>0</v>
      </c>
      <c r="K118" s="150">
        <f t="shared" si="10"/>
        <v>0</v>
      </c>
    </row>
    <row r="119" spans="1:11" ht="85.5">
      <c r="A119" s="171">
        <v>1200</v>
      </c>
      <c r="B119" s="138" t="s">
        <v>253</v>
      </c>
      <c r="C119" s="139">
        <f>SUM(C120:C120)</f>
        <v>6855</v>
      </c>
      <c r="D119" s="139">
        <f>SUM(D120:D120)</f>
        <v>735.4</v>
      </c>
      <c r="E119" s="155">
        <f>D119/C119*100</f>
        <v>10.727935813274982</v>
      </c>
      <c r="F119" s="139"/>
      <c r="G119" s="139"/>
      <c r="H119" s="140"/>
      <c r="I119" s="139">
        <f aca="true" t="shared" si="13" ref="I119:J122">C119+F119</f>
        <v>6855</v>
      </c>
      <c r="J119" s="139">
        <f t="shared" si="13"/>
        <v>735.4</v>
      </c>
      <c r="K119" s="179">
        <f t="shared" si="10"/>
        <v>10.727935813274982</v>
      </c>
    </row>
    <row r="120" spans="1:11" ht="75">
      <c r="A120" s="153" t="s">
        <v>254</v>
      </c>
      <c r="B120" s="143" t="s">
        <v>255</v>
      </c>
      <c r="C120" s="144">
        <v>6855</v>
      </c>
      <c r="D120" s="144">
        <v>735.4</v>
      </c>
      <c r="E120" s="145">
        <f>D120/C120*100</f>
        <v>10.727935813274982</v>
      </c>
      <c r="F120" s="146"/>
      <c r="G120" s="146"/>
      <c r="H120" s="147"/>
      <c r="I120" s="148">
        <f t="shared" si="13"/>
        <v>6855</v>
      </c>
      <c r="J120" s="149">
        <f t="shared" si="13"/>
        <v>735.4</v>
      </c>
      <c r="K120" s="150">
        <f>J120/I120*100</f>
        <v>10.727935813274982</v>
      </c>
    </row>
    <row r="121" spans="1:11" ht="114">
      <c r="A121" s="171">
        <v>1300</v>
      </c>
      <c r="B121" s="138" t="s">
        <v>256</v>
      </c>
      <c r="C121" s="139">
        <f aca="true" t="shared" si="14" ref="C121:H121">C122</f>
        <v>30</v>
      </c>
      <c r="D121" s="139">
        <f t="shared" si="14"/>
        <v>0</v>
      </c>
      <c r="E121" s="139">
        <f t="shared" si="14"/>
        <v>0</v>
      </c>
      <c r="F121" s="139">
        <f t="shared" si="14"/>
        <v>0</v>
      </c>
      <c r="G121" s="139">
        <f t="shared" si="14"/>
        <v>0</v>
      </c>
      <c r="H121" s="155">
        <f t="shared" si="14"/>
        <v>0</v>
      </c>
      <c r="I121" s="139">
        <f t="shared" si="13"/>
        <v>30</v>
      </c>
      <c r="J121" s="139">
        <f t="shared" si="13"/>
        <v>0</v>
      </c>
      <c r="K121" s="179">
        <f t="shared" si="10"/>
        <v>0</v>
      </c>
    </row>
    <row r="122" spans="1:11" ht="150">
      <c r="A122" s="153">
        <v>1301</v>
      </c>
      <c r="B122" s="143" t="s">
        <v>257</v>
      </c>
      <c r="C122" s="144">
        <v>30</v>
      </c>
      <c r="D122" s="144"/>
      <c r="E122" s="145">
        <f t="shared" si="12"/>
        <v>0</v>
      </c>
      <c r="F122" s="146"/>
      <c r="G122" s="146">
        <v>0</v>
      </c>
      <c r="H122" s="147">
        <v>0</v>
      </c>
      <c r="I122" s="139">
        <f t="shared" si="13"/>
        <v>30</v>
      </c>
      <c r="J122" s="149">
        <f t="shared" si="13"/>
        <v>0</v>
      </c>
      <c r="K122" s="150">
        <f t="shared" si="10"/>
        <v>0</v>
      </c>
    </row>
    <row r="123" spans="1:11" ht="71.25">
      <c r="A123" s="171">
        <v>1400</v>
      </c>
      <c r="B123" s="138" t="s">
        <v>258</v>
      </c>
      <c r="C123" s="139">
        <f>SUM(C124:C126)</f>
        <v>291094</v>
      </c>
      <c r="D123" s="139">
        <f>SUM(D124:D126)</f>
        <v>19603</v>
      </c>
      <c r="E123" s="139">
        <f>D123/C123*100</f>
        <v>6.734250791840436</v>
      </c>
      <c r="F123" s="163">
        <f>F124+F125+F126</f>
        <v>0</v>
      </c>
      <c r="G123" s="163">
        <f>SUM(G124:G126)</f>
        <v>0</v>
      </c>
      <c r="H123" s="163"/>
      <c r="I123" s="139"/>
      <c r="J123" s="163">
        <v>0</v>
      </c>
      <c r="K123" s="141">
        <v>0</v>
      </c>
    </row>
    <row r="124" spans="1:11" ht="210">
      <c r="A124" s="153">
        <v>1401</v>
      </c>
      <c r="B124" s="143" t="s">
        <v>259</v>
      </c>
      <c r="C124" s="144">
        <v>132972</v>
      </c>
      <c r="D124" s="144">
        <v>3621.5</v>
      </c>
      <c r="E124" s="145">
        <f t="shared" si="12"/>
        <v>2.723505700448215</v>
      </c>
      <c r="F124" s="146">
        <v>0</v>
      </c>
      <c r="G124" s="146">
        <v>0</v>
      </c>
      <c r="H124" s="147">
        <v>0</v>
      </c>
      <c r="I124" s="139">
        <f>C124+F124-132972</f>
        <v>0</v>
      </c>
      <c r="J124" s="151">
        <f>D124+G124-3621.5</f>
        <v>0</v>
      </c>
      <c r="K124" s="150">
        <v>0</v>
      </c>
    </row>
    <row r="125" spans="1:11" ht="30">
      <c r="A125" s="153">
        <v>1402</v>
      </c>
      <c r="B125" s="143" t="s">
        <v>260</v>
      </c>
      <c r="C125" s="144">
        <v>157222</v>
      </c>
      <c r="D125" s="144">
        <v>15981.5</v>
      </c>
      <c r="E125" s="145">
        <f t="shared" si="12"/>
        <v>10.164926028163999</v>
      </c>
      <c r="F125" s="146">
        <v>0</v>
      </c>
      <c r="G125" s="146">
        <v>0</v>
      </c>
      <c r="H125" s="147">
        <v>0</v>
      </c>
      <c r="I125" s="139">
        <f>C125+F125-157222</f>
        <v>0</v>
      </c>
      <c r="J125" s="151">
        <f>D125+G125-15981.5</f>
        <v>0</v>
      </c>
      <c r="K125" s="150">
        <v>0</v>
      </c>
    </row>
    <row r="126" spans="1:11" ht="75">
      <c r="A126" s="153">
        <v>1403</v>
      </c>
      <c r="B126" s="143" t="s">
        <v>261</v>
      </c>
      <c r="C126" s="144">
        <v>900</v>
      </c>
      <c r="D126" s="144"/>
      <c r="E126" s="145">
        <f t="shared" si="12"/>
        <v>0</v>
      </c>
      <c r="F126" s="146">
        <v>0</v>
      </c>
      <c r="G126" s="146">
        <v>0</v>
      </c>
      <c r="H126" s="147">
        <v>0</v>
      </c>
      <c r="I126" s="139">
        <f>C126+F126-900</f>
        <v>0</v>
      </c>
      <c r="J126" s="151">
        <f>D126+G126</f>
        <v>0</v>
      </c>
      <c r="K126" s="150">
        <v>0</v>
      </c>
    </row>
    <row r="127" spans="1:11" ht="15" thickBot="1">
      <c r="A127" s="180" t="s">
        <v>262</v>
      </c>
      <c r="B127" s="181"/>
      <c r="C127" s="182">
        <f>C9+C18+C20+C25+C49+C85+C87+C98+C103+C106+C115+C119+C121+C123</f>
        <v>4214779.9</v>
      </c>
      <c r="D127" s="182">
        <f>D123+D121+D119+D115+D106+D103+D98+D87+D85+D49+D25+D20+D18+D9</f>
        <v>231956.46999999997</v>
      </c>
      <c r="E127" s="182">
        <f>D127/C127*100</f>
        <v>5.503406476812703</v>
      </c>
      <c r="F127" s="182">
        <f>F9+F18+F20+F25+F49+F85+F87+F98+F103+F106+F115+F119+F121+F123</f>
        <v>574689.5</v>
      </c>
      <c r="G127" s="182">
        <f>G123+G121+G119+G106+G103+G98+G87+G49+G25+G21+G18+G9+G20+G115+G85</f>
        <v>27126.4</v>
      </c>
      <c r="H127" s="183">
        <f>G127/F127*100</f>
        <v>4.7201836817968665</v>
      </c>
      <c r="I127" s="182">
        <f>I123+I121+I119+I115+I106+I103+I98+I87+I85+I49+I25+I20+I18+I9</f>
        <v>4393355.6</v>
      </c>
      <c r="J127" s="182">
        <f>J123+J121+J119+J115+J106+J103+J98+J87+J85+J49+J25+J20+J18+J9</f>
        <v>235497.46999999997</v>
      </c>
      <c r="K127" s="184">
        <f t="shared" si="10"/>
        <v>5.360309782344958</v>
      </c>
    </row>
    <row r="128" spans="1:11" ht="12.75">
      <c r="A128" s="185"/>
      <c r="B128" s="186"/>
      <c r="C128" s="187"/>
      <c r="D128" s="109"/>
      <c r="E128" s="188"/>
      <c r="F128" s="111"/>
      <c r="G128" s="111"/>
      <c r="H128" s="112"/>
      <c r="I128" s="114"/>
      <c r="J128" s="114"/>
      <c r="K128" s="115"/>
    </row>
    <row r="129" spans="1:11" ht="12.75">
      <c r="A129" s="189"/>
      <c r="B129" s="190"/>
      <c r="C129" s="191"/>
      <c r="D129" s="191"/>
      <c r="E129" s="192"/>
      <c r="F129" s="191"/>
      <c r="G129" s="191"/>
      <c r="H129" s="192"/>
      <c r="I129" s="192"/>
      <c r="J129" s="192"/>
      <c r="K129" s="192"/>
    </row>
    <row r="130" spans="1:11" ht="12.75">
      <c r="A130" s="189"/>
      <c r="B130" s="190"/>
      <c r="C130" s="193"/>
      <c r="D130" s="193"/>
      <c r="E130" s="188"/>
      <c r="F130" s="111"/>
      <c r="G130" s="111"/>
      <c r="H130" s="112"/>
      <c r="I130" s="113"/>
      <c r="J130" s="114"/>
      <c r="K130" s="115"/>
    </row>
    <row r="131" spans="1:11" ht="12.75">
      <c r="A131" s="194" t="s">
        <v>263</v>
      </c>
      <c r="B131" s="194"/>
      <c r="C131" s="194"/>
      <c r="D131" s="195"/>
      <c r="E131" s="196"/>
      <c r="F131" s="195"/>
      <c r="G131" s="111"/>
      <c r="H131" s="112"/>
      <c r="I131" s="115"/>
      <c r="J131" s="114"/>
      <c r="K131" s="115"/>
    </row>
    <row r="132" spans="1:11" ht="12.75">
      <c r="A132" s="194" t="s">
        <v>264</v>
      </c>
      <c r="B132" s="194"/>
      <c r="C132" s="194"/>
      <c r="D132" s="197"/>
      <c r="E132" s="198" t="s">
        <v>265</v>
      </c>
      <c r="F132" s="198"/>
      <c r="G132" s="111"/>
      <c r="H132" s="112"/>
      <c r="I132" s="113"/>
      <c r="J132" s="114"/>
      <c r="K132" s="115"/>
    </row>
    <row r="133" spans="1:11" ht="12.75">
      <c r="A133" s="199"/>
      <c r="B133" s="200"/>
      <c r="C133" s="201"/>
      <c r="D133" s="202"/>
      <c r="E133" s="203"/>
      <c r="F133" s="204"/>
      <c r="G133" s="111"/>
      <c r="H133" s="112"/>
      <c r="I133" s="113"/>
      <c r="J133" s="114"/>
      <c r="K133" s="115"/>
    </row>
    <row r="134" spans="1:11" ht="12.75">
      <c r="A134" s="194" t="s">
        <v>266</v>
      </c>
      <c r="B134" s="194"/>
      <c r="C134" s="194"/>
      <c r="D134" s="205"/>
      <c r="E134" s="198" t="s">
        <v>267</v>
      </c>
      <c r="F134" s="198"/>
      <c r="G134" s="111"/>
      <c r="H134" s="112"/>
      <c r="I134" s="113"/>
      <c r="J134" s="114"/>
      <c r="K134" s="115"/>
    </row>
    <row r="135" spans="1:11" ht="12.75">
      <c r="A135" s="199"/>
      <c r="B135" s="206"/>
      <c r="C135" s="207"/>
      <c r="D135" s="208"/>
      <c r="E135" s="203"/>
      <c r="F135" s="204"/>
      <c r="G135" s="111"/>
      <c r="H135" s="112"/>
      <c r="I135" s="113"/>
      <c r="J135" s="114"/>
      <c r="K135" s="115"/>
    </row>
    <row r="136" spans="1:11" ht="12.75">
      <c r="A136" s="194" t="s">
        <v>268</v>
      </c>
      <c r="B136" s="194"/>
      <c r="C136" s="194"/>
      <c r="D136" s="205"/>
      <c r="E136" s="198" t="s">
        <v>269</v>
      </c>
      <c r="F136" s="198"/>
      <c r="G136" s="111"/>
      <c r="H136" s="112"/>
      <c r="I136" s="113"/>
      <c r="J136" s="114"/>
      <c r="K136" s="115"/>
    </row>
    <row r="137" spans="1:11" ht="12.75">
      <c r="A137" s="209"/>
      <c r="B137" s="210"/>
      <c r="C137" s="211"/>
      <c r="D137" s="195"/>
      <c r="E137" s="212"/>
      <c r="F137" s="195"/>
      <c r="G137" s="111"/>
      <c r="H137" s="112"/>
      <c r="I137" s="115"/>
      <c r="J137" s="114"/>
      <c r="K137" s="115"/>
    </row>
    <row r="138" spans="1:10" ht="12.75">
      <c r="A138" s="213"/>
      <c r="B138" s="213"/>
      <c r="C138" s="214" t="s">
        <v>270</v>
      </c>
      <c r="D138" s="215"/>
      <c r="E138" s="216" t="s">
        <v>271</v>
      </c>
      <c r="F138" s="217"/>
      <c r="G138" s="218"/>
      <c r="I138" t="s">
        <v>272</v>
      </c>
      <c r="J138" s="218"/>
    </row>
  </sheetData>
  <sheetProtection/>
  <mergeCells count="35">
    <mergeCell ref="A131:C131"/>
    <mergeCell ref="A132:C132"/>
    <mergeCell ref="E132:F132"/>
    <mergeCell ref="A134:C134"/>
    <mergeCell ref="E134:F134"/>
    <mergeCell ref="A136:C136"/>
    <mergeCell ref="E136:F136"/>
    <mergeCell ref="G20:G21"/>
    <mergeCell ref="H20:H21"/>
    <mergeCell ref="I20:I21"/>
    <mergeCell ref="J20:J21"/>
    <mergeCell ref="K20:K21"/>
    <mergeCell ref="A127:B127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2019-02-08T10:19:21Z</cp:lastPrinted>
  <dcterms:created xsi:type="dcterms:W3CDTF">2006-05-12T06:58:42Z</dcterms:created>
  <dcterms:modified xsi:type="dcterms:W3CDTF">2020-05-27T11:41:19Z</dcterms:modified>
  <cp:category/>
  <cp:version/>
  <cp:contentType/>
  <cp:contentStatus/>
</cp:coreProperties>
</file>