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2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comments3.xml><?xml version="1.0" encoding="utf-8"?>
<comments xmlns="http://schemas.openxmlformats.org/spreadsheetml/2006/main">
  <authors>
    <author>Мальгин Сергей Витальевич</author>
  </authors>
  <commentList>
    <comment ref="F85" authorId="0">
      <text>
        <r>
          <rPr>
            <b/>
            <sz val="8"/>
            <rFont val="Tahoma"/>
            <family val="2"/>
          </rPr>
          <t>Мальгин Сергей Витальевич:</t>
        </r>
        <r>
          <rPr>
            <sz val="8"/>
            <rFont val="Tahoma"/>
            <family val="2"/>
          </rPr>
          <t xml:space="preserve">
03.1.5644</t>
        </r>
      </text>
    </comment>
    <comment ref="F86" authorId="0">
      <text>
        <r>
          <rPr>
            <b/>
            <sz val="8"/>
            <rFont val="Tahoma"/>
            <family val="2"/>
          </rPr>
          <t>Мальгин Сергей Витальевич:</t>
        </r>
        <r>
          <rPr>
            <sz val="8"/>
            <rFont val="Tahoma"/>
            <family val="2"/>
          </rPr>
          <t xml:space="preserve">
40.7.2113 окружные</t>
        </r>
      </text>
    </comment>
  </commentList>
</comments>
</file>

<file path=xl/sharedStrings.xml><?xml version="1.0" encoding="utf-8"?>
<sst xmlns="http://schemas.openxmlformats.org/spreadsheetml/2006/main" count="847" uniqueCount="331">
  <si>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</si>
  <si>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</si>
  <si>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</si>
  <si>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</si>
  <si>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</si>
  <si>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</si>
  <si>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</si>
  <si>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</si>
  <si>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</si>
  <si>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</si>
  <si>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</si>
  <si>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</si>
  <si>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</si>
  <si>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</si>
  <si>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</si>
  <si>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</si>
  <si>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</si>
  <si>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</si>
  <si>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</si>
  <si>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</si>
  <si>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</si>
  <si>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</si>
  <si>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</si>
  <si>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</si>
  <si>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</si>
  <si>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</si>
  <si>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</si>
  <si>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</si>
  <si>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</si>
  <si>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</si>
  <si>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</si>
  <si>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</si>
  <si>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</si>
  <si>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</si>
  <si>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</si>
  <si>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</si>
  <si>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</si>
  <si>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</si>
  <si>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</si>
  <si>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</si>
  <si>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</si>
  <si>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</si>
  <si>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</si>
  <si>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</si>
  <si>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</si>
  <si>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</si>
  <si>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</si>
  <si>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</si>
  <si>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</si>
  <si>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</si>
  <si>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</si>
  <si>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</si>
  <si>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</si>
  <si>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</si>
  <si>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</si>
  <si>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</si>
  <si>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</si>
  <si>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</si>
  <si>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</si>
  <si>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</si>
  <si>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</si>
  <si>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</si>
  <si>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</si>
  <si>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</si>
  <si>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</si>
  <si>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</si>
  <si>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</si>
  <si>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</si>
  <si>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</si>
  <si>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</si>
  <si>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</si>
  <si>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</si>
  <si>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</si>
  <si>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</si>
  <si>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</si>
  <si>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</si>
  <si>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</si>
  <si>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</si>
  <si>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</si>
  <si>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</si>
  <si>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</si>
  <si>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</si>
  <si>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</si>
  <si>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</si>
  <si>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</si>
  <si>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</si>
  <si>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</si>
  <si>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</si>
  <si>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</si>
  <si>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</si>
  <si>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</si>
  <si>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</si>
  <si>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</si>
  <si>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</si>
  <si>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</si>
  <si>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</si>
  <si>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</si>
  <si>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</si>
  <si>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</si>
  <si>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</si>
  <si>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</si>
  <si>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</si>
  <si>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</si>
  <si>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</si>
  <si>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</si>
  <si>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</si>
  <si>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</si>
  <si>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</si>
  <si>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</si>
  <si>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</si>
  <si>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</si>
  <si>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</si>
  <si>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</si>
  <si>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</si>
  <si>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</si>
  <si>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</si>
  <si>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</si>
  <si>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</si>
  <si>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</si>
  <si>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</si>
  <si>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</si>
  <si>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</si>
  <si>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</si>
  <si>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</si>
  <si>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</si>
  <si>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</si>
  <si>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</si>
  <si>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</si>
  <si>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</si>
  <si>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</si>
  <si>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</si>
  <si>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</si>
  <si>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</si>
  <si>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</si>
  <si>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</si>
  <si>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</si>
  <si>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</si>
  <si>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</si>
  <si>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</si>
  <si>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</si>
  <si>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</si>
  <si>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</si>
  <si>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</si>
  <si>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</si>
  <si>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</si>
  <si>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</si>
  <si>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</si>
  <si>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</si>
  <si>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</si>
  <si>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</si>
  <si>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</si>
  <si>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</si>
  <si>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</si>
  <si>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</si>
  <si>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</si>
  <si>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</si>
  <si>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</si>
  <si>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</si>
  <si>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</si>
  <si>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</si>
  <si>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</si>
  <si>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</si>
  <si>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</si>
  <si>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</si>
  <si>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</si>
  <si>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</si>
  <si>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</si>
  <si>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</si>
  <si>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</si>
  <si>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</si>
  <si>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</si>
  <si>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</si>
  <si>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</si>
  <si>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</si>
  <si>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</si>
  <si>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</si>
  <si>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</si>
  <si>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</si>
  <si>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</si>
  <si>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</si>
  <si>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</si>
  <si>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</si>
  <si>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</si>
  <si>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</si>
  <si>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</si>
  <si>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</si>
  <si>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</si>
  <si>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</si>
  <si>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</si>
  <si>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</si>
  <si>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</si>
  <si>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</si>
  <si>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</si>
  <si>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</si>
  <si>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</si>
  <si>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</si>
  <si>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</si>
  <si>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</si>
  <si>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</si>
  <si>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</si>
  <si>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</si>
  <si>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</si>
  <si>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</si>
  <si>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</si>
  <si>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00011900000000000000</t>
  </si>
  <si>
    <t>Возврат остатков субсидий и субвенций прошлых лет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</si>
  <si>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</si>
  <si>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</si>
  <si>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</si>
  <si>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</si>
  <si>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</si>
  <si>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</si>
  <si>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</si>
  <si>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</si>
  <si>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</si>
  <si>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</si>
  <si>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</si>
  <si>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</si>
  <si>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</si>
  <si>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</si>
  <si>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</si>
  <si>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</si>
  <si>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</si>
  <si>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</si>
  <si>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</si>
  <si>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</si>
  <si>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</si>
  <si>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</si>
  <si>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</si>
  <si>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</si>
  <si>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</si>
  <si>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</si>
  <si>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</si>
  <si>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</si>
  <si>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</si>
  <si>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</si>
  <si>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</si>
  <si>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</si>
  <si>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</si>
  <si>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</si>
  <si>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</si>
  <si>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</si>
  <si>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</si>
  <si>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</si>
  <si>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</si>
  <si>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</si>
  <si>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</si>
  <si>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</si>
  <si>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</si>
  <si>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</si>
  <si>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Подпрограмма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 (09.5.5410)</t>
  </si>
  <si>
    <t>Капитальный ремонт жилого фонда (40.6.2120)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</si>
  <si>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 и доля</t>
  </si>
  <si>
    <t>Реализация мероприятий  муниципальной  программы "О защите   населения и территории Октябрьского  района от чрезвычайных  ситуаций природного  и  техногенного  характера на 2014-2016 годы " (14.0.2123, 14.0.2124)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</si>
  <si>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</si>
  <si>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</si>
  <si>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(20.2.5645)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</si>
  <si>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</si>
  <si>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</si>
  <si>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</si>
  <si>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Центральный аппарат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</si>
  <si>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</si>
  <si>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(11.5.5135) 01.20.04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</si>
  <si>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(11.6.5440)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</si>
  <si>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</si>
  <si>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</si>
  <si>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</si>
  <si>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ХМАО-Югры на 2014-2020 годы" (03.4.5512)</t>
  </si>
  <si>
    <t>(тыс.руб.)</t>
  </si>
  <si>
    <t>План на 2014 год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</si>
  <si>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</si>
  <si>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</si>
  <si>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</si>
  <si>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</si>
  <si>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</si>
  <si>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</si>
  <si>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</si>
  <si>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</si>
  <si>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</si>
  <si>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2014 год </t>
  </si>
  <si>
    <t>00010300000000000000</t>
  </si>
  <si>
    <t>Акцизы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</si>
  <si>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</si>
  <si>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</si>
  <si>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</si>
  <si>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</si>
  <si>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(10.3.5411) 01.02.00 централизов. электроснабжение  доля местного бюджета</t>
  </si>
  <si>
    <t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годы"(газоснабжение) (10.3.5521)</t>
  </si>
  <si>
    <t>Мероприятия в области коммунального хозяйства (40.6.2125)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</si>
  <si>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(40.7.2113)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</si>
  <si>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(09.1.2119)(ликвидация  приспособленных для проживания строений за счет средств местного бюджета)</t>
  </si>
  <si>
    <t>Подпрограмма "Ликвидация приспособленных для проживания строений, расположенных в местах их сосредоточения в муниципальном образовании Октябрьский район" (09.3.5410) окружной бюджет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</si>
  <si>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</si>
  <si>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</si>
  <si>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</si>
  <si>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</si>
  <si>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</si>
  <si>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</si>
  <si>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(03.1.5408) строительство объектов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</si>
  <si>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(09.1.2119) (молодая семья за счет средств местного бюджета)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</si>
  <si>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(03.4.5511)</t>
  </si>
  <si>
    <t>План                 на 1 полугодие 2014 года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</si>
  <si>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</si>
  <si>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Создание условий для обеспечения качественными коммунальными услугами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годы"(ремонт внутрипос. сетей электроснаб. п.Карымкары) (10.1.5411)</t>
  </si>
  <si>
    <t>Субсидии на предоставление государственных услуг в многофункциональных центрах предоставления государственных и муниципальных услуг (17.1.5427) тс.01.40.07</t>
  </si>
  <si>
    <t>Субвенции на реализацию муниципальной  программы "Развитие агропромышленного комплекса  муниципального  образования  Октябрьский  район  на 2014-2020 годы " (05.0.5523)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</si>
  <si>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модернизация ЖКХ 01.40.01 окружной бюджет тс. 01.60.00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</si>
  <si>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модернизация ЖКХ 01.00.00 местный бюджет</t>
  </si>
  <si>
    <t xml:space="preserve"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01.40.36, 01.60.00 (инженерные сети). </t>
  </si>
  <si>
    <t>Подпрограмма "Создание условий для обеспечения качественными коммунальными услугами" программы "Развитие жилищно-коммунального комплекса и повышение энергетической эффективности в Октябрьском районе на 2014-2016 годы" (разработка программы "Комплексная система развития ЖКХ", газификация жилого в пгт.Приобье) (10.1.2120)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</si>
  <si>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(подготовка к зиме) (10.1.5643), ОЗП, 01.40.50, 01.02.00</t>
  </si>
  <si>
    <t>Подпрограмма "Библиотечное дело" 03.1.5644</t>
  </si>
  <si>
    <t>Агеева Н.В.</t>
  </si>
  <si>
    <t>Отчет об исполнении консолидированного бюджета Октябрьского района по состоянию на 01.08.2014</t>
  </si>
  <si>
    <t>План 9 месяцев 2014</t>
  </si>
  <si>
    <t>Исполнение на 01.08.2014</t>
  </si>
  <si>
    <t xml:space="preserve">% исп-ия к плану на 9 месяцев 2014 года </t>
  </si>
  <si>
    <t>Отчет  об  исполнении  консолидированного  бюджета  района  по  расходам на 1 августа 2014 года</t>
  </si>
  <si>
    <t>исполнение на 01.08.2014</t>
  </si>
  <si>
    <t>исполнения на 01.08.2014</t>
  </si>
  <si>
    <t xml:space="preserve">Субсидии на реализацию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Октябрьском районе на 2014-2016 годы" (10.2.5642) 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</si>
  <si>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(10.1.5643)</t>
  </si>
  <si>
    <t xml:space="preserve"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(прочие потребители) (10.3.5411) 01.40.28 централизов. электроснабжение округ </t>
  </si>
  <si>
    <t xml:space="preserve"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в части населения (электроснабжение) (10.3.5521)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</si>
  <si>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 (40.6.2141)</t>
  </si>
  <si>
    <t>Другие вопросы в области жилищно-коммунального хозяйства (администрация,  Шеркалы - самый благоустроенный поселок)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</si>
  <si>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местный бюджет</t>
  </si>
  <si>
    <t>И.о. заведующего отделом учета исполнения бюджета</t>
  </si>
  <si>
    <t>Мальгин С.В.</t>
  </si>
  <si>
    <t>И.о. заведующего отделом доходов</t>
  </si>
  <si>
    <t>Бакшеева Л.А.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</si>
</sst>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16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 shrinkToFi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vertical="top"/>
    </xf>
    <xf numFmtId="164" fontId="19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19" fillId="0" borderId="14" xfId="53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9" fillId="0" borderId="0" xfId="53" applyNumberFormat="1" applyFont="1" applyFill="1" applyBorder="1" applyAlignment="1">
      <alignment horizontal="center" vertical="center" wrapText="1"/>
      <protection/>
    </xf>
    <xf numFmtId="164" fontId="19" fillId="0" borderId="0" xfId="0" applyNumberFormat="1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left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 horizontal="right"/>
    </xf>
    <xf numFmtId="49" fontId="16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left" vertical="top"/>
    </xf>
    <xf numFmtId="165" fontId="14" fillId="0" borderId="2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0" fontId="17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vertical="top"/>
    </xf>
    <xf numFmtId="165" fontId="13" fillId="0" borderId="17" xfId="0" applyNumberFormat="1" applyFont="1" applyFill="1" applyBorder="1" applyAlignment="1">
      <alignment horizontal="right" vertical="top"/>
    </xf>
    <xf numFmtId="0" fontId="17" fillId="0" borderId="20" xfId="0" applyFont="1" applyFill="1" applyBorder="1" applyAlignment="1">
      <alignment vertical="top" wrapText="1"/>
    </xf>
    <xf numFmtId="165" fontId="14" fillId="0" borderId="18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left" vertical="top" wrapText="1"/>
    </xf>
    <xf numFmtId="49" fontId="16" fillId="0" borderId="2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7" fillId="0" borderId="17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7" xfId="0" applyNumberFormat="1" applyFont="1" applyFill="1" applyBorder="1" applyAlignment="1">
      <alignment horizontal="left" vertical="top"/>
    </xf>
    <xf numFmtId="49" fontId="17" fillId="0" borderId="14" xfId="0" applyNumberFormat="1" applyFont="1" applyFill="1" applyBorder="1" applyAlignment="1">
      <alignment horizontal="left" vertical="top" wrapText="1"/>
    </xf>
    <xf numFmtId="164" fontId="22" fillId="0" borderId="10" xfId="53" applyNumberFormat="1" applyFont="1" applyFill="1" applyBorder="1" applyAlignment="1">
      <alignment horizontal="center" vertical="center" wrapText="1"/>
      <protection/>
    </xf>
    <xf numFmtId="164" fontId="23" fillId="0" borderId="10" xfId="0" applyNumberFormat="1" applyFont="1" applyBorder="1" applyAlignment="1">
      <alignment horizontal="center" vertical="center" wrapText="1"/>
    </xf>
    <xf numFmtId="49" fontId="25" fillId="33" borderId="11" xfId="53" applyNumberFormat="1" applyFont="1" applyFill="1" applyBorder="1" applyAlignment="1" quotePrefix="1">
      <alignment horizontal="center" vertical="center" wrapText="1"/>
      <protection/>
    </xf>
    <xf numFmtId="0" fontId="25" fillId="33" borderId="10" xfId="53" applyNumberFormat="1" applyFont="1" applyFill="1" applyBorder="1" applyAlignment="1">
      <alignment horizontal="left" vertical="center" wrapText="1"/>
      <protection/>
    </xf>
    <xf numFmtId="164" fontId="23" fillId="33" borderId="10" xfId="53" applyNumberFormat="1" applyFont="1" applyFill="1" applyBorder="1" applyAlignment="1">
      <alignment horizontal="center" vertical="center" wrapText="1"/>
      <protection/>
    </xf>
    <xf numFmtId="164" fontId="22" fillId="33" borderId="10" xfId="0" applyNumberFormat="1" applyFont="1" applyFill="1" applyBorder="1" applyAlignment="1">
      <alignment horizontal="center" vertical="center" wrapText="1"/>
    </xf>
    <xf numFmtId="164" fontId="23" fillId="33" borderId="15" xfId="0" applyNumberFormat="1" applyFont="1" applyFill="1" applyBorder="1" applyAlignment="1">
      <alignment horizontal="center" vertical="center" wrapText="1"/>
    </xf>
    <xf numFmtId="49" fontId="21" fillId="0" borderId="11" xfId="53" applyNumberFormat="1" applyFont="1" applyFill="1" applyBorder="1" applyAlignment="1" quotePrefix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left" vertical="center" wrapText="1"/>
      <protection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164" fontId="22" fillId="33" borderId="10" xfId="53" applyNumberFormat="1" applyFont="1" applyFill="1" applyBorder="1" applyAlignment="1">
      <alignment horizontal="center" vertical="center" wrapText="1"/>
      <protection/>
    </xf>
    <xf numFmtId="164" fontId="23" fillId="33" borderId="15" xfId="53" applyNumberFormat="1" applyFont="1" applyFill="1" applyBorder="1" applyAlignment="1">
      <alignment horizontal="center" vertical="center" wrapText="1"/>
      <protection/>
    </xf>
    <xf numFmtId="0" fontId="21" fillId="34" borderId="10" xfId="53" applyNumberFormat="1" applyFont="1" applyFill="1" applyBorder="1" applyAlignment="1">
      <alignment horizontal="left" vertical="center" wrapText="1"/>
      <protection/>
    </xf>
    <xf numFmtId="164" fontId="22" fillId="35" borderId="10" xfId="53" applyNumberFormat="1" applyFont="1" applyFill="1" applyBorder="1" applyAlignment="1">
      <alignment horizontal="center" vertical="center" wrapText="1"/>
      <protection/>
    </xf>
    <xf numFmtId="164" fontId="22" fillId="35" borderId="10" xfId="0" applyNumberFormat="1" applyFont="1" applyFill="1" applyBorder="1" applyAlignment="1">
      <alignment horizontal="center" vertical="center" wrapText="1"/>
    </xf>
    <xf numFmtId="0" fontId="22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23" fillId="33" borderId="10" xfId="0" applyNumberFormat="1" applyFont="1" applyFill="1" applyBorder="1" applyAlignment="1">
      <alignment horizontal="center" vertical="center" wrapText="1"/>
    </xf>
    <xf numFmtId="49" fontId="21" fillId="35" borderId="11" xfId="53" applyNumberFormat="1" applyFont="1" applyFill="1" applyBorder="1" applyAlignment="1">
      <alignment horizontal="center" vertical="center" wrapText="1"/>
      <protection/>
    </xf>
    <xf numFmtId="0" fontId="21" fillId="35" borderId="10" xfId="53" applyNumberFormat="1" applyFont="1" applyFill="1" applyBorder="1" applyAlignment="1">
      <alignment horizontal="left" vertical="center" wrapText="1"/>
      <protection/>
    </xf>
    <xf numFmtId="49" fontId="25" fillId="33" borderId="11" xfId="53" applyNumberFormat="1" applyFont="1" applyFill="1" applyBorder="1" applyAlignment="1">
      <alignment horizontal="center" vertical="center" wrapText="1"/>
      <protection/>
    </xf>
    <xf numFmtId="0" fontId="25" fillId="33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2" fillId="0" borderId="11" xfId="53" applyNumberFormat="1" applyFont="1" applyFill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>
      <alignment horizontal="left" vertical="center" wrapText="1"/>
      <protection/>
    </xf>
    <xf numFmtId="164" fontId="23" fillId="36" borderId="12" xfId="53" applyNumberFormat="1" applyFont="1" applyFill="1" applyBorder="1" applyAlignment="1">
      <alignment horizontal="center" vertical="center" wrapText="1"/>
      <protection/>
    </xf>
    <xf numFmtId="164" fontId="23" fillId="36" borderId="12" xfId="0" applyNumberFormat="1" applyFont="1" applyFill="1" applyBorder="1" applyAlignment="1">
      <alignment horizontal="center" vertical="center" wrapText="1"/>
    </xf>
    <xf numFmtId="164" fontId="23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2" xfId="53" applyNumberFormat="1" applyFont="1" applyFill="1" applyBorder="1" applyAlignment="1">
      <alignment horizontal="center" vertical="center" wrapText="1"/>
      <protection/>
    </xf>
    <xf numFmtId="164" fontId="5" fillId="0" borderId="22" xfId="0" applyNumberFormat="1" applyFont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4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0" fontId="14" fillId="35" borderId="17" xfId="0" applyFont="1" applyFill="1" applyBorder="1" applyAlignment="1">
      <alignment horizontal="center" vertical="top" wrapText="1"/>
    </xf>
    <xf numFmtId="0" fontId="14" fillId="35" borderId="19" xfId="0" applyFont="1" applyFill="1" applyBorder="1" applyAlignment="1">
      <alignment horizontal="center" vertical="top" wrapText="1"/>
    </xf>
    <xf numFmtId="0" fontId="14" fillId="35" borderId="2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25" xfId="0" applyNumberFormat="1" applyFont="1" applyFill="1" applyBorder="1" applyAlignment="1">
      <alignment horizontal="center" vertical="top" wrapText="1"/>
    </xf>
    <xf numFmtId="49" fontId="17" fillId="0" borderId="26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35" borderId="17" xfId="0" applyFont="1" applyFill="1" applyBorder="1" applyAlignment="1">
      <alignment horizontal="center" vertical="top"/>
    </xf>
    <xf numFmtId="0" fontId="14" fillId="35" borderId="19" xfId="0" applyFont="1" applyFill="1" applyBorder="1" applyAlignment="1">
      <alignment horizontal="center" vertical="top"/>
    </xf>
    <xf numFmtId="0" fontId="14" fillId="35" borderId="2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165" fontId="14" fillId="0" borderId="25" xfId="0" applyNumberFormat="1" applyFont="1" applyFill="1" applyBorder="1" applyAlignment="1">
      <alignment horizontal="center" vertical="top"/>
    </xf>
    <xf numFmtId="165" fontId="14" fillId="0" borderId="26" xfId="0" applyNumberFormat="1" applyFont="1" applyFill="1" applyBorder="1" applyAlignment="1">
      <alignment horizontal="center" vertical="top"/>
    </xf>
    <xf numFmtId="44" fontId="17" fillId="0" borderId="16" xfId="42" applyFont="1" applyFill="1" applyBorder="1" applyAlignment="1">
      <alignment horizontal="center" vertical="top" wrapText="1"/>
    </xf>
    <xf numFmtId="44" fontId="17" fillId="0" borderId="25" xfId="42" applyFont="1" applyFill="1" applyBorder="1" applyAlignment="1">
      <alignment horizontal="center" vertical="top" wrapText="1"/>
    </xf>
    <xf numFmtId="44" fontId="17" fillId="0" borderId="26" xfId="42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8" fillId="0" borderId="0" xfId="53" applyNumberFormat="1" applyFont="1" applyFill="1" applyBorder="1" applyAlignment="1">
      <alignment horizontal="right" vertical="center" wrapText="1"/>
      <protection/>
    </xf>
    <xf numFmtId="164" fontId="19" fillId="0" borderId="0" xfId="0" applyNumberFormat="1" applyFont="1" applyFill="1" applyBorder="1" applyAlignment="1">
      <alignment horizontal="left" vertical="center" wrapText="1"/>
    </xf>
    <xf numFmtId="0" fontId="26" fillId="36" borderId="24" xfId="53" applyNumberFormat="1" applyFont="1" applyFill="1" applyBorder="1" applyAlignment="1">
      <alignment horizontal="center" vertical="center" wrapText="1"/>
      <protection/>
    </xf>
    <xf numFmtId="0" fontId="26" fillId="36" borderId="12" xfId="53" applyNumberFormat="1" applyFont="1" applyFill="1" applyBorder="1" applyAlignment="1">
      <alignment horizontal="center" vertical="center" wrapText="1"/>
      <protection/>
    </xf>
    <xf numFmtId="164" fontId="19" fillId="0" borderId="0" xfId="53" applyNumberFormat="1" applyFont="1" applyFill="1" applyBorder="1" applyAlignment="1">
      <alignment horizontal="left" vertical="center" wrapText="1"/>
      <protection/>
    </xf>
    <xf numFmtId="164" fontId="23" fillId="0" borderId="15" xfId="53" applyNumberFormat="1" applyFont="1" applyBorder="1" applyAlignment="1">
      <alignment horizontal="center" vertical="center" wrapText="1"/>
      <protection/>
    </xf>
    <xf numFmtId="164" fontId="23" fillId="0" borderId="15" xfId="0" applyNumberFormat="1" applyFont="1" applyBorder="1" applyAlignment="1">
      <alignment horizontal="center" vertic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164" fontId="22" fillId="0" borderId="10" xfId="53" applyNumberFormat="1" applyFont="1" applyFill="1" applyBorder="1" applyAlignment="1">
      <alignment horizontal="center" vertical="center" wrapText="1"/>
      <protection/>
    </xf>
    <xf numFmtId="164" fontId="24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0" xfId="53" applyNumberFormat="1" applyFont="1" applyBorder="1" applyAlignment="1">
      <alignment horizontal="center" vertical="center" wrapText="1"/>
      <protection/>
    </xf>
    <xf numFmtId="164" fontId="23" fillId="0" borderId="10" xfId="53" applyNumberFormat="1" applyFont="1" applyFill="1" applyBorder="1" applyAlignment="1">
      <alignment horizontal="center" vertical="center" wrapText="1"/>
      <protection/>
    </xf>
    <xf numFmtId="164" fontId="23" fillId="0" borderId="10" xfId="0" applyNumberFormat="1" applyFont="1" applyBorder="1" applyAlignment="1">
      <alignment horizontal="center" vertical="center" wrapText="1"/>
    </xf>
    <xf numFmtId="0" fontId="20" fillId="0" borderId="0" xfId="53" applyNumberFormat="1" applyFont="1" applyAlignment="1">
      <alignment horizontal="center" vertical="center" wrapText="1"/>
      <protection/>
    </xf>
    <xf numFmtId="49" fontId="21" fillId="0" borderId="21" xfId="53" applyNumberFormat="1" applyFont="1" applyBorder="1" applyAlignment="1">
      <alignment horizontal="center" vertical="center" wrapText="1"/>
      <protection/>
    </xf>
    <xf numFmtId="49" fontId="21" fillId="0" borderId="11" xfId="53" applyNumberFormat="1" applyFont="1" applyBorder="1" applyAlignment="1">
      <alignment horizontal="center" vertical="center" wrapText="1"/>
      <protection/>
    </xf>
    <xf numFmtId="0" fontId="21" fillId="0" borderId="22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164" fontId="22" fillId="0" borderId="22" xfId="53" applyNumberFormat="1" applyFont="1" applyFill="1" applyBorder="1" applyAlignment="1">
      <alignment horizontal="center" vertical="center" wrapText="1"/>
      <protection/>
    </xf>
    <xf numFmtId="164" fontId="22" fillId="0" borderId="22" xfId="0" applyNumberFormat="1" applyFont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center" vertical="center" wrapText="1"/>
    </xf>
    <xf numFmtId="164" fontId="23" fillId="0" borderId="10" xfId="53" applyNumberFormat="1" applyFont="1" applyBorder="1" applyAlignment="1">
      <alignment horizontal="center" vertical="center" wrapText="1"/>
      <protection/>
    </xf>
    <xf numFmtId="49" fontId="25" fillId="33" borderId="11" xfId="53" applyNumberFormat="1" applyFont="1" applyFill="1" applyBorder="1" applyAlignment="1" quotePrefix="1">
      <alignment horizontal="center" vertical="center" wrapText="1"/>
      <protection/>
    </xf>
    <xf numFmtId="0" fontId="25" fillId="33" borderId="10" xfId="53" applyNumberFormat="1" applyFont="1" applyFill="1" applyBorder="1" applyAlignment="1">
      <alignment horizontal="left" vertical="center" wrapText="1"/>
      <protection/>
    </xf>
    <xf numFmtId="0" fontId="14" fillId="35" borderId="17" xfId="0" applyFont="1" applyFill="1" applyBorder="1" applyAlignment="1">
      <alignment horizontal="center" vertical="justify"/>
    </xf>
    <xf numFmtId="0" fontId="14" fillId="35" borderId="19" xfId="0" applyFont="1" applyFill="1" applyBorder="1" applyAlignment="1">
      <alignment horizontal="center" vertical="justify"/>
    </xf>
    <xf numFmtId="0" fontId="14" fillId="35" borderId="20" xfId="0" applyFont="1" applyFill="1" applyBorder="1" applyAlignment="1">
      <alignment horizontal="center" vertical="justify"/>
    </xf>
    <xf numFmtId="165" fontId="14" fillId="35" borderId="20" xfId="0" applyNumberFormat="1" applyFont="1" applyFill="1" applyBorder="1" applyAlignment="1">
      <alignment horizontal="right" vertical="top"/>
    </xf>
    <xf numFmtId="0" fontId="13" fillId="35" borderId="0" xfId="0" applyFont="1" applyFill="1" applyAlignment="1">
      <alignment vertical="top"/>
    </xf>
    <xf numFmtId="165" fontId="14" fillId="35" borderId="10" xfId="0" applyNumberFormat="1" applyFont="1" applyFill="1" applyBorder="1" applyAlignment="1">
      <alignment vertical="top"/>
    </xf>
    <xf numFmtId="165" fontId="17" fillId="35" borderId="10" xfId="0" applyNumberFormat="1" applyFont="1" applyFill="1" applyBorder="1" applyAlignment="1">
      <alignment vertical="top" wrapText="1"/>
    </xf>
    <xf numFmtId="165" fontId="13" fillId="35" borderId="10" xfId="0" applyNumberFormat="1" applyFont="1" applyFill="1" applyBorder="1" applyAlignment="1">
      <alignment horizontal="right" vertical="top"/>
    </xf>
    <xf numFmtId="165" fontId="13" fillId="35" borderId="10" xfId="0" applyNumberFormat="1" applyFont="1" applyFill="1" applyBorder="1" applyAlignment="1">
      <alignment vertical="top"/>
    </xf>
    <xf numFmtId="165" fontId="13" fillId="35" borderId="20" xfId="0" applyNumberFormat="1" applyFont="1" applyFill="1" applyBorder="1" applyAlignment="1">
      <alignment horizontal="right" vertical="top"/>
    </xf>
    <xf numFmtId="165" fontId="16" fillId="35" borderId="10" xfId="0" applyNumberFormat="1" applyFont="1" applyFill="1" applyBorder="1" applyAlignment="1">
      <alignment horizontal="right" vertical="top" wrapText="1"/>
    </xf>
    <xf numFmtId="165" fontId="14" fillId="35" borderId="10" xfId="0" applyNumberFormat="1" applyFont="1" applyFill="1" applyBorder="1" applyAlignment="1">
      <alignment horizontal="right" vertical="top"/>
    </xf>
    <xf numFmtId="165" fontId="17" fillId="35" borderId="10" xfId="0" applyNumberFormat="1" applyFont="1" applyFill="1" applyBorder="1" applyAlignment="1">
      <alignment vertical="top"/>
    </xf>
    <xf numFmtId="165" fontId="17" fillId="35" borderId="10" xfId="0" applyNumberFormat="1" applyFont="1" applyFill="1" applyBorder="1" applyAlignment="1">
      <alignment vertical="top" wrapText="1" shrinkToFit="1"/>
    </xf>
    <xf numFmtId="165" fontId="13" fillId="35" borderId="0" xfId="0" applyNumberFormat="1" applyFont="1" applyFill="1" applyAlignment="1">
      <alignment vertical="top"/>
    </xf>
    <xf numFmtId="165" fontId="17" fillId="35" borderId="20" xfId="0" applyNumberFormat="1" applyFont="1" applyFill="1" applyBorder="1" applyAlignment="1">
      <alignment vertical="top" wrapText="1"/>
    </xf>
    <xf numFmtId="165" fontId="13" fillId="35" borderId="20" xfId="0" applyNumberFormat="1" applyFont="1" applyFill="1" applyBorder="1" applyAlignment="1">
      <alignment vertical="top"/>
    </xf>
    <xf numFmtId="0" fontId="17" fillId="35" borderId="14" xfId="0" applyFont="1" applyFill="1" applyBorder="1" applyAlignment="1">
      <alignment vertical="top" wrapText="1"/>
    </xf>
    <xf numFmtId="165" fontId="17" fillId="35" borderId="14" xfId="0" applyNumberFormat="1" applyFont="1" applyFill="1" applyBorder="1" applyAlignment="1">
      <alignment vertical="top" wrapText="1"/>
    </xf>
    <xf numFmtId="165" fontId="17" fillId="35" borderId="10" xfId="0" applyNumberFormat="1" applyFont="1" applyFill="1" applyBorder="1" applyAlignment="1">
      <alignment horizontal="right" vertical="top" wrapText="1"/>
    </xf>
    <xf numFmtId="165" fontId="13" fillId="35" borderId="17" xfId="0" applyNumberFormat="1" applyFont="1" applyFill="1" applyBorder="1" applyAlignment="1">
      <alignment horizontal="right" vertical="top"/>
    </xf>
    <xf numFmtId="165" fontId="17" fillId="35" borderId="10" xfId="0" applyNumberFormat="1" applyFont="1" applyFill="1" applyBorder="1" applyAlignment="1">
      <alignment horizontal="right" vertical="top" wrapText="1" shrinkToFit="1"/>
    </xf>
    <xf numFmtId="165" fontId="14" fillId="35" borderId="17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vertical="top"/>
    </xf>
    <xf numFmtId="165" fontId="17" fillId="35" borderId="20" xfId="0" applyNumberFormat="1" applyFont="1" applyFill="1" applyBorder="1" applyAlignment="1">
      <alignment horizontal="right" vertical="top" wrapText="1"/>
    </xf>
    <xf numFmtId="165" fontId="16" fillId="35" borderId="27" xfId="0" applyNumberFormat="1" applyFont="1" applyFill="1" applyBorder="1" applyAlignment="1">
      <alignment horizontal="right" vertical="top" wrapText="1"/>
    </xf>
    <xf numFmtId="165" fontId="17" fillId="35" borderId="10" xfId="0" applyNumberFormat="1" applyFont="1" applyFill="1" applyBorder="1" applyAlignment="1">
      <alignment horizontal="right" vertical="top"/>
    </xf>
    <xf numFmtId="165" fontId="17" fillId="35" borderId="14" xfId="0" applyNumberFormat="1" applyFont="1" applyFill="1" applyBorder="1" applyAlignment="1">
      <alignment horizontal="right" vertical="top" wrapText="1"/>
    </xf>
    <xf numFmtId="165" fontId="16" fillId="35" borderId="10" xfId="0" applyNumberFormat="1" applyFont="1" applyFill="1" applyBorder="1" applyAlignment="1">
      <alignment vertical="top" wrapText="1"/>
    </xf>
    <xf numFmtId="166" fontId="13" fillId="35" borderId="10" xfId="0" applyNumberFormat="1" applyFont="1" applyFill="1" applyBorder="1" applyAlignment="1">
      <alignment vertical="top"/>
    </xf>
    <xf numFmtId="165" fontId="17" fillId="35" borderId="10" xfId="0" applyNumberFormat="1" applyFont="1" applyFill="1" applyBorder="1" applyAlignment="1">
      <alignment horizontal="right" vertical="top" wrapText="1"/>
    </xf>
    <xf numFmtId="164" fontId="23" fillId="37" borderId="10" xfId="53" applyNumberFormat="1" applyFont="1" applyFill="1" applyBorder="1" applyAlignment="1">
      <alignment horizontal="center" vertical="center" wrapText="1"/>
      <protection/>
    </xf>
    <xf numFmtId="164" fontId="23" fillId="37" borderId="17" xfId="53" applyNumberFormat="1" applyFont="1" applyFill="1" applyBorder="1" applyAlignment="1">
      <alignment horizontal="center" vertical="center" wrapText="1"/>
      <protection/>
    </xf>
    <xf numFmtId="164" fontId="23" fillId="37" borderId="20" xfId="53" applyNumberFormat="1" applyFont="1" applyFill="1" applyBorder="1" applyAlignment="1">
      <alignment horizontal="center" vertical="center" wrapText="1"/>
      <protection/>
    </xf>
    <xf numFmtId="164" fontId="23" fillId="37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68" t="s">
        <v>170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69" t="s">
        <v>98</v>
      </c>
      <c r="B3" s="171" t="s">
        <v>97</v>
      </c>
      <c r="C3" s="173" t="s">
        <v>113</v>
      </c>
      <c r="D3" s="173"/>
      <c r="E3" s="173"/>
      <c r="F3" s="174" t="s">
        <v>112</v>
      </c>
      <c r="G3" s="174"/>
      <c r="H3" s="174"/>
      <c r="I3" s="175" t="s">
        <v>111</v>
      </c>
      <c r="J3" s="175"/>
      <c r="K3" s="176"/>
    </row>
    <row r="4" spans="1:11" ht="12.75">
      <c r="A4" s="170"/>
      <c r="B4" s="172"/>
      <c r="C4" s="160" t="s">
        <v>78</v>
      </c>
      <c r="D4" s="160" t="s">
        <v>171</v>
      </c>
      <c r="E4" s="160" t="s">
        <v>77</v>
      </c>
      <c r="F4" s="160" t="s">
        <v>78</v>
      </c>
      <c r="G4" s="177" t="s">
        <v>171</v>
      </c>
      <c r="H4" s="177" t="s">
        <v>77</v>
      </c>
      <c r="I4" s="178" t="s">
        <v>78</v>
      </c>
      <c r="J4" s="180" t="s">
        <v>173</v>
      </c>
      <c r="K4" s="163" t="s">
        <v>77</v>
      </c>
    </row>
    <row r="5" spans="1:11" ht="19.5" customHeight="1">
      <c r="A5" s="170"/>
      <c r="B5" s="172"/>
      <c r="C5" s="161"/>
      <c r="D5" s="160"/>
      <c r="E5" s="167"/>
      <c r="F5" s="161"/>
      <c r="G5" s="177"/>
      <c r="H5" s="161"/>
      <c r="I5" s="179"/>
      <c r="J5" s="180"/>
      <c r="K5" s="164"/>
    </row>
    <row r="6" spans="1:11" ht="12.75">
      <c r="A6" s="170"/>
      <c r="B6" s="165" t="s">
        <v>0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1:11" ht="12.75">
      <c r="A7" s="170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2.75">
      <c r="A8" s="170"/>
      <c r="B8" s="165"/>
      <c r="C8" s="165"/>
      <c r="D8" s="165"/>
      <c r="E8" s="165"/>
      <c r="F8" s="165"/>
      <c r="G8" s="165"/>
      <c r="H8" s="165"/>
      <c r="I8" s="165"/>
      <c r="J8" s="165"/>
      <c r="K8" s="166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83" t="s">
        <v>20</v>
      </c>
      <c r="B20" s="184" t="s">
        <v>102</v>
      </c>
      <c r="C20" s="162">
        <f>C23+C24+C22</f>
        <v>25046.9</v>
      </c>
      <c r="D20" s="162">
        <f>D23+D24+D22</f>
        <v>0</v>
      </c>
      <c r="E20" s="162">
        <f>D20/C20*100</f>
        <v>0</v>
      </c>
      <c r="F20" s="162">
        <f>F23+F24+F22</f>
        <v>9535.5</v>
      </c>
      <c r="G20" s="162">
        <f>G23+G24+G22</f>
        <v>0</v>
      </c>
      <c r="H20" s="162">
        <f>G20/F20*100</f>
        <v>0</v>
      </c>
      <c r="I20" s="162">
        <f>I23+I24+I22</f>
        <v>32921.4</v>
      </c>
      <c r="J20" s="162">
        <f>SUM(J22:J24)</f>
        <v>0</v>
      </c>
      <c r="K20" s="162">
        <f>J20/I20*100</f>
        <v>0</v>
      </c>
    </row>
    <row r="21" spans="1:11" ht="12.75">
      <c r="A21" s="183"/>
      <c r="B21" s="184"/>
      <c r="C21" s="162"/>
      <c r="D21" s="162"/>
      <c r="E21" s="162"/>
      <c r="F21" s="162"/>
      <c r="G21" s="162"/>
      <c r="H21" s="162"/>
      <c r="I21" s="162"/>
      <c r="J21" s="162"/>
      <c r="K21" s="162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81" t="s">
        <v>65</v>
      </c>
      <c r="B118" s="182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85" t="s">
        <v>124</v>
      </c>
      <c r="B124" s="185"/>
      <c r="C124" s="185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85" t="s">
        <v>125</v>
      </c>
      <c r="B125" s="185"/>
      <c r="C125" s="185"/>
      <c r="D125" s="42"/>
      <c r="E125" s="186" t="s">
        <v>66</v>
      </c>
      <c r="F125" s="186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85" t="s">
        <v>151</v>
      </c>
      <c r="B127" s="185"/>
      <c r="C127" s="185"/>
      <c r="D127" s="34"/>
      <c r="E127" s="186" t="s">
        <v>123</v>
      </c>
      <c r="F127" s="186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85" t="s">
        <v>154</v>
      </c>
      <c r="B129" s="185"/>
      <c r="C129" s="185"/>
      <c r="D129" s="34"/>
      <c r="E129" s="187" t="s">
        <v>155</v>
      </c>
      <c r="F129" s="187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5"/>
  <sheetViews>
    <sheetView zoomScalePageLayoutView="0" workbookViewId="0" topLeftCell="A187">
      <selection activeCell="A1" sqref="A1:R215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4.625" style="0" customWidth="1"/>
    <col min="5" max="5" width="13.125" style="0" hidden="1" customWidth="1"/>
    <col min="6" max="6" width="10.00390625" style="0" customWidth="1"/>
    <col min="7" max="7" width="8.375" style="0" hidden="1" customWidth="1"/>
    <col min="8" max="8" width="8.75390625" style="0" hidden="1" customWidth="1"/>
    <col min="9" max="9" width="10.00390625" style="0" hidden="1" customWidth="1"/>
    <col min="10" max="10" width="11.00390625" style="0" customWidth="1"/>
    <col min="11" max="11" width="11.00390625" style="0" hidden="1" customWidth="1"/>
    <col min="12" max="12" width="11.125" style="0" hidden="1" customWidth="1"/>
    <col min="13" max="13" width="0.2421875" style="0" hidden="1" customWidth="1"/>
    <col min="14" max="14" width="9.125" style="0" hidden="1" customWidth="1"/>
    <col min="15" max="15" width="10.00390625" style="0" hidden="1" customWidth="1"/>
    <col min="16" max="16" width="10.00390625" style="0" customWidth="1"/>
  </cols>
  <sheetData>
    <row r="1" spans="1:18" ht="23.25" customHeight="1">
      <c r="A1" s="195" t="s">
        <v>313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12.7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97"/>
      <c r="O2" s="97"/>
      <c r="P2" s="97"/>
      <c r="Q2" s="97"/>
      <c r="R2" s="97"/>
    </row>
    <row r="3" spans="1:18" ht="12.75">
      <c r="A3" s="60"/>
      <c r="B3" s="60"/>
      <c r="C3" s="61"/>
      <c r="D3" s="61"/>
      <c r="E3" s="61"/>
      <c r="F3" s="61"/>
      <c r="G3" s="61"/>
      <c r="H3" s="62"/>
      <c r="I3" s="62"/>
      <c r="J3" s="62"/>
      <c r="K3" s="98" t="s">
        <v>268</v>
      </c>
      <c r="L3" s="62"/>
      <c r="M3" s="62"/>
      <c r="N3" s="97"/>
      <c r="O3" s="97"/>
      <c r="P3" s="97"/>
      <c r="Q3" s="97"/>
      <c r="R3" s="97"/>
    </row>
    <row r="4" spans="1:18" ht="24" customHeight="1">
      <c r="A4" s="63" t="s">
        <v>174</v>
      </c>
      <c r="B4" s="63"/>
      <c r="C4" s="64"/>
      <c r="D4" s="188" t="s">
        <v>269</v>
      </c>
      <c r="E4" s="188" t="s">
        <v>301</v>
      </c>
      <c r="F4" s="197" t="s">
        <v>270</v>
      </c>
      <c r="G4" s="197" t="s">
        <v>271</v>
      </c>
      <c r="H4" s="197" t="s">
        <v>272</v>
      </c>
      <c r="I4" s="236" t="s">
        <v>314</v>
      </c>
      <c r="J4" s="197" t="s">
        <v>273</v>
      </c>
      <c r="K4" s="188" t="s">
        <v>315</v>
      </c>
      <c r="L4" s="188" t="s">
        <v>274</v>
      </c>
      <c r="M4" s="188" t="s">
        <v>275</v>
      </c>
      <c r="N4" s="188" t="s">
        <v>276</v>
      </c>
      <c r="O4" s="188" t="s">
        <v>277</v>
      </c>
      <c r="P4" s="188" t="s">
        <v>278</v>
      </c>
      <c r="Q4" s="188" t="s">
        <v>316</v>
      </c>
      <c r="R4" s="188" t="s">
        <v>279</v>
      </c>
    </row>
    <row r="5" spans="1:18" ht="23.25" customHeight="1">
      <c r="A5" s="65" t="s">
        <v>175</v>
      </c>
      <c r="B5" s="65"/>
      <c r="C5" s="66" t="s">
        <v>176</v>
      </c>
      <c r="D5" s="189"/>
      <c r="E5" s="189"/>
      <c r="F5" s="198"/>
      <c r="G5" s="198"/>
      <c r="H5" s="198"/>
      <c r="I5" s="237"/>
      <c r="J5" s="198"/>
      <c r="K5" s="189"/>
      <c r="L5" s="189"/>
      <c r="M5" s="189"/>
      <c r="N5" s="189"/>
      <c r="O5" s="189"/>
      <c r="P5" s="189"/>
      <c r="Q5" s="189"/>
      <c r="R5" s="189"/>
    </row>
    <row r="6" spans="1:18" ht="25.5" customHeight="1">
      <c r="A6" s="65"/>
      <c r="B6" s="65"/>
      <c r="C6" s="66"/>
      <c r="D6" s="190"/>
      <c r="E6" s="190"/>
      <c r="F6" s="199"/>
      <c r="G6" s="199"/>
      <c r="H6" s="199"/>
      <c r="I6" s="238"/>
      <c r="J6" s="199"/>
      <c r="K6" s="190"/>
      <c r="L6" s="190"/>
      <c r="M6" s="190"/>
      <c r="N6" s="190"/>
      <c r="O6" s="190"/>
      <c r="P6" s="190"/>
      <c r="Q6" s="190"/>
      <c r="R6" s="190"/>
    </row>
    <row r="7" spans="1:18" ht="12.75">
      <c r="A7" s="200" t="s">
        <v>177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97"/>
      <c r="R7" s="97"/>
    </row>
    <row r="8" spans="1:18" ht="12.75">
      <c r="A8" s="99" t="s">
        <v>178</v>
      </c>
      <c r="B8" s="99"/>
      <c r="C8" s="100" t="s">
        <v>179</v>
      </c>
      <c r="D8" s="239">
        <f aca="true" t="shared" si="0" ref="D8:K8">D9+D11+D12+D13+D15+D16+D18+D20+D14+D21+D17+D19+D10</f>
        <v>877527.8999999999</v>
      </c>
      <c r="E8" s="239">
        <f t="shared" si="0"/>
        <v>439529.1</v>
      </c>
      <c r="F8" s="239">
        <f t="shared" si="0"/>
        <v>210585.09999999998</v>
      </c>
      <c r="G8" s="239">
        <f t="shared" si="0"/>
        <v>228944</v>
      </c>
      <c r="H8" s="239">
        <f t="shared" si="0"/>
        <v>204980.4</v>
      </c>
      <c r="I8" s="239">
        <f t="shared" si="0"/>
        <v>644509.4999999999</v>
      </c>
      <c r="J8" s="239">
        <f t="shared" si="0"/>
        <v>233018.4</v>
      </c>
      <c r="K8" s="239">
        <f t="shared" si="0"/>
        <v>532585.7000000001</v>
      </c>
      <c r="L8" s="239" t="e">
        <f>L9+L11+L12+L13+L15+L16+L18+L20+L14+L21+L17+L19</f>
        <v>#REF!</v>
      </c>
      <c r="M8" s="239">
        <f aca="true" t="shared" si="1" ref="M8:M20">K8/H8*100</f>
        <v>259.82274402820957</v>
      </c>
      <c r="N8" s="240"/>
      <c r="O8" s="240"/>
      <c r="P8" s="239">
        <f>K8*100/J8</f>
        <v>228.55950431382246</v>
      </c>
      <c r="Q8" s="239">
        <f>K8*100/I8</f>
        <v>82.63426683392566</v>
      </c>
      <c r="R8" s="241">
        <f>K8*100/D8</f>
        <v>60.69159738396923</v>
      </c>
    </row>
    <row r="9" spans="1:18" ht="12.75">
      <c r="A9" s="74" t="s">
        <v>180</v>
      </c>
      <c r="B9" s="74"/>
      <c r="C9" s="103" t="s">
        <v>181</v>
      </c>
      <c r="D9" s="242">
        <f>F9+G9+H9+J9</f>
        <v>686798.8</v>
      </c>
      <c r="E9" s="242">
        <f>F9+G9</f>
        <v>336267</v>
      </c>
      <c r="F9" s="242">
        <v>158666.3</v>
      </c>
      <c r="G9" s="242">
        <v>177600.7</v>
      </c>
      <c r="H9" s="243">
        <v>161953.5</v>
      </c>
      <c r="I9" s="243">
        <f>E9+H9</f>
        <v>498220.5</v>
      </c>
      <c r="J9" s="244">
        <v>188578.3</v>
      </c>
      <c r="K9" s="244">
        <v>403905.9</v>
      </c>
      <c r="L9" s="245" t="e">
        <f>K9/#REF!*100</f>
        <v>#REF!</v>
      </c>
      <c r="M9" s="245">
        <f t="shared" si="1"/>
        <v>249.39621558039812</v>
      </c>
      <c r="N9" s="240"/>
      <c r="O9" s="240"/>
      <c r="P9" s="243">
        <f aca="true" t="shared" si="2" ref="P9:P76">K9*100/J9</f>
        <v>214.18471796595898</v>
      </c>
      <c r="Q9" s="245">
        <f>K9*100/I9</f>
        <v>81.0697070875245</v>
      </c>
      <c r="R9" s="244">
        <f aca="true" t="shared" si="3" ref="R9:R73">K9*100/D9</f>
        <v>58.80993094338545</v>
      </c>
    </row>
    <row r="10" spans="1:18" ht="12.75">
      <c r="A10" s="67" t="s">
        <v>280</v>
      </c>
      <c r="B10" s="67"/>
      <c r="C10" s="103" t="s">
        <v>281</v>
      </c>
      <c r="D10" s="242">
        <f aca="true" t="shared" si="4" ref="D10:D26">F10+G10+H10+J10</f>
        <v>40154.200000000004</v>
      </c>
      <c r="E10" s="242">
        <f aca="true" t="shared" si="5" ref="E10:E26">F10+G10</f>
        <v>18807.4</v>
      </c>
      <c r="F10" s="242">
        <v>8828.2</v>
      </c>
      <c r="G10" s="242">
        <v>9979.2</v>
      </c>
      <c r="H10" s="243">
        <v>9979.2</v>
      </c>
      <c r="I10" s="243">
        <f aca="true" t="shared" si="6" ref="I10:I21">E10+H10</f>
        <v>28786.600000000002</v>
      </c>
      <c r="J10" s="244">
        <v>11367.6</v>
      </c>
      <c r="K10" s="244">
        <v>18838.9</v>
      </c>
      <c r="L10" s="245"/>
      <c r="M10" s="245"/>
      <c r="N10" s="240"/>
      <c r="O10" s="240"/>
      <c r="P10" s="243"/>
      <c r="Q10" s="245">
        <f aca="true" t="shared" si="7" ref="Q10:Q20">K10*100/I10</f>
        <v>65.44329653380393</v>
      </c>
      <c r="R10" s="244">
        <f t="shared" si="3"/>
        <v>46.916387326854974</v>
      </c>
    </row>
    <row r="11" spans="1:18" ht="12.75">
      <c r="A11" s="67" t="s">
        <v>182</v>
      </c>
      <c r="B11" s="67"/>
      <c r="C11" s="103" t="s">
        <v>183</v>
      </c>
      <c r="D11" s="242">
        <f t="shared" si="4"/>
        <v>34182.799999999996</v>
      </c>
      <c r="E11" s="242">
        <f t="shared" si="5"/>
        <v>17029.6</v>
      </c>
      <c r="F11" s="242">
        <v>8529.8</v>
      </c>
      <c r="G11" s="242">
        <v>8499.8</v>
      </c>
      <c r="H11" s="243">
        <v>8529.3</v>
      </c>
      <c r="I11" s="243">
        <f t="shared" si="6"/>
        <v>25558.899999999998</v>
      </c>
      <c r="J11" s="244">
        <v>8623.9</v>
      </c>
      <c r="K11" s="244">
        <v>23936.2</v>
      </c>
      <c r="L11" s="245" t="e">
        <f>K11/#REF!*100</f>
        <v>#REF!</v>
      </c>
      <c r="M11" s="245">
        <f t="shared" si="1"/>
        <v>280.63498763087244</v>
      </c>
      <c r="N11" s="240"/>
      <c r="O11" s="240"/>
      <c r="P11" s="243">
        <f t="shared" si="2"/>
        <v>277.556557937824</v>
      </c>
      <c r="Q11" s="245">
        <f t="shared" si="7"/>
        <v>93.65113522099935</v>
      </c>
      <c r="R11" s="244">
        <f t="shared" si="3"/>
        <v>70.02410569058124</v>
      </c>
    </row>
    <row r="12" spans="1:18" ht="12.75">
      <c r="A12" s="67" t="s">
        <v>184</v>
      </c>
      <c r="B12" s="67"/>
      <c r="C12" s="103" t="s">
        <v>185</v>
      </c>
      <c r="D12" s="242">
        <f t="shared" si="4"/>
        <v>3099.9999999999995</v>
      </c>
      <c r="E12" s="242">
        <f t="shared" si="5"/>
        <v>1415.6</v>
      </c>
      <c r="F12" s="242">
        <v>707.8</v>
      </c>
      <c r="G12" s="242">
        <v>707.8</v>
      </c>
      <c r="H12" s="243">
        <v>707.8</v>
      </c>
      <c r="I12" s="243">
        <f t="shared" si="6"/>
        <v>2123.3999999999996</v>
      </c>
      <c r="J12" s="244">
        <v>976.6</v>
      </c>
      <c r="K12" s="244">
        <v>2620.4</v>
      </c>
      <c r="L12" s="245" t="e">
        <f>K12/#REF!*100</f>
        <v>#REF!</v>
      </c>
      <c r="M12" s="245">
        <f t="shared" si="1"/>
        <v>370.21757558632385</v>
      </c>
      <c r="N12" s="240"/>
      <c r="O12" s="240"/>
      <c r="P12" s="243">
        <f t="shared" si="2"/>
        <v>268.318656563588</v>
      </c>
      <c r="Q12" s="245">
        <f t="shared" si="7"/>
        <v>123.40585852877463</v>
      </c>
      <c r="R12" s="244">
        <f t="shared" si="3"/>
        <v>84.52903225806453</v>
      </c>
    </row>
    <row r="13" spans="1:18" ht="12.75">
      <c r="A13" s="67" t="s">
        <v>186</v>
      </c>
      <c r="B13" s="67"/>
      <c r="C13" s="103" t="s">
        <v>187</v>
      </c>
      <c r="D13" s="242">
        <f t="shared" si="4"/>
        <v>3230</v>
      </c>
      <c r="E13" s="242">
        <f t="shared" si="5"/>
        <v>1677</v>
      </c>
      <c r="F13" s="242">
        <v>739.5</v>
      </c>
      <c r="G13" s="242">
        <v>937.5</v>
      </c>
      <c r="H13" s="243">
        <v>937.5</v>
      </c>
      <c r="I13" s="243">
        <f t="shared" si="6"/>
        <v>2614.5</v>
      </c>
      <c r="J13" s="244">
        <v>615.5</v>
      </c>
      <c r="K13" s="244">
        <v>2205</v>
      </c>
      <c r="L13" s="245" t="e">
        <f>K13/#REF!*100</f>
        <v>#REF!</v>
      </c>
      <c r="M13" s="245">
        <f t="shared" si="1"/>
        <v>235.2</v>
      </c>
      <c r="N13" s="240"/>
      <c r="O13" s="240"/>
      <c r="P13" s="243">
        <f t="shared" si="2"/>
        <v>358.2453290008124</v>
      </c>
      <c r="Q13" s="245">
        <f t="shared" si="7"/>
        <v>84.33734939759036</v>
      </c>
      <c r="R13" s="244">
        <f t="shared" si="3"/>
        <v>68.26625386996903</v>
      </c>
    </row>
    <row r="14" spans="1:18" ht="24">
      <c r="A14" s="67" t="s">
        <v>188</v>
      </c>
      <c r="B14" s="67"/>
      <c r="C14" s="103" t="s">
        <v>189</v>
      </c>
      <c r="D14" s="242">
        <f t="shared" si="4"/>
        <v>0</v>
      </c>
      <c r="E14" s="242">
        <f t="shared" si="5"/>
        <v>0</v>
      </c>
      <c r="F14" s="242"/>
      <c r="G14" s="242"/>
      <c r="H14" s="243"/>
      <c r="I14" s="243">
        <f t="shared" si="6"/>
        <v>0</v>
      </c>
      <c r="J14" s="244"/>
      <c r="K14" s="244"/>
      <c r="L14" s="245" t="e">
        <f>K14/#REF!*100</f>
        <v>#REF!</v>
      </c>
      <c r="M14" s="245"/>
      <c r="N14" s="240"/>
      <c r="O14" s="240"/>
      <c r="P14" s="243" t="e">
        <f t="shared" si="2"/>
        <v>#DIV/0!</v>
      </c>
      <c r="Q14" s="245" t="e">
        <f t="shared" si="7"/>
        <v>#DIV/0!</v>
      </c>
      <c r="R14" s="244"/>
    </row>
    <row r="15" spans="1:18" ht="24">
      <c r="A15" s="68" t="s">
        <v>190</v>
      </c>
      <c r="B15" s="68"/>
      <c r="C15" s="103" t="s">
        <v>191</v>
      </c>
      <c r="D15" s="242">
        <f t="shared" si="4"/>
        <v>67552.70000000001</v>
      </c>
      <c r="E15" s="242">
        <f t="shared" si="5"/>
        <v>33941.3</v>
      </c>
      <c r="F15" s="242">
        <v>16362.9</v>
      </c>
      <c r="G15" s="242">
        <v>17578.4</v>
      </c>
      <c r="H15" s="243">
        <v>16978.9</v>
      </c>
      <c r="I15" s="243">
        <f t="shared" si="6"/>
        <v>50920.200000000004</v>
      </c>
      <c r="J15" s="244">
        <v>16632.5</v>
      </c>
      <c r="K15" s="244">
        <v>41818.1</v>
      </c>
      <c r="L15" s="245" t="e">
        <f>K15/#REF!*100</f>
        <v>#REF!</v>
      </c>
      <c r="M15" s="245">
        <f t="shared" si="1"/>
        <v>246.29451849059714</v>
      </c>
      <c r="N15" s="240"/>
      <c r="O15" s="240"/>
      <c r="P15" s="243">
        <f t="shared" si="2"/>
        <v>251.42401923944087</v>
      </c>
      <c r="Q15" s="245">
        <f t="shared" si="7"/>
        <v>82.12477562931802</v>
      </c>
      <c r="R15" s="244">
        <f t="shared" si="3"/>
        <v>61.90440944625454</v>
      </c>
    </row>
    <row r="16" spans="1:18" ht="12.75">
      <c r="A16" s="104" t="s">
        <v>192</v>
      </c>
      <c r="B16" s="104"/>
      <c r="C16" s="103" t="s">
        <v>193</v>
      </c>
      <c r="D16" s="242">
        <f t="shared" si="4"/>
        <v>16480.7</v>
      </c>
      <c r="E16" s="242">
        <f t="shared" si="5"/>
        <v>12316.6</v>
      </c>
      <c r="F16" s="242">
        <v>10236.2</v>
      </c>
      <c r="G16" s="242">
        <v>2080.4</v>
      </c>
      <c r="H16" s="243">
        <v>2080.4</v>
      </c>
      <c r="I16" s="243">
        <f t="shared" si="6"/>
        <v>14397</v>
      </c>
      <c r="J16" s="244">
        <v>2083.7</v>
      </c>
      <c r="K16" s="244">
        <v>13681</v>
      </c>
      <c r="L16" s="245" t="e">
        <f>K16/#REF!*100</f>
        <v>#REF!</v>
      </c>
      <c r="M16" s="245">
        <f t="shared" si="1"/>
        <v>657.613920399923</v>
      </c>
      <c r="N16" s="240"/>
      <c r="O16" s="240"/>
      <c r="P16" s="243">
        <f t="shared" si="2"/>
        <v>656.572443249988</v>
      </c>
      <c r="Q16" s="245">
        <f t="shared" si="7"/>
        <v>95.02674168229493</v>
      </c>
      <c r="R16" s="244">
        <f t="shared" si="3"/>
        <v>83.01225069323512</v>
      </c>
    </row>
    <row r="17" spans="1:18" ht="24">
      <c r="A17" s="105" t="s">
        <v>194</v>
      </c>
      <c r="B17" s="105"/>
      <c r="C17" s="103" t="s">
        <v>195</v>
      </c>
      <c r="D17" s="242">
        <f t="shared" si="4"/>
        <v>6970</v>
      </c>
      <c r="E17" s="242">
        <f t="shared" si="5"/>
        <v>4925.5</v>
      </c>
      <c r="F17" s="242">
        <f>802.4+1705</f>
        <v>2507.4</v>
      </c>
      <c r="G17" s="242">
        <v>2418.1</v>
      </c>
      <c r="H17" s="243">
        <v>923.1</v>
      </c>
      <c r="I17" s="243">
        <f t="shared" si="6"/>
        <v>5848.6</v>
      </c>
      <c r="J17" s="244">
        <v>1121.4</v>
      </c>
      <c r="K17" s="244">
        <v>7206.9</v>
      </c>
      <c r="L17" s="245" t="e">
        <f>K17/#REF!*100</f>
        <v>#REF!</v>
      </c>
      <c r="M17" s="245">
        <f t="shared" si="1"/>
        <v>780.7279818004549</v>
      </c>
      <c r="N17" s="240"/>
      <c r="O17" s="240"/>
      <c r="P17" s="243">
        <f t="shared" si="2"/>
        <v>642.6698769395398</v>
      </c>
      <c r="Q17" s="245">
        <f t="shared" si="7"/>
        <v>123.22436138563074</v>
      </c>
      <c r="R17" s="244">
        <f t="shared" si="3"/>
        <v>103.39885222381636</v>
      </c>
    </row>
    <row r="18" spans="1:18" ht="24">
      <c r="A18" s="105" t="s">
        <v>196</v>
      </c>
      <c r="B18" s="105"/>
      <c r="C18" s="103" t="s">
        <v>197</v>
      </c>
      <c r="D18" s="242">
        <f t="shared" si="4"/>
        <v>11300</v>
      </c>
      <c r="E18" s="242">
        <f t="shared" si="5"/>
        <v>7161.7</v>
      </c>
      <c r="F18" s="242">
        <v>2581.7</v>
      </c>
      <c r="G18" s="242">
        <v>4580</v>
      </c>
      <c r="H18" s="243">
        <v>2290</v>
      </c>
      <c r="I18" s="243">
        <f t="shared" si="6"/>
        <v>9451.7</v>
      </c>
      <c r="J18" s="244">
        <v>1848.3</v>
      </c>
      <c r="K18" s="244">
        <v>11649.7</v>
      </c>
      <c r="L18" s="245" t="e">
        <f>K18/#REF!*100</f>
        <v>#REF!</v>
      </c>
      <c r="M18" s="245">
        <f t="shared" si="1"/>
        <v>508.7205240174673</v>
      </c>
      <c r="N18" s="240"/>
      <c r="O18" s="240"/>
      <c r="P18" s="243">
        <f t="shared" si="2"/>
        <v>630.2927014012877</v>
      </c>
      <c r="Q18" s="245">
        <f t="shared" si="7"/>
        <v>123.25507580646867</v>
      </c>
      <c r="R18" s="244">
        <f t="shared" si="3"/>
        <v>103.09469026548672</v>
      </c>
    </row>
    <row r="19" spans="1:18" ht="12.75">
      <c r="A19" s="105" t="s">
        <v>198</v>
      </c>
      <c r="B19" s="105"/>
      <c r="C19" s="103" t="s">
        <v>199</v>
      </c>
      <c r="D19" s="242">
        <f t="shared" si="4"/>
        <v>20</v>
      </c>
      <c r="E19" s="242">
        <f t="shared" si="5"/>
        <v>8</v>
      </c>
      <c r="F19" s="242">
        <v>2</v>
      </c>
      <c r="G19" s="242">
        <v>6</v>
      </c>
      <c r="H19" s="243">
        <v>6</v>
      </c>
      <c r="I19" s="243">
        <f t="shared" si="6"/>
        <v>14</v>
      </c>
      <c r="J19" s="244">
        <v>6</v>
      </c>
      <c r="K19" s="244">
        <v>5.3</v>
      </c>
      <c r="L19" s="245" t="e">
        <f>K19/#REF!*100</f>
        <v>#REF!</v>
      </c>
      <c r="M19" s="245">
        <f t="shared" si="1"/>
        <v>88.33333333333333</v>
      </c>
      <c r="N19" s="240"/>
      <c r="O19" s="240"/>
      <c r="P19" s="243">
        <f t="shared" si="2"/>
        <v>88.33333333333333</v>
      </c>
      <c r="Q19" s="245">
        <f t="shared" si="7"/>
        <v>37.857142857142854</v>
      </c>
      <c r="R19" s="244">
        <f t="shared" si="3"/>
        <v>26.5</v>
      </c>
    </row>
    <row r="20" spans="1:18" ht="12.75">
      <c r="A20" s="74" t="s">
        <v>200</v>
      </c>
      <c r="B20" s="74"/>
      <c r="C20" s="103" t="s">
        <v>201</v>
      </c>
      <c r="D20" s="242">
        <f t="shared" si="4"/>
        <v>7738.700000000001</v>
      </c>
      <c r="E20" s="242">
        <f t="shared" si="5"/>
        <v>5979.400000000001</v>
      </c>
      <c r="F20" s="242">
        <v>1423.3</v>
      </c>
      <c r="G20" s="242">
        <v>4556.1</v>
      </c>
      <c r="H20" s="243">
        <v>594.7</v>
      </c>
      <c r="I20" s="243">
        <f t="shared" si="6"/>
        <v>6574.1</v>
      </c>
      <c r="J20" s="244">
        <v>1164.6</v>
      </c>
      <c r="K20" s="244">
        <v>6920.9</v>
      </c>
      <c r="L20" s="245" t="e">
        <f>K20/#REF!*100</f>
        <v>#REF!</v>
      </c>
      <c r="M20" s="245">
        <f t="shared" si="1"/>
        <v>1163.7632419707413</v>
      </c>
      <c r="N20" s="240"/>
      <c r="O20" s="240"/>
      <c r="P20" s="243">
        <f t="shared" si="2"/>
        <v>594.2727116606561</v>
      </c>
      <c r="Q20" s="245">
        <f t="shared" si="7"/>
        <v>105.2752468018436</v>
      </c>
      <c r="R20" s="244">
        <f t="shared" si="3"/>
        <v>89.43233359608202</v>
      </c>
    </row>
    <row r="21" spans="1:18" ht="12.75">
      <c r="A21" s="106" t="s">
        <v>202</v>
      </c>
      <c r="B21" s="107"/>
      <c r="C21" s="71" t="s">
        <v>203</v>
      </c>
      <c r="D21" s="242">
        <f t="shared" si="4"/>
        <v>0</v>
      </c>
      <c r="E21" s="242">
        <f t="shared" si="5"/>
        <v>0</v>
      </c>
      <c r="F21" s="242"/>
      <c r="G21" s="242"/>
      <c r="H21" s="243"/>
      <c r="I21" s="243">
        <f t="shared" si="6"/>
        <v>0</v>
      </c>
      <c r="J21" s="244"/>
      <c r="K21" s="244">
        <v>-202.6</v>
      </c>
      <c r="L21" s="245"/>
      <c r="M21" s="245"/>
      <c r="N21" s="240"/>
      <c r="O21" s="240"/>
      <c r="P21" s="243"/>
      <c r="Q21" s="245"/>
      <c r="R21" s="244"/>
    </row>
    <row r="22" spans="1:18" ht="12.75">
      <c r="A22" s="99" t="s">
        <v>206</v>
      </c>
      <c r="B22" s="99"/>
      <c r="C22" s="108" t="s">
        <v>207</v>
      </c>
      <c r="D22" s="246">
        <f aca="true" t="shared" si="8" ref="D22:K22">D23+D24+D26+D25</f>
        <v>2883434.1999999997</v>
      </c>
      <c r="E22" s="246">
        <f t="shared" si="8"/>
        <v>992449.8999999999</v>
      </c>
      <c r="F22" s="246">
        <f t="shared" si="8"/>
        <v>239250.40000000002</v>
      </c>
      <c r="G22" s="246">
        <f t="shared" si="8"/>
        <v>753199.5</v>
      </c>
      <c r="H22" s="246">
        <f t="shared" si="8"/>
        <v>692565.2</v>
      </c>
      <c r="I22" s="246">
        <f t="shared" si="8"/>
        <v>1685015.0999999996</v>
      </c>
      <c r="J22" s="246">
        <f t="shared" si="8"/>
        <v>1198419.1</v>
      </c>
      <c r="K22" s="246">
        <f t="shared" si="8"/>
        <v>1497429</v>
      </c>
      <c r="L22" s="239" t="e">
        <f>K22/#REF!*100</f>
        <v>#REF!</v>
      </c>
      <c r="M22" s="239">
        <f aca="true" t="shared" si="9" ref="M22:M27">K22/H22*100</f>
        <v>216.21487767505502</v>
      </c>
      <c r="N22" s="240"/>
      <c r="O22" s="240"/>
      <c r="P22" s="247">
        <f t="shared" si="2"/>
        <v>124.9503616889951</v>
      </c>
      <c r="Q22" s="239">
        <f aca="true" t="shared" si="10" ref="Q22:Q27">K22*100/I22</f>
        <v>88.86739353255649</v>
      </c>
      <c r="R22" s="241">
        <f t="shared" si="3"/>
        <v>51.932137032986574</v>
      </c>
    </row>
    <row r="23" spans="1:18" ht="24">
      <c r="A23" s="69" t="s">
        <v>208</v>
      </c>
      <c r="B23" s="67"/>
      <c r="C23" s="109" t="s">
        <v>209</v>
      </c>
      <c r="D23" s="242">
        <f>F23+G23+H23+J23</f>
        <v>2976919.3</v>
      </c>
      <c r="E23" s="242">
        <f t="shared" si="5"/>
        <v>1077481.9</v>
      </c>
      <c r="F23" s="242">
        <v>330882.4</v>
      </c>
      <c r="G23" s="242">
        <v>746599.5</v>
      </c>
      <c r="H23" s="244">
        <f>710028.1-3009.8</f>
        <v>707018.2999999999</v>
      </c>
      <c r="I23" s="243">
        <f>E23+H23</f>
        <v>1784500.1999999997</v>
      </c>
      <c r="J23" s="244">
        <f>1192419.1</f>
        <v>1192419.1</v>
      </c>
      <c r="K23" s="244">
        <v>1666019</v>
      </c>
      <c r="L23" s="245" t="e">
        <f>K23/#REF!*100</f>
        <v>#REF!</v>
      </c>
      <c r="M23" s="245">
        <f t="shared" si="9"/>
        <v>235.6401524543283</v>
      </c>
      <c r="N23" s="240"/>
      <c r="O23" s="240"/>
      <c r="P23" s="243">
        <f t="shared" si="2"/>
        <v>139.71757077691893</v>
      </c>
      <c r="Q23" s="245">
        <f t="shared" si="10"/>
        <v>93.36053870994245</v>
      </c>
      <c r="R23" s="244">
        <f t="shared" si="3"/>
        <v>55.96453353639785</v>
      </c>
    </row>
    <row r="24" spans="1:18" ht="12.75">
      <c r="A24" s="69" t="s">
        <v>210</v>
      </c>
      <c r="B24" s="69"/>
      <c r="C24" s="110" t="s">
        <v>211</v>
      </c>
      <c r="D24" s="242">
        <f t="shared" si="4"/>
        <v>20000</v>
      </c>
      <c r="E24" s="242">
        <f t="shared" si="5"/>
        <v>7400</v>
      </c>
      <c r="F24" s="248">
        <v>800</v>
      </c>
      <c r="G24" s="248">
        <v>6600</v>
      </c>
      <c r="H24" s="244">
        <v>6600</v>
      </c>
      <c r="I24" s="243">
        <f>E24+H24</f>
        <v>14000</v>
      </c>
      <c r="J24" s="244">
        <v>6000</v>
      </c>
      <c r="K24" s="244">
        <v>3860</v>
      </c>
      <c r="L24" s="245" t="e">
        <f>K24/#REF!*100</f>
        <v>#REF!</v>
      </c>
      <c r="M24" s="245">
        <f t="shared" si="9"/>
        <v>58.484848484848484</v>
      </c>
      <c r="N24" s="240"/>
      <c r="O24" s="240"/>
      <c r="P24" s="243">
        <f t="shared" si="2"/>
        <v>64.33333333333333</v>
      </c>
      <c r="Q24" s="245">
        <f t="shared" si="10"/>
        <v>27.571428571428573</v>
      </c>
      <c r="R24" s="244">
        <f t="shared" si="3"/>
        <v>19.3</v>
      </c>
    </row>
    <row r="25" spans="1:18" ht="63" customHeight="1">
      <c r="A25" s="69" t="s">
        <v>212</v>
      </c>
      <c r="B25" s="70" t="s">
        <v>213</v>
      </c>
      <c r="C25" s="71" t="s">
        <v>213</v>
      </c>
      <c r="D25" s="242">
        <f t="shared" si="4"/>
        <v>0</v>
      </c>
      <c r="E25" s="242">
        <f t="shared" si="5"/>
        <v>0</v>
      </c>
      <c r="F25" s="242"/>
      <c r="G25" s="242"/>
      <c r="H25" s="244"/>
      <c r="I25" s="243">
        <f>E25+H25</f>
        <v>0</v>
      </c>
      <c r="J25" s="244"/>
      <c r="K25" s="244"/>
      <c r="L25" s="245" t="e">
        <f>K25/#REF!*100</f>
        <v>#REF!</v>
      </c>
      <c r="M25" s="245"/>
      <c r="N25" s="240"/>
      <c r="O25" s="240"/>
      <c r="P25" s="243" t="e">
        <f t="shared" si="2"/>
        <v>#DIV/0!</v>
      </c>
      <c r="Q25" s="245" t="e">
        <f t="shared" si="10"/>
        <v>#DIV/0!</v>
      </c>
      <c r="R25" s="244"/>
    </row>
    <row r="26" spans="1:18" ht="40.5" customHeight="1">
      <c r="A26" s="69" t="s">
        <v>214</v>
      </c>
      <c r="B26" s="72"/>
      <c r="C26" s="73" t="s">
        <v>215</v>
      </c>
      <c r="D26" s="242">
        <f t="shared" si="4"/>
        <v>-113485.1</v>
      </c>
      <c r="E26" s="242">
        <f t="shared" si="5"/>
        <v>-92432</v>
      </c>
      <c r="F26" s="249">
        <v>-92432</v>
      </c>
      <c r="G26" s="249"/>
      <c r="H26" s="244">
        <v>-21053.1</v>
      </c>
      <c r="I26" s="243">
        <f>E26+H26</f>
        <v>-113485.1</v>
      </c>
      <c r="J26" s="244"/>
      <c r="K26" s="244">
        <v>-172450</v>
      </c>
      <c r="L26" s="245" t="e">
        <f>K26/#REF!*100</f>
        <v>#REF!</v>
      </c>
      <c r="M26" s="245"/>
      <c r="N26" s="240"/>
      <c r="O26" s="240"/>
      <c r="P26" s="243" t="e">
        <f t="shared" si="2"/>
        <v>#DIV/0!</v>
      </c>
      <c r="Q26" s="245">
        <f t="shared" si="10"/>
        <v>151.9582746986168</v>
      </c>
      <c r="R26" s="244">
        <f t="shared" si="3"/>
        <v>151.9582746986168</v>
      </c>
    </row>
    <row r="27" spans="1:18" ht="12.75">
      <c r="A27" s="74"/>
      <c r="B27" s="75"/>
      <c r="C27" s="76" t="s">
        <v>216</v>
      </c>
      <c r="D27" s="241">
        <f aca="true" t="shared" si="11" ref="D27:K27">D22+D8</f>
        <v>3760962.0999999996</v>
      </c>
      <c r="E27" s="241">
        <f t="shared" si="11"/>
        <v>1431979</v>
      </c>
      <c r="F27" s="241">
        <f t="shared" si="11"/>
        <v>449835.5</v>
      </c>
      <c r="G27" s="241">
        <f t="shared" si="11"/>
        <v>982143.5</v>
      </c>
      <c r="H27" s="241">
        <f t="shared" si="11"/>
        <v>897545.6</v>
      </c>
      <c r="I27" s="241">
        <f t="shared" si="11"/>
        <v>2329524.5999999996</v>
      </c>
      <c r="J27" s="241">
        <f t="shared" si="11"/>
        <v>1431437.5</v>
      </c>
      <c r="K27" s="241">
        <f t="shared" si="11"/>
        <v>2030014.7000000002</v>
      </c>
      <c r="L27" s="239" t="e">
        <f>K27/#REF!*100</f>
        <v>#REF!</v>
      </c>
      <c r="M27" s="239">
        <f t="shared" si="9"/>
        <v>226.17399049140238</v>
      </c>
      <c r="N27" s="240"/>
      <c r="O27" s="250" t="e">
        <f>J27+#REF!+#REF!</f>
        <v>#REF!</v>
      </c>
      <c r="P27" s="247">
        <f t="shared" si="2"/>
        <v>141.81650962755973</v>
      </c>
      <c r="Q27" s="239">
        <f t="shared" si="10"/>
        <v>87.14287455904096</v>
      </c>
      <c r="R27" s="241">
        <f t="shared" si="3"/>
        <v>53.97594142201009</v>
      </c>
    </row>
    <row r="28" spans="1:18" ht="12.75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102"/>
      <c r="O28" s="102"/>
      <c r="P28" s="111"/>
      <c r="Q28" s="101"/>
      <c r="R28" s="77"/>
    </row>
    <row r="29" spans="1:18" ht="12.75">
      <c r="A29" s="191" t="s">
        <v>217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01"/>
      <c r="R29" s="77"/>
    </row>
    <row r="30" spans="1:18" ht="12.75">
      <c r="A30" s="99" t="s">
        <v>178</v>
      </c>
      <c r="B30" s="99"/>
      <c r="C30" s="100" t="s">
        <v>179</v>
      </c>
      <c r="D30" s="239">
        <f aca="true" t="shared" si="12" ref="D30:J30">D31+D32+D34+D36+D33+D35+D37</f>
        <v>15651</v>
      </c>
      <c r="E30" s="239">
        <f t="shared" si="12"/>
        <v>7827.2</v>
      </c>
      <c r="F30" s="239">
        <f t="shared" si="12"/>
        <v>3915.1999999999994</v>
      </c>
      <c r="G30" s="239">
        <f t="shared" si="12"/>
        <v>3912.0000000000005</v>
      </c>
      <c r="H30" s="239">
        <f t="shared" si="12"/>
        <v>3911.6999999999994</v>
      </c>
      <c r="I30" s="239">
        <f t="shared" si="12"/>
        <v>11738.900000000001</v>
      </c>
      <c r="J30" s="239">
        <f t="shared" si="12"/>
        <v>3912.1000000000004</v>
      </c>
      <c r="K30" s="239">
        <f>K31+K32+K34+K36+K33+K35+K37</f>
        <v>8837.6</v>
      </c>
      <c r="L30" s="239" t="e">
        <f>K30/#REF!*100</f>
        <v>#REF!</v>
      </c>
      <c r="M30" s="239">
        <f aca="true" t="shared" si="13" ref="M30:M36">K30/H30*100</f>
        <v>225.92734616662838</v>
      </c>
      <c r="N30" s="240"/>
      <c r="O30" s="240"/>
      <c r="P30" s="239">
        <f t="shared" si="2"/>
        <v>225.90424580148766</v>
      </c>
      <c r="Q30" s="239">
        <f aca="true" t="shared" si="14" ref="Q30:Q38">K30*100/I30</f>
        <v>75.28473707076472</v>
      </c>
      <c r="R30" s="241">
        <f t="shared" si="3"/>
        <v>56.466679445402846</v>
      </c>
    </row>
    <row r="31" spans="1:18" ht="12.75">
      <c r="A31" s="67" t="s">
        <v>180</v>
      </c>
      <c r="B31" s="67"/>
      <c r="C31" s="112" t="s">
        <v>181</v>
      </c>
      <c r="D31" s="242">
        <f aca="true" t="shared" si="15" ref="D31:D36">F31+G31+H31+J31</f>
        <v>14175</v>
      </c>
      <c r="E31" s="242">
        <f aca="true" t="shared" si="16" ref="E31:E36">F31+G31</f>
        <v>7087.5</v>
      </c>
      <c r="F31" s="251">
        <v>3543.7</v>
      </c>
      <c r="G31" s="251">
        <v>3543.8</v>
      </c>
      <c r="H31" s="243">
        <v>3543.7</v>
      </c>
      <c r="I31" s="243">
        <f>E31+H31</f>
        <v>10631.2</v>
      </c>
      <c r="J31" s="244">
        <v>3543.8</v>
      </c>
      <c r="K31" s="252">
        <v>7377.4</v>
      </c>
      <c r="L31" s="245" t="e">
        <f>K31/#REF!*100</f>
        <v>#REF!</v>
      </c>
      <c r="M31" s="245">
        <f t="shared" si="13"/>
        <v>208.18353698112145</v>
      </c>
      <c r="N31" s="240"/>
      <c r="O31" s="240"/>
      <c r="P31" s="243">
        <f t="shared" si="2"/>
        <v>208.17766239629776</v>
      </c>
      <c r="Q31" s="245">
        <f t="shared" si="14"/>
        <v>69.39385958311385</v>
      </c>
      <c r="R31" s="244">
        <f t="shared" si="3"/>
        <v>52.04514991181658</v>
      </c>
    </row>
    <row r="32" spans="1:18" ht="12.75">
      <c r="A32" s="67" t="s">
        <v>184</v>
      </c>
      <c r="B32" s="67"/>
      <c r="C32" s="103" t="s">
        <v>185</v>
      </c>
      <c r="D32" s="242">
        <f t="shared" si="15"/>
        <v>432</v>
      </c>
      <c r="E32" s="242">
        <f t="shared" si="16"/>
        <v>216</v>
      </c>
      <c r="F32" s="242">
        <v>108</v>
      </c>
      <c r="G32" s="242">
        <v>108</v>
      </c>
      <c r="H32" s="243">
        <v>108</v>
      </c>
      <c r="I32" s="243">
        <f aca="true" t="shared" si="17" ref="I32:I40">E32+H32</f>
        <v>324</v>
      </c>
      <c r="J32" s="244">
        <v>108</v>
      </c>
      <c r="K32" s="244">
        <v>60.6</v>
      </c>
      <c r="L32" s="245" t="e">
        <f>K32/#REF!*100</f>
        <v>#REF!</v>
      </c>
      <c r="M32" s="245">
        <f t="shared" si="13"/>
        <v>56.111111111111114</v>
      </c>
      <c r="N32" s="240"/>
      <c r="O32" s="240"/>
      <c r="P32" s="243">
        <f t="shared" si="2"/>
        <v>56.111111111111114</v>
      </c>
      <c r="Q32" s="245">
        <f t="shared" si="14"/>
        <v>18.703703703703702</v>
      </c>
      <c r="R32" s="244">
        <f t="shared" si="3"/>
        <v>14.027777777777779</v>
      </c>
    </row>
    <row r="33" spans="1:18" ht="12.75">
      <c r="A33" s="67" t="s">
        <v>186</v>
      </c>
      <c r="B33" s="67"/>
      <c r="C33" s="103" t="s">
        <v>187</v>
      </c>
      <c r="D33" s="242">
        <f t="shared" si="15"/>
        <v>23</v>
      </c>
      <c r="E33" s="242">
        <f t="shared" si="16"/>
        <v>11.5</v>
      </c>
      <c r="F33" s="242">
        <v>5.7</v>
      </c>
      <c r="G33" s="242">
        <v>5.8</v>
      </c>
      <c r="H33" s="243">
        <v>5.7</v>
      </c>
      <c r="I33" s="243">
        <f t="shared" si="17"/>
        <v>17.2</v>
      </c>
      <c r="J33" s="244">
        <v>5.8</v>
      </c>
      <c r="K33" s="244">
        <v>12.5</v>
      </c>
      <c r="L33" s="245" t="e">
        <f>K33/#REF!*100</f>
        <v>#REF!</v>
      </c>
      <c r="M33" s="245">
        <f t="shared" si="13"/>
        <v>219.29824561403507</v>
      </c>
      <c r="N33" s="240"/>
      <c r="O33" s="240"/>
      <c r="P33" s="243">
        <f t="shared" si="2"/>
        <v>215.51724137931035</v>
      </c>
      <c r="Q33" s="245">
        <f t="shared" si="14"/>
        <v>72.67441860465117</v>
      </c>
      <c r="R33" s="244">
        <f t="shared" si="3"/>
        <v>54.34782608695652</v>
      </c>
    </row>
    <row r="34" spans="1:18" ht="24">
      <c r="A34" s="68" t="s">
        <v>190</v>
      </c>
      <c r="B34" s="68"/>
      <c r="C34" s="103" t="s">
        <v>191</v>
      </c>
      <c r="D34" s="242">
        <f t="shared" si="15"/>
        <v>925</v>
      </c>
      <c r="E34" s="242">
        <f t="shared" si="16"/>
        <v>462.5</v>
      </c>
      <c r="F34" s="242">
        <v>231.2</v>
      </c>
      <c r="G34" s="242">
        <v>231.3</v>
      </c>
      <c r="H34" s="243">
        <v>231.2</v>
      </c>
      <c r="I34" s="243">
        <f t="shared" si="17"/>
        <v>693.7</v>
      </c>
      <c r="J34" s="244">
        <v>231.3</v>
      </c>
      <c r="K34" s="244">
        <v>1315.6</v>
      </c>
      <c r="L34" s="245" t="e">
        <f>K34/#REF!*100</f>
        <v>#REF!</v>
      </c>
      <c r="M34" s="245">
        <f t="shared" si="13"/>
        <v>569.0311418685121</v>
      </c>
      <c r="N34" s="240"/>
      <c r="O34" s="240"/>
      <c r="P34" s="243">
        <f t="shared" si="2"/>
        <v>568.7851275399913</v>
      </c>
      <c r="Q34" s="245">
        <f t="shared" si="14"/>
        <v>189.649704483206</v>
      </c>
      <c r="R34" s="244">
        <f t="shared" si="3"/>
        <v>142.22702702702702</v>
      </c>
    </row>
    <row r="35" spans="1:18" ht="24">
      <c r="A35" s="105" t="s">
        <v>194</v>
      </c>
      <c r="B35" s="105"/>
      <c r="C35" s="103" t="s">
        <v>195</v>
      </c>
      <c r="D35" s="242">
        <f t="shared" si="15"/>
        <v>3.5</v>
      </c>
      <c r="E35" s="242">
        <f t="shared" si="16"/>
        <v>3.5</v>
      </c>
      <c r="F35" s="242">
        <f>3.5</f>
        <v>3.5</v>
      </c>
      <c r="G35" s="242"/>
      <c r="H35" s="243"/>
      <c r="I35" s="243">
        <f t="shared" si="17"/>
        <v>3.5</v>
      </c>
      <c r="J35" s="244"/>
      <c r="K35" s="244">
        <v>3.5</v>
      </c>
      <c r="L35" s="245"/>
      <c r="M35" s="245"/>
      <c r="N35" s="240"/>
      <c r="O35" s="240"/>
      <c r="P35" s="243"/>
      <c r="Q35" s="245">
        <f t="shared" si="14"/>
        <v>100</v>
      </c>
      <c r="R35" s="244">
        <f t="shared" si="3"/>
        <v>100</v>
      </c>
    </row>
    <row r="36" spans="1:18" ht="24">
      <c r="A36" s="104" t="s">
        <v>196</v>
      </c>
      <c r="B36" s="104"/>
      <c r="C36" s="103" t="s">
        <v>197</v>
      </c>
      <c r="D36" s="242">
        <f t="shared" si="15"/>
        <v>92.50000000000001</v>
      </c>
      <c r="E36" s="242">
        <f t="shared" si="16"/>
        <v>46.2</v>
      </c>
      <c r="F36" s="242">
        <v>23.1</v>
      </c>
      <c r="G36" s="242">
        <v>23.1</v>
      </c>
      <c r="H36" s="243">
        <v>23.1</v>
      </c>
      <c r="I36" s="243">
        <f t="shared" si="17"/>
        <v>69.30000000000001</v>
      </c>
      <c r="J36" s="244">
        <v>23.2</v>
      </c>
      <c r="K36" s="244">
        <v>48</v>
      </c>
      <c r="L36" s="245" t="e">
        <f>K36/#REF!*100</f>
        <v>#REF!</v>
      </c>
      <c r="M36" s="245">
        <f t="shared" si="13"/>
        <v>207.79220779220776</v>
      </c>
      <c r="N36" s="240"/>
      <c r="O36" s="240"/>
      <c r="P36" s="243">
        <f t="shared" si="2"/>
        <v>206.89655172413794</v>
      </c>
      <c r="Q36" s="245">
        <f t="shared" si="14"/>
        <v>69.26406926406925</v>
      </c>
      <c r="R36" s="244">
        <f t="shared" si="3"/>
        <v>51.89189189189188</v>
      </c>
    </row>
    <row r="37" spans="1:18" ht="12.75">
      <c r="A37" s="106" t="s">
        <v>202</v>
      </c>
      <c r="B37" s="107"/>
      <c r="C37" s="71" t="s">
        <v>203</v>
      </c>
      <c r="D37" s="253"/>
      <c r="E37" s="254"/>
      <c r="F37" s="254"/>
      <c r="G37" s="254"/>
      <c r="H37" s="243"/>
      <c r="I37" s="243">
        <f t="shared" si="17"/>
        <v>0</v>
      </c>
      <c r="J37" s="244"/>
      <c r="K37" s="244">
        <v>20</v>
      </c>
      <c r="L37" s="245"/>
      <c r="M37" s="245"/>
      <c r="N37" s="240"/>
      <c r="O37" s="240"/>
      <c r="P37" s="243" t="e">
        <f t="shared" si="2"/>
        <v>#DIV/0!</v>
      </c>
      <c r="Q37" s="245"/>
      <c r="R37" s="241"/>
    </row>
    <row r="38" spans="1:18" ht="12.75">
      <c r="A38" s="99" t="s">
        <v>206</v>
      </c>
      <c r="B38" s="99"/>
      <c r="C38" s="108" t="s">
        <v>207</v>
      </c>
      <c r="D38" s="246">
        <f>D39+D40</f>
        <v>8113.3</v>
      </c>
      <c r="E38" s="246">
        <f aca="true" t="shared" si="18" ref="E38:K38">E39+E40</f>
        <v>3532.2</v>
      </c>
      <c r="F38" s="246">
        <f t="shared" si="18"/>
        <v>1738.6999999999998</v>
      </c>
      <c r="G38" s="246">
        <f t="shared" si="18"/>
        <v>1793.5</v>
      </c>
      <c r="H38" s="246">
        <f t="shared" si="18"/>
        <v>2845.6</v>
      </c>
      <c r="I38" s="246">
        <f t="shared" si="18"/>
        <v>6377.8</v>
      </c>
      <c r="J38" s="246">
        <f t="shared" si="18"/>
        <v>1735.5</v>
      </c>
      <c r="K38" s="246">
        <f t="shared" si="18"/>
        <v>4452</v>
      </c>
      <c r="L38" s="246" t="e">
        <f>L39</f>
        <v>#REF!</v>
      </c>
      <c r="M38" s="239">
        <f>K38/H38*100</f>
        <v>156.45206634804612</v>
      </c>
      <c r="N38" s="240"/>
      <c r="O38" s="240"/>
      <c r="P38" s="247">
        <f t="shared" si="2"/>
        <v>256.52549697493515</v>
      </c>
      <c r="Q38" s="239">
        <f t="shared" si="14"/>
        <v>69.80463482705635</v>
      </c>
      <c r="R38" s="241">
        <f t="shared" si="3"/>
        <v>54.872863076676566</v>
      </c>
    </row>
    <row r="39" spans="1:18" ht="24">
      <c r="A39" s="69" t="s">
        <v>208</v>
      </c>
      <c r="B39" s="67"/>
      <c r="C39" s="109" t="s">
        <v>209</v>
      </c>
      <c r="D39" s="242">
        <f>F39+G39+H39+J39</f>
        <v>8040</v>
      </c>
      <c r="E39" s="242">
        <f>F39+G39</f>
        <v>3507.2</v>
      </c>
      <c r="F39" s="255">
        <f>1735.6+3.1</f>
        <v>1738.6999999999998</v>
      </c>
      <c r="G39" s="255">
        <f>1735.5+7.6+25.4</f>
        <v>1768.5</v>
      </c>
      <c r="H39" s="243">
        <f>1735.6+845.8+215.9</f>
        <v>2797.2999999999997</v>
      </c>
      <c r="I39" s="243">
        <f t="shared" si="17"/>
        <v>6304.5</v>
      </c>
      <c r="J39" s="255">
        <v>1735.5</v>
      </c>
      <c r="K39" s="244">
        <v>4378.8</v>
      </c>
      <c r="L39" s="245" t="e">
        <f>K39/#REF!*100</f>
        <v>#REF!</v>
      </c>
      <c r="M39" s="245">
        <f>K39/H39*100</f>
        <v>156.53666035105283</v>
      </c>
      <c r="N39" s="240"/>
      <c r="O39" s="240"/>
      <c r="P39" s="243">
        <f t="shared" si="2"/>
        <v>252.30769230769232</v>
      </c>
      <c r="Q39" s="245">
        <f>K39*100/I39</f>
        <v>69.45515108256008</v>
      </c>
      <c r="R39" s="244">
        <f t="shared" si="3"/>
        <v>54.46268656716418</v>
      </c>
    </row>
    <row r="40" spans="1:18" ht="12.75">
      <c r="A40" s="69" t="s">
        <v>210</v>
      </c>
      <c r="B40" s="69"/>
      <c r="C40" s="110" t="s">
        <v>211</v>
      </c>
      <c r="D40" s="242">
        <f>F40+G40+H40+J40</f>
        <v>73.3</v>
      </c>
      <c r="E40" s="242">
        <f>F40+G40</f>
        <v>25</v>
      </c>
      <c r="F40" s="255"/>
      <c r="G40" s="255">
        <v>25</v>
      </c>
      <c r="H40" s="243">
        <v>48.3</v>
      </c>
      <c r="I40" s="243">
        <f t="shared" si="17"/>
        <v>73.3</v>
      </c>
      <c r="J40" s="255"/>
      <c r="K40" s="244">
        <v>73.2</v>
      </c>
      <c r="L40" s="245"/>
      <c r="M40" s="245"/>
      <c r="N40" s="240"/>
      <c r="O40" s="240"/>
      <c r="P40" s="243"/>
      <c r="Q40" s="245"/>
      <c r="R40" s="244"/>
    </row>
    <row r="41" spans="1:18" ht="12.75">
      <c r="A41" s="74"/>
      <c r="B41" s="75"/>
      <c r="C41" s="76" t="s">
        <v>216</v>
      </c>
      <c r="D41" s="241">
        <f aca="true" t="shared" si="19" ref="D41:J41">D38+D30</f>
        <v>23764.3</v>
      </c>
      <c r="E41" s="241">
        <f t="shared" si="19"/>
        <v>11359.4</v>
      </c>
      <c r="F41" s="241">
        <f t="shared" si="19"/>
        <v>5653.9</v>
      </c>
      <c r="G41" s="241">
        <f t="shared" si="19"/>
        <v>5705.5</v>
      </c>
      <c r="H41" s="241">
        <f t="shared" si="19"/>
        <v>6757.299999999999</v>
      </c>
      <c r="I41" s="241">
        <f t="shared" si="19"/>
        <v>18116.7</v>
      </c>
      <c r="J41" s="241">
        <f t="shared" si="19"/>
        <v>5647.6</v>
      </c>
      <c r="K41" s="241">
        <f>K38+K30</f>
        <v>13289.6</v>
      </c>
      <c r="L41" s="239" t="e">
        <f>K41/#REF!*100</f>
        <v>#REF!</v>
      </c>
      <c r="M41" s="239">
        <f>K41/H41*100</f>
        <v>196.6702677104761</v>
      </c>
      <c r="N41" s="240"/>
      <c r="O41" s="250" t="e">
        <f>J41+#REF!+#REF!</f>
        <v>#REF!</v>
      </c>
      <c r="P41" s="247">
        <f t="shared" si="2"/>
        <v>235.3141157305758</v>
      </c>
      <c r="Q41" s="239">
        <f>K41*100/I41</f>
        <v>73.35552280492584</v>
      </c>
      <c r="R41" s="241">
        <f t="shared" si="3"/>
        <v>55.922539271091516</v>
      </c>
    </row>
    <row r="42" spans="1:18" ht="12.75">
      <c r="A42" s="113"/>
      <c r="B42" s="114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102"/>
      <c r="O42" s="102"/>
      <c r="P42" s="111"/>
      <c r="Q42" s="101"/>
      <c r="R42" s="77"/>
    </row>
    <row r="43" spans="1:18" ht="12.75">
      <c r="A43" s="191" t="s">
        <v>218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01"/>
      <c r="R43" s="77"/>
    </row>
    <row r="44" spans="1:18" ht="12.75">
      <c r="A44" s="99" t="s">
        <v>178</v>
      </c>
      <c r="B44" s="99"/>
      <c r="C44" s="100" t="s">
        <v>179</v>
      </c>
      <c r="D44" s="239">
        <f aca="true" t="shared" si="20" ref="D44:K44">D45+D47+D49+D50+D51+D52+D48+D46</f>
        <v>14517.9</v>
      </c>
      <c r="E44" s="239">
        <f t="shared" si="20"/>
        <v>6757.400000000001</v>
      </c>
      <c r="F44" s="239">
        <f t="shared" si="20"/>
        <v>2836.3</v>
      </c>
      <c r="G44" s="239">
        <f t="shared" si="20"/>
        <v>3921.1000000000004</v>
      </c>
      <c r="H44" s="239">
        <f t="shared" si="20"/>
        <v>3484.2000000000003</v>
      </c>
      <c r="I44" s="239">
        <f t="shared" si="20"/>
        <v>10241.6</v>
      </c>
      <c r="J44" s="239">
        <f t="shared" si="20"/>
        <v>4276.299999999999</v>
      </c>
      <c r="K44" s="239">
        <f t="shared" si="20"/>
        <v>10503.900000000001</v>
      </c>
      <c r="L44" s="239" t="e">
        <f>K44/#REF!*100</f>
        <v>#REF!</v>
      </c>
      <c r="M44" s="239">
        <f>K44/H44*100</f>
        <v>301.47236094368867</v>
      </c>
      <c r="N44" s="240"/>
      <c r="O44" s="240"/>
      <c r="P44" s="239">
        <f t="shared" si="2"/>
        <v>245.6305684820991</v>
      </c>
      <c r="Q44" s="239">
        <f>K44*100/I44</f>
        <v>102.56112326199033</v>
      </c>
      <c r="R44" s="241">
        <f t="shared" si="3"/>
        <v>72.35137313247786</v>
      </c>
    </row>
    <row r="45" spans="1:18" ht="12.75">
      <c r="A45" s="74" t="s">
        <v>180</v>
      </c>
      <c r="B45" s="67"/>
      <c r="C45" s="112" t="s">
        <v>181</v>
      </c>
      <c r="D45" s="242">
        <f aca="true" t="shared" si="21" ref="D45:D56">F45+G45+H45+J45</f>
        <v>11550</v>
      </c>
      <c r="E45" s="242">
        <f aca="true" t="shared" si="22" ref="E45:E56">F45+G45</f>
        <v>5102.200000000001</v>
      </c>
      <c r="F45" s="242">
        <v>2342.8</v>
      </c>
      <c r="G45" s="242">
        <v>2759.4</v>
      </c>
      <c r="H45" s="243">
        <v>2759.4</v>
      </c>
      <c r="I45" s="243">
        <f>E45+H45</f>
        <v>7861.6</v>
      </c>
      <c r="J45" s="244">
        <v>3688.4</v>
      </c>
      <c r="K45" s="252">
        <v>8110.6</v>
      </c>
      <c r="L45" s="245" t="e">
        <f>K45/#REF!*100</f>
        <v>#REF!</v>
      </c>
      <c r="M45" s="245">
        <f>K45/H45*100</f>
        <v>293.92621584402406</v>
      </c>
      <c r="N45" s="240"/>
      <c r="O45" s="240"/>
      <c r="P45" s="243">
        <f t="shared" si="2"/>
        <v>219.89480533564688</v>
      </c>
      <c r="Q45" s="245">
        <f>K45*100/I45</f>
        <v>103.16729418947797</v>
      </c>
      <c r="R45" s="244">
        <f t="shared" si="3"/>
        <v>70.22164502164502</v>
      </c>
    </row>
    <row r="46" spans="1:18" ht="12.75">
      <c r="A46" s="67" t="s">
        <v>182</v>
      </c>
      <c r="B46" s="67"/>
      <c r="C46" s="103" t="s">
        <v>183</v>
      </c>
      <c r="D46" s="242">
        <f t="shared" si="21"/>
        <v>9.5</v>
      </c>
      <c r="E46" s="242">
        <f t="shared" si="22"/>
        <v>4.8</v>
      </c>
      <c r="F46" s="242">
        <v>1.5</v>
      </c>
      <c r="G46" s="242">
        <v>3.3</v>
      </c>
      <c r="H46" s="243">
        <v>2.3</v>
      </c>
      <c r="I46" s="243">
        <f aca="true" t="shared" si="23" ref="I46:I52">E46+H46</f>
        <v>7.1</v>
      </c>
      <c r="J46" s="244">
        <v>2.4</v>
      </c>
      <c r="K46" s="252">
        <v>9.3</v>
      </c>
      <c r="L46" s="245" t="e">
        <f>K46/#REF!*100</f>
        <v>#REF!</v>
      </c>
      <c r="M46" s="245">
        <f>K46/H46*100</f>
        <v>404.34782608695656</v>
      </c>
      <c r="N46" s="240"/>
      <c r="O46" s="240"/>
      <c r="P46" s="243">
        <f t="shared" si="2"/>
        <v>387.50000000000006</v>
      </c>
      <c r="Q46" s="245">
        <f aca="true" t="shared" si="24" ref="Q46:Q55">K46*100/I46</f>
        <v>130.98591549295776</v>
      </c>
      <c r="R46" s="244">
        <f t="shared" si="3"/>
        <v>97.89473684210527</v>
      </c>
    </row>
    <row r="47" spans="1:18" ht="12.75">
      <c r="A47" s="67" t="s">
        <v>184</v>
      </c>
      <c r="B47" s="67"/>
      <c r="C47" s="103" t="s">
        <v>185</v>
      </c>
      <c r="D47" s="242">
        <f t="shared" si="21"/>
        <v>1780</v>
      </c>
      <c r="E47" s="242">
        <f t="shared" si="22"/>
        <v>855</v>
      </c>
      <c r="F47" s="242">
        <v>411</v>
      </c>
      <c r="G47" s="242">
        <v>444</v>
      </c>
      <c r="H47" s="243">
        <v>444</v>
      </c>
      <c r="I47" s="243">
        <f t="shared" si="23"/>
        <v>1299</v>
      </c>
      <c r="J47" s="244">
        <v>481</v>
      </c>
      <c r="K47" s="244">
        <v>1048.2</v>
      </c>
      <c r="L47" s="245" t="e">
        <f>K47/#REF!*100</f>
        <v>#REF!</v>
      </c>
      <c r="M47" s="245">
        <f>K47/H47*100</f>
        <v>236.08108108108107</v>
      </c>
      <c r="N47" s="240"/>
      <c r="O47" s="240"/>
      <c r="P47" s="243">
        <f t="shared" si="2"/>
        <v>217.92099792099793</v>
      </c>
      <c r="Q47" s="245">
        <f t="shared" si="24"/>
        <v>80.69284064665128</v>
      </c>
      <c r="R47" s="244">
        <f t="shared" si="3"/>
        <v>58.8876404494382</v>
      </c>
    </row>
    <row r="48" spans="1:18" ht="12.75">
      <c r="A48" s="67" t="s">
        <v>186</v>
      </c>
      <c r="B48" s="67"/>
      <c r="C48" s="103" t="s">
        <v>187</v>
      </c>
      <c r="D48" s="242">
        <f t="shared" si="21"/>
        <v>0</v>
      </c>
      <c r="E48" s="242">
        <f t="shared" si="22"/>
        <v>0</v>
      </c>
      <c r="F48" s="242"/>
      <c r="G48" s="242"/>
      <c r="H48" s="243"/>
      <c r="I48" s="243">
        <f t="shared" si="23"/>
        <v>0</v>
      </c>
      <c r="J48" s="244"/>
      <c r="K48" s="244"/>
      <c r="L48" s="245"/>
      <c r="M48" s="245"/>
      <c r="N48" s="240"/>
      <c r="O48" s="240"/>
      <c r="P48" s="243" t="e">
        <f t="shared" si="2"/>
        <v>#DIV/0!</v>
      </c>
      <c r="Q48" s="245" t="e">
        <f t="shared" si="24"/>
        <v>#DIV/0!</v>
      </c>
      <c r="R48" s="244" t="e">
        <f t="shared" si="3"/>
        <v>#DIV/0!</v>
      </c>
    </row>
    <row r="49" spans="1:18" ht="24">
      <c r="A49" s="68" t="s">
        <v>190</v>
      </c>
      <c r="B49" s="68"/>
      <c r="C49" s="103" t="s">
        <v>191</v>
      </c>
      <c r="D49" s="242">
        <f t="shared" si="21"/>
        <v>848.9</v>
      </c>
      <c r="E49" s="242">
        <f t="shared" si="22"/>
        <v>722.9</v>
      </c>
      <c r="F49" s="242">
        <v>46</v>
      </c>
      <c r="G49" s="242">
        <v>676.9</v>
      </c>
      <c r="H49" s="243">
        <v>61.5</v>
      </c>
      <c r="I49" s="243">
        <f t="shared" si="23"/>
        <v>784.4</v>
      </c>
      <c r="J49" s="244">
        <v>64.5</v>
      </c>
      <c r="K49" s="244">
        <v>1021.7</v>
      </c>
      <c r="L49" s="245" t="e">
        <f>K49/#REF!*100</f>
        <v>#REF!</v>
      </c>
      <c r="M49" s="245">
        <f>K49/H49*100</f>
        <v>1661.30081300813</v>
      </c>
      <c r="N49" s="240"/>
      <c r="O49" s="240"/>
      <c r="P49" s="243">
        <f t="shared" si="2"/>
        <v>1584.031007751938</v>
      </c>
      <c r="Q49" s="245">
        <f t="shared" si="24"/>
        <v>130.2524222335543</v>
      </c>
      <c r="R49" s="244">
        <f t="shared" si="3"/>
        <v>120.35575450583107</v>
      </c>
    </row>
    <row r="50" spans="1:18" ht="24">
      <c r="A50" s="105" t="s">
        <v>196</v>
      </c>
      <c r="B50" s="105"/>
      <c r="C50" s="103" t="s">
        <v>197</v>
      </c>
      <c r="D50" s="242">
        <f t="shared" si="21"/>
        <v>300</v>
      </c>
      <c r="E50" s="242">
        <f t="shared" si="22"/>
        <v>72.5</v>
      </c>
      <c r="F50" s="242">
        <v>35</v>
      </c>
      <c r="G50" s="242">
        <v>37.5</v>
      </c>
      <c r="H50" s="243">
        <f>37.5+150</f>
        <v>187.5</v>
      </c>
      <c r="I50" s="243">
        <f t="shared" si="23"/>
        <v>260</v>
      </c>
      <c r="J50" s="244">
        <v>40</v>
      </c>
      <c r="K50" s="244">
        <v>281.9</v>
      </c>
      <c r="L50" s="245" t="e">
        <f>K50/#REF!*100</f>
        <v>#REF!</v>
      </c>
      <c r="M50" s="245">
        <f>K50/H50*100</f>
        <v>150.34666666666666</v>
      </c>
      <c r="N50" s="240"/>
      <c r="O50" s="240"/>
      <c r="P50" s="243">
        <f t="shared" si="2"/>
        <v>704.7499999999999</v>
      </c>
      <c r="Q50" s="245">
        <f t="shared" si="24"/>
        <v>108.4230769230769</v>
      </c>
      <c r="R50" s="244">
        <f t="shared" si="3"/>
        <v>93.96666666666665</v>
      </c>
    </row>
    <row r="51" spans="1:18" ht="12.75">
      <c r="A51" s="74" t="s">
        <v>200</v>
      </c>
      <c r="B51" s="74"/>
      <c r="C51" s="103" t="s">
        <v>201</v>
      </c>
      <c r="D51" s="242">
        <f t="shared" si="21"/>
        <v>29.5</v>
      </c>
      <c r="E51" s="242">
        <f t="shared" si="22"/>
        <v>0</v>
      </c>
      <c r="F51" s="242"/>
      <c r="G51" s="242"/>
      <c r="H51" s="243">
        <v>29.5</v>
      </c>
      <c r="I51" s="243">
        <f t="shared" si="23"/>
        <v>29.5</v>
      </c>
      <c r="J51" s="244"/>
      <c r="K51" s="244">
        <v>29.5</v>
      </c>
      <c r="L51" s="245" t="e">
        <f>K51/#REF!*100</f>
        <v>#REF!</v>
      </c>
      <c r="M51" s="245"/>
      <c r="N51" s="240"/>
      <c r="O51" s="240"/>
      <c r="P51" s="243" t="e">
        <f t="shared" si="2"/>
        <v>#DIV/0!</v>
      </c>
      <c r="Q51" s="245">
        <f t="shared" si="24"/>
        <v>100</v>
      </c>
      <c r="R51" s="244"/>
    </row>
    <row r="52" spans="1:18" ht="12.75">
      <c r="A52" s="115" t="s">
        <v>202</v>
      </c>
      <c r="B52" s="107"/>
      <c r="C52" s="71" t="s">
        <v>203</v>
      </c>
      <c r="D52" s="242">
        <f t="shared" si="21"/>
        <v>0</v>
      </c>
      <c r="E52" s="242">
        <f t="shared" si="22"/>
        <v>0</v>
      </c>
      <c r="F52" s="242"/>
      <c r="G52" s="242"/>
      <c r="H52" s="243"/>
      <c r="I52" s="243">
        <f t="shared" si="23"/>
        <v>0</v>
      </c>
      <c r="J52" s="244"/>
      <c r="K52" s="244">
        <v>2.7</v>
      </c>
      <c r="L52" s="245"/>
      <c r="M52" s="245"/>
      <c r="N52" s="240"/>
      <c r="O52" s="240"/>
      <c r="P52" s="243" t="e">
        <f t="shared" si="2"/>
        <v>#DIV/0!</v>
      </c>
      <c r="Q52" s="245"/>
      <c r="R52" s="244"/>
    </row>
    <row r="53" spans="1:18" ht="12.75">
      <c r="A53" s="116" t="s">
        <v>206</v>
      </c>
      <c r="B53" s="116"/>
      <c r="C53" s="108" t="s">
        <v>207</v>
      </c>
      <c r="D53" s="246">
        <f>D54+D56+D55</f>
        <v>37132.3</v>
      </c>
      <c r="E53" s="246">
        <f aca="true" t="shared" si="25" ref="E53:P53">E54+E56+E55</f>
        <v>22401.5</v>
      </c>
      <c r="F53" s="246">
        <f t="shared" si="25"/>
        <v>14340.4</v>
      </c>
      <c r="G53" s="246">
        <f t="shared" si="25"/>
        <v>8061.1</v>
      </c>
      <c r="H53" s="246">
        <f t="shared" si="25"/>
        <v>7479.6</v>
      </c>
      <c r="I53" s="246">
        <f t="shared" si="25"/>
        <v>29881.100000000002</v>
      </c>
      <c r="J53" s="246">
        <f t="shared" si="25"/>
        <v>7251.2</v>
      </c>
      <c r="K53" s="246">
        <f t="shared" si="25"/>
        <v>16661.5</v>
      </c>
      <c r="L53" s="246" t="e">
        <f t="shared" si="25"/>
        <v>#REF!</v>
      </c>
      <c r="M53" s="246">
        <f t="shared" si="25"/>
        <v>222.7592384619498</v>
      </c>
      <c r="N53" s="246">
        <f t="shared" si="25"/>
        <v>0.1</v>
      </c>
      <c r="O53" s="246">
        <f t="shared" si="25"/>
        <v>0</v>
      </c>
      <c r="P53" s="246" t="e">
        <f t="shared" si="25"/>
        <v>#DIV/0!</v>
      </c>
      <c r="Q53" s="239">
        <f>K53*100/I53</f>
        <v>55.75932612922549</v>
      </c>
      <c r="R53" s="241">
        <f t="shared" si="3"/>
        <v>44.870638231405</v>
      </c>
    </row>
    <row r="54" spans="1:18" ht="24">
      <c r="A54" s="69" t="s">
        <v>208</v>
      </c>
      <c r="B54" s="67"/>
      <c r="C54" s="109" t="s">
        <v>209</v>
      </c>
      <c r="D54" s="242">
        <f t="shared" si="21"/>
        <v>30562.100000000002</v>
      </c>
      <c r="E54" s="242">
        <f t="shared" si="22"/>
        <v>15831.3</v>
      </c>
      <c r="F54" s="255">
        <f>7251.1+503.2+15.9</f>
        <v>7770.2</v>
      </c>
      <c r="G54" s="255">
        <v>8061.1</v>
      </c>
      <c r="H54" s="243">
        <f>7251.1+228.5</f>
        <v>7479.6</v>
      </c>
      <c r="I54" s="243">
        <f>E54+H54</f>
        <v>23310.9</v>
      </c>
      <c r="J54" s="243">
        <v>7251.2</v>
      </c>
      <c r="K54" s="244">
        <v>16661.5</v>
      </c>
      <c r="L54" s="245" t="e">
        <f>K54/#REF!*100</f>
        <v>#REF!</v>
      </c>
      <c r="M54" s="245">
        <f>K54/H54*100</f>
        <v>222.7592384619498</v>
      </c>
      <c r="N54" s="240">
        <v>0.1</v>
      </c>
      <c r="O54" s="240"/>
      <c r="P54" s="243">
        <f t="shared" si="2"/>
        <v>229.7757612533098</v>
      </c>
      <c r="Q54" s="245">
        <f t="shared" si="24"/>
        <v>71.47514681972811</v>
      </c>
      <c r="R54" s="244">
        <f t="shared" si="3"/>
        <v>54.51686893243592</v>
      </c>
    </row>
    <row r="55" spans="1:18" ht="12.75">
      <c r="A55" s="69" t="s">
        <v>210</v>
      </c>
      <c r="B55" s="69"/>
      <c r="C55" s="110" t="s">
        <v>211</v>
      </c>
      <c r="D55" s="242">
        <f>F55+G55+H55+J55</f>
        <v>6570.2</v>
      </c>
      <c r="E55" s="242">
        <f t="shared" si="22"/>
        <v>6570.2</v>
      </c>
      <c r="F55" s="255">
        <v>6570.2</v>
      </c>
      <c r="G55" s="255"/>
      <c r="H55" s="243"/>
      <c r="I55" s="243">
        <f>E55+H55</f>
        <v>6570.2</v>
      </c>
      <c r="J55" s="256"/>
      <c r="K55" s="244"/>
      <c r="L55" s="245"/>
      <c r="M55" s="245"/>
      <c r="N55" s="240"/>
      <c r="O55" s="240"/>
      <c r="P55" s="243"/>
      <c r="Q55" s="245">
        <f t="shared" si="24"/>
        <v>0</v>
      </c>
      <c r="R55" s="244">
        <f t="shared" si="3"/>
        <v>0</v>
      </c>
    </row>
    <row r="56" spans="1:18" ht="36">
      <c r="A56" s="69" t="s">
        <v>214</v>
      </c>
      <c r="B56" s="72"/>
      <c r="C56" s="73" t="s">
        <v>215</v>
      </c>
      <c r="D56" s="242">
        <f t="shared" si="21"/>
        <v>0</v>
      </c>
      <c r="E56" s="242">
        <f t="shared" si="22"/>
        <v>0</v>
      </c>
      <c r="F56" s="257"/>
      <c r="G56" s="257"/>
      <c r="H56" s="243"/>
      <c r="I56" s="243">
        <f>E56+H56</f>
        <v>0</v>
      </c>
      <c r="J56" s="256"/>
      <c r="K56" s="244"/>
      <c r="L56" s="245" t="e">
        <f>K56/#REF!*100</f>
        <v>#REF!</v>
      </c>
      <c r="M56" s="245"/>
      <c r="N56" s="240"/>
      <c r="O56" s="240"/>
      <c r="P56" s="243" t="e">
        <f t="shared" si="2"/>
        <v>#DIV/0!</v>
      </c>
      <c r="Q56" s="245"/>
      <c r="R56" s="244"/>
    </row>
    <row r="57" spans="1:18" ht="12.75">
      <c r="A57" s="68"/>
      <c r="B57" s="117"/>
      <c r="C57" s="118" t="s">
        <v>216</v>
      </c>
      <c r="D57" s="258">
        <f aca="true" t="shared" si="26" ref="D57:K57">D53+D44</f>
        <v>51650.200000000004</v>
      </c>
      <c r="E57" s="258">
        <f t="shared" si="26"/>
        <v>29158.9</v>
      </c>
      <c r="F57" s="258">
        <f t="shared" si="26"/>
        <v>17176.7</v>
      </c>
      <c r="G57" s="258">
        <f t="shared" si="26"/>
        <v>11982.2</v>
      </c>
      <c r="H57" s="258">
        <f t="shared" si="26"/>
        <v>10963.800000000001</v>
      </c>
      <c r="I57" s="258">
        <f t="shared" si="26"/>
        <v>40122.700000000004</v>
      </c>
      <c r="J57" s="258">
        <f t="shared" si="26"/>
        <v>11527.5</v>
      </c>
      <c r="K57" s="258">
        <f t="shared" si="26"/>
        <v>27165.4</v>
      </c>
      <c r="L57" s="239" t="e">
        <f>K57/#REF!*100</f>
        <v>#REF!</v>
      </c>
      <c r="M57" s="239">
        <f>K57/H57*100</f>
        <v>247.7735821521735</v>
      </c>
      <c r="N57" s="240"/>
      <c r="O57" s="250" t="e">
        <f>J57+#REF!+#REF!</f>
        <v>#REF!</v>
      </c>
      <c r="P57" s="247">
        <f t="shared" si="2"/>
        <v>235.6573411407504</v>
      </c>
      <c r="Q57" s="239">
        <f>K57*100/I57</f>
        <v>67.70581242040042</v>
      </c>
      <c r="R57" s="241">
        <f t="shared" si="3"/>
        <v>52.59495606987001</v>
      </c>
    </row>
    <row r="58" spans="1:18" ht="12.75">
      <c r="A58" s="192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4"/>
      <c r="N58" s="102"/>
      <c r="O58" s="102"/>
      <c r="P58" s="111"/>
      <c r="Q58" s="101"/>
      <c r="R58" s="77"/>
    </row>
    <row r="59" spans="1:18" ht="12.75">
      <c r="A59" s="191" t="s">
        <v>219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01"/>
      <c r="R59" s="77"/>
    </row>
    <row r="60" spans="1:18" ht="12.75">
      <c r="A60" s="116" t="s">
        <v>178</v>
      </c>
      <c r="B60" s="116"/>
      <c r="C60" s="119" t="s">
        <v>179</v>
      </c>
      <c r="D60" s="247">
        <f aca="true" t="shared" si="27" ref="D60:K60">D61+D63+D65+D67+D64+D69+D68+D62+D66</f>
        <v>32489</v>
      </c>
      <c r="E60" s="247">
        <f t="shared" si="27"/>
        <v>16322.4</v>
      </c>
      <c r="F60" s="247">
        <f t="shared" si="27"/>
        <v>7963.099999999999</v>
      </c>
      <c r="G60" s="247">
        <f t="shared" si="27"/>
        <v>8359.3</v>
      </c>
      <c r="H60" s="247">
        <f t="shared" si="27"/>
        <v>8039.099999999999</v>
      </c>
      <c r="I60" s="247">
        <f t="shared" si="27"/>
        <v>24361.5</v>
      </c>
      <c r="J60" s="247">
        <f t="shared" si="27"/>
        <v>8127.500000000001</v>
      </c>
      <c r="K60" s="247">
        <f t="shared" si="27"/>
        <v>16267.300000000003</v>
      </c>
      <c r="L60" s="247" t="e">
        <f>K60/#REF!*100</f>
        <v>#REF!</v>
      </c>
      <c r="M60" s="247">
        <f aca="true" t="shared" si="28" ref="M60:M67">K60/H60*100</f>
        <v>202.35225336169478</v>
      </c>
      <c r="N60" s="259"/>
      <c r="O60" s="259"/>
      <c r="P60" s="247">
        <f t="shared" si="2"/>
        <v>200.15133804983083</v>
      </c>
      <c r="Q60" s="239">
        <f>K60*100/I60</f>
        <v>66.77462389425939</v>
      </c>
      <c r="R60" s="241">
        <f t="shared" si="3"/>
        <v>50.07017759857183</v>
      </c>
    </row>
    <row r="61" spans="1:18" ht="12.75">
      <c r="A61" s="67" t="s">
        <v>180</v>
      </c>
      <c r="B61" s="67"/>
      <c r="C61" s="112" t="s">
        <v>181</v>
      </c>
      <c r="D61" s="242">
        <f>F61+G61+H61+J61</f>
        <v>18270</v>
      </c>
      <c r="E61" s="242">
        <f aca="true" t="shared" si="29" ref="E61:E72">F61+G61</f>
        <v>9134.9</v>
      </c>
      <c r="F61" s="260">
        <v>4567.5</v>
      </c>
      <c r="G61" s="260">
        <v>4567.4</v>
      </c>
      <c r="H61" s="245">
        <v>4567.5</v>
      </c>
      <c r="I61" s="243">
        <f>E61+H61</f>
        <v>13702.4</v>
      </c>
      <c r="J61" s="245">
        <v>4567.6</v>
      </c>
      <c r="K61" s="245">
        <v>8744.7</v>
      </c>
      <c r="L61" s="245" t="e">
        <f>K61/#REF!*100</f>
        <v>#REF!</v>
      </c>
      <c r="M61" s="245">
        <f t="shared" si="28"/>
        <v>191.45484400656815</v>
      </c>
      <c r="N61" s="240"/>
      <c r="O61" s="240"/>
      <c r="P61" s="245">
        <f t="shared" si="2"/>
        <v>191.45065242140294</v>
      </c>
      <c r="Q61" s="245">
        <f>K61*100/I61</f>
        <v>63.81874708080338</v>
      </c>
      <c r="R61" s="244">
        <f t="shared" si="3"/>
        <v>47.863711001642045</v>
      </c>
    </row>
    <row r="62" spans="1:18" ht="12.75">
      <c r="A62" s="67" t="s">
        <v>182</v>
      </c>
      <c r="B62" s="67"/>
      <c r="C62" s="103" t="s">
        <v>183</v>
      </c>
      <c r="D62" s="242">
        <f aca="true" t="shared" si="30" ref="D62:D72">F62+G62+H62+J62</f>
        <v>35</v>
      </c>
      <c r="E62" s="242">
        <f t="shared" si="29"/>
        <v>17.5</v>
      </c>
      <c r="F62" s="255">
        <v>8.7</v>
      </c>
      <c r="G62" s="255">
        <v>8.8</v>
      </c>
      <c r="H62" s="243">
        <v>8.7</v>
      </c>
      <c r="I62" s="243">
        <f aca="true" t="shared" si="31" ref="I62:I72">E62+H62</f>
        <v>26.2</v>
      </c>
      <c r="J62" s="243">
        <v>8.8</v>
      </c>
      <c r="K62" s="243">
        <v>31.5</v>
      </c>
      <c r="L62" s="245" t="e">
        <f>K62/#REF!*100</f>
        <v>#REF!</v>
      </c>
      <c r="M62" s="245">
        <f t="shared" si="28"/>
        <v>362.0689655172414</v>
      </c>
      <c r="N62" s="240"/>
      <c r="O62" s="240"/>
      <c r="P62" s="243">
        <f t="shared" si="2"/>
        <v>357.95454545454544</v>
      </c>
      <c r="Q62" s="245">
        <f aca="true" t="shared" si="32" ref="Q62:Q67">K62*100/I62</f>
        <v>120.22900763358778</v>
      </c>
      <c r="R62" s="244">
        <f t="shared" si="3"/>
        <v>90</v>
      </c>
    </row>
    <row r="63" spans="1:18" ht="12.75">
      <c r="A63" s="67" t="s">
        <v>184</v>
      </c>
      <c r="B63" s="67"/>
      <c r="C63" s="103" t="s">
        <v>185</v>
      </c>
      <c r="D63" s="242">
        <f t="shared" si="30"/>
        <v>8443</v>
      </c>
      <c r="E63" s="242">
        <f t="shared" si="29"/>
        <v>4099.5</v>
      </c>
      <c r="F63" s="255">
        <v>2051.7</v>
      </c>
      <c r="G63" s="255">
        <v>2047.8</v>
      </c>
      <c r="H63" s="243">
        <v>2127.7</v>
      </c>
      <c r="I63" s="243">
        <f t="shared" si="31"/>
        <v>6227.2</v>
      </c>
      <c r="J63" s="243">
        <v>2215.8</v>
      </c>
      <c r="K63" s="243">
        <v>3516.2</v>
      </c>
      <c r="L63" s="245" t="e">
        <f>K63/#REF!*100</f>
        <v>#REF!</v>
      </c>
      <c r="M63" s="245">
        <f t="shared" si="28"/>
        <v>165.25826009305825</v>
      </c>
      <c r="N63" s="240"/>
      <c r="O63" s="240"/>
      <c r="P63" s="243">
        <f t="shared" si="2"/>
        <v>158.68760718476395</v>
      </c>
      <c r="Q63" s="245">
        <f t="shared" si="32"/>
        <v>56.465184994861254</v>
      </c>
      <c r="R63" s="244">
        <f t="shared" si="3"/>
        <v>41.64633424138339</v>
      </c>
    </row>
    <row r="64" spans="1:18" ht="12.75">
      <c r="A64" s="67" t="s">
        <v>186</v>
      </c>
      <c r="B64" s="67"/>
      <c r="C64" s="103" t="s">
        <v>187</v>
      </c>
      <c r="D64" s="242">
        <f t="shared" si="30"/>
        <v>0</v>
      </c>
      <c r="E64" s="242">
        <f t="shared" si="29"/>
        <v>0</v>
      </c>
      <c r="F64" s="255"/>
      <c r="G64" s="255"/>
      <c r="H64" s="243"/>
      <c r="I64" s="243">
        <f t="shared" si="31"/>
        <v>0</v>
      </c>
      <c r="J64" s="243"/>
      <c r="K64" s="243">
        <v>9</v>
      </c>
      <c r="L64" s="245"/>
      <c r="M64" s="245" t="e">
        <f t="shared" si="28"/>
        <v>#DIV/0!</v>
      </c>
      <c r="N64" s="240"/>
      <c r="O64" s="240"/>
      <c r="P64" s="243" t="e">
        <f t="shared" si="2"/>
        <v>#DIV/0!</v>
      </c>
      <c r="Q64" s="245"/>
      <c r="R64" s="244"/>
    </row>
    <row r="65" spans="1:18" ht="24">
      <c r="A65" s="68" t="s">
        <v>190</v>
      </c>
      <c r="B65" s="68"/>
      <c r="C65" s="103" t="s">
        <v>191</v>
      </c>
      <c r="D65" s="242">
        <f t="shared" si="30"/>
        <v>5035</v>
      </c>
      <c r="E65" s="242">
        <f t="shared" si="29"/>
        <v>2517.5</v>
      </c>
      <c r="F65" s="255">
        <v>1258.7</v>
      </c>
      <c r="G65" s="255">
        <v>1258.8</v>
      </c>
      <c r="H65" s="243">
        <v>1258.7</v>
      </c>
      <c r="I65" s="243">
        <f t="shared" si="31"/>
        <v>3776.2</v>
      </c>
      <c r="J65" s="243">
        <v>1258.8</v>
      </c>
      <c r="K65" s="243">
        <v>3154</v>
      </c>
      <c r="L65" s="245" t="e">
        <f>K65/#REF!*100</f>
        <v>#REF!</v>
      </c>
      <c r="M65" s="245">
        <f t="shared" si="28"/>
        <v>250.57599110193055</v>
      </c>
      <c r="N65" s="240"/>
      <c r="O65" s="240"/>
      <c r="P65" s="243">
        <f t="shared" si="2"/>
        <v>250.5560851604703</v>
      </c>
      <c r="Q65" s="245">
        <f t="shared" si="32"/>
        <v>83.52311847889413</v>
      </c>
      <c r="R65" s="244">
        <f t="shared" si="3"/>
        <v>62.64150943396226</v>
      </c>
    </row>
    <row r="66" spans="1:18" ht="24">
      <c r="A66" s="105" t="s">
        <v>194</v>
      </c>
      <c r="B66" s="105"/>
      <c r="C66" s="103" t="s">
        <v>195</v>
      </c>
      <c r="D66" s="242">
        <f t="shared" si="30"/>
        <v>0</v>
      </c>
      <c r="E66" s="242">
        <f t="shared" si="29"/>
        <v>0</v>
      </c>
      <c r="F66" s="255"/>
      <c r="G66" s="255"/>
      <c r="H66" s="243"/>
      <c r="I66" s="243">
        <f t="shared" si="31"/>
        <v>0</v>
      </c>
      <c r="J66" s="243"/>
      <c r="K66" s="243"/>
      <c r="L66" s="245" t="e">
        <f>K66/#REF!*100</f>
        <v>#REF!</v>
      </c>
      <c r="M66" s="245"/>
      <c r="N66" s="240"/>
      <c r="O66" s="240"/>
      <c r="P66" s="243" t="e">
        <f t="shared" si="2"/>
        <v>#DIV/0!</v>
      </c>
      <c r="Q66" s="245"/>
      <c r="R66" s="244"/>
    </row>
    <row r="67" spans="1:18" ht="24">
      <c r="A67" s="104" t="s">
        <v>196</v>
      </c>
      <c r="B67" s="104"/>
      <c r="C67" s="103" t="s">
        <v>197</v>
      </c>
      <c r="D67" s="242">
        <f t="shared" si="30"/>
        <v>706</v>
      </c>
      <c r="E67" s="242">
        <f t="shared" si="29"/>
        <v>553</v>
      </c>
      <c r="F67" s="255">
        <v>76.5</v>
      </c>
      <c r="G67" s="255">
        <v>476.5</v>
      </c>
      <c r="H67" s="243">
        <v>76.5</v>
      </c>
      <c r="I67" s="243">
        <f t="shared" si="31"/>
        <v>629.5</v>
      </c>
      <c r="J67" s="243">
        <v>76.5</v>
      </c>
      <c r="K67" s="243">
        <v>769.1</v>
      </c>
      <c r="L67" s="245" t="e">
        <f>K67/#REF!*100</f>
        <v>#REF!</v>
      </c>
      <c r="M67" s="245">
        <f t="shared" si="28"/>
        <v>1005.359477124183</v>
      </c>
      <c r="N67" s="240"/>
      <c r="O67" s="240"/>
      <c r="P67" s="243">
        <f t="shared" si="2"/>
        <v>1005.3594771241831</v>
      </c>
      <c r="Q67" s="245">
        <f t="shared" si="32"/>
        <v>122.17633042096902</v>
      </c>
      <c r="R67" s="244">
        <f t="shared" si="3"/>
        <v>108.93767705382436</v>
      </c>
    </row>
    <row r="68" spans="1:18" ht="12.75">
      <c r="A68" s="74" t="s">
        <v>200</v>
      </c>
      <c r="B68" s="74"/>
      <c r="C68" s="103" t="s">
        <v>201</v>
      </c>
      <c r="D68" s="242">
        <f t="shared" si="30"/>
        <v>0</v>
      </c>
      <c r="E68" s="242">
        <f t="shared" si="29"/>
        <v>0</v>
      </c>
      <c r="F68" s="255"/>
      <c r="G68" s="255"/>
      <c r="H68" s="243"/>
      <c r="I68" s="243">
        <f t="shared" si="31"/>
        <v>0</v>
      </c>
      <c r="J68" s="243"/>
      <c r="K68" s="243">
        <v>1.2</v>
      </c>
      <c r="L68" s="245"/>
      <c r="M68" s="245"/>
      <c r="N68" s="240"/>
      <c r="O68" s="240"/>
      <c r="P68" s="243" t="e">
        <f t="shared" si="2"/>
        <v>#DIV/0!</v>
      </c>
      <c r="Q68" s="245"/>
      <c r="R68" s="244"/>
    </row>
    <row r="69" spans="1:18" ht="12.75">
      <c r="A69" s="106" t="s">
        <v>202</v>
      </c>
      <c r="B69" s="107"/>
      <c r="C69" s="71" t="s">
        <v>203</v>
      </c>
      <c r="D69" s="242">
        <f t="shared" si="30"/>
        <v>0</v>
      </c>
      <c r="E69" s="242">
        <f t="shared" si="29"/>
        <v>0</v>
      </c>
      <c r="F69" s="255"/>
      <c r="G69" s="255"/>
      <c r="H69" s="243"/>
      <c r="I69" s="243">
        <f t="shared" si="31"/>
        <v>0</v>
      </c>
      <c r="J69" s="243"/>
      <c r="K69" s="243">
        <v>41.6</v>
      </c>
      <c r="L69" s="245"/>
      <c r="M69" s="245"/>
      <c r="N69" s="240"/>
      <c r="O69" s="240"/>
      <c r="P69" s="243" t="e">
        <f t="shared" si="2"/>
        <v>#DIV/0!</v>
      </c>
      <c r="Q69" s="245"/>
      <c r="R69" s="244"/>
    </row>
    <row r="70" spans="1:18" ht="12.75">
      <c r="A70" s="99" t="s">
        <v>206</v>
      </c>
      <c r="B70" s="99"/>
      <c r="C70" s="108" t="s">
        <v>207</v>
      </c>
      <c r="D70" s="246">
        <f aca="true" t="shared" si="33" ref="D70:K70">D71+D72</f>
        <v>40446.4</v>
      </c>
      <c r="E70" s="246">
        <f t="shared" si="33"/>
        <v>23711.1</v>
      </c>
      <c r="F70" s="246">
        <f t="shared" si="33"/>
        <v>11774.5</v>
      </c>
      <c r="G70" s="246">
        <f t="shared" si="33"/>
        <v>11936.6</v>
      </c>
      <c r="H70" s="246">
        <f t="shared" si="33"/>
        <v>8323.7</v>
      </c>
      <c r="I70" s="246">
        <f t="shared" si="33"/>
        <v>32034.8</v>
      </c>
      <c r="J70" s="246">
        <f t="shared" si="33"/>
        <v>8411.6</v>
      </c>
      <c r="K70" s="246">
        <f t="shared" si="33"/>
        <v>25011.5</v>
      </c>
      <c r="L70" s="239" t="e">
        <f>K70/#REF!*100</f>
        <v>#REF!</v>
      </c>
      <c r="M70" s="239">
        <f>K70/H70*100</f>
        <v>300.48536107740546</v>
      </c>
      <c r="N70" s="240"/>
      <c r="O70" s="240"/>
      <c r="P70" s="247">
        <f t="shared" si="2"/>
        <v>297.3453326358838</v>
      </c>
      <c r="Q70" s="239">
        <f>K70*100/I70</f>
        <v>78.07602981757339</v>
      </c>
      <c r="R70" s="241">
        <f t="shared" si="3"/>
        <v>61.83863087938605</v>
      </c>
    </row>
    <row r="71" spans="1:18" ht="24">
      <c r="A71" s="69" t="s">
        <v>208</v>
      </c>
      <c r="B71" s="67"/>
      <c r="C71" s="109" t="s">
        <v>209</v>
      </c>
      <c r="D71" s="242">
        <f t="shared" si="30"/>
        <v>40446.4</v>
      </c>
      <c r="E71" s="242">
        <f t="shared" si="29"/>
        <v>23711.1</v>
      </c>
      <c r="F71" s="255">
        <f>8411.5+3363</f>
        <v>11774.5</v>
      </c>
      <c r="G71" s="255">
        <v>11936.6</v>
      </c>
      <c r="H71" s="243">
        <f>8411.6-87.9</f>
        <v>8323.7</v>
      </c>
      <c r="I71" s="243">
        <f t="shared" si="31"/>
        <v>32034.8</v>
      </c>
      <c r="J71" s="244">
        <v>8411.6</v>
      </c>
      <c r="K71" s="244">
        <v>25011.5</v>
      </c>
      <c r="L71" s="245" t="e">
        <f>K71/#REF!*100</f>
        <v>#REF!</v>
      </c>
      <c r="M71" s="245">
        <f>K71/H71*100</f>
        <v>300.48536107740546</v>
      </c>
      <c r="N71" s="240"/>
      <c r="O71" s="240"/>
      <c r="P71" s="243">
        <f t="shared" si="2"/>
        <v>297.3453326358838</v>
      </c>
      <c r="Q71" s="245">
        <f>K71*100/I71</f>
        <v>78.07602981757339</v>
      </c>
      <c r="R71" s="244">
        <f t="shared" si="3"/>
        <v>61.83863087938605</v>
      </c>
    </row>
    <row r="72" spans="1:18" ht="36">
      <c r="A72" s="69" t="s">
        <v>214</v>
      </c>
      <c r="B72" s="72"/>
      <c r="C72" s="73" t="s">
        <v>215</v>
      </c>
      <c r="D72" s="242">
        <f t="shared" si="30"/>
        <v>0</v>
      </c>
      <c r="E72" s="242">
        <f t="shared" si="29"/>
        <v>0</v>
      </c>
      <c r="F72" s="257"/>
      <c r="G72" s="257"/>
      <c r="H72" s="243"/>
      <c r="I72" s="243">
        <f t="shared" si="31"/>
        <v>0</v>
      </c>
      <c r="J72" s="244"/>
      <c r="K72" s="244"/>
      <c r="L72" s="245" t="e">
        <f>K72/#REF!*100</f>
        <v>#REF!</v>
      </c>
      <c r="M72" s="245"/>
      <c r="N72" s="240"/>
      <c r="O72" s="240"/>
      <c r="P72" s="243" t="e">
        <f t="shared" si="2"/>
        <v>#DIV/0!</v>
      </c>
      <c r="Q72" s="245"/>
      <c r="R72" s="241"/>
    </row>
    <row r="73" spans="1:18" ht="12.75">
      <c r="A73" s="74"/>
      <c r="B73" s="75"/>
      <c r="C73" s="76" t="s">
        <v>216</v>
      </c>
      <c r="D73" s="241">
        <f aca="true" t="shared" si="34" ref="D73:L73">D70+D60</f>
        <v>72935.4</v>
      </c>
      <c r="E73" s="241">
        <f t="shared" si="34"/>
        <v>40033.5</v>
      </c>
      <c r="F73" s="241">
        <f t="shared" si="34"/>
        <v>19737.6</v>
      </c>
      <c r="G73" s="241">
        <f t="shared" si="34"/>
        <v>20295.9</v>
      </c>
      <c r="H73" s="241">
        <f t="shared" si="34"/>
        <v>16362.8</v>
      </c>
      <c r="I73" s="241">
        <f t="shared" si="34"/>
        <v>56396.3</v>
      </c>
      <c r="J73" s="241">
        <f t="shared" si="34"/>
        <v>16539.100000000002</v>
      </c>
      <c r="K73" s="241">
        <f t="shared" si="34"/>
        <v>41278.8</v>
      </c>
      <c r="L73" s="241" t="e">
        <f t="shared" si="34"/>
        <v>#REF!</v>
      </c>
      <c r="M73" s="239">
        <f>K73/H73*100</f>
        <v>252.27222724717043</v>
      </c>
      <c r="N73" s="240"/>
      <c r="O73" s="250" t="e">
        <f>J73+#REF!+#REF!</f>
        <v>#REF!</v>
      </c>
      <c r="P73" s="247">
        <f t="shared" si="2"/>
        <v>249.58310911718291</v>
      </c>
      <c r="Q73" s="239">
        <f>K73*100/I73</f>
        <v>73.1941634468928</v>
      </c>
      <c r="R73" s="241">
        <f t="shared" si="3"/>
        <v>56.59638529438381</v>
      </c>
    </row>
    <row r="74" spans="1:18" ht="12.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4"/>
      <c r="N74" s="102"/>
      <c r="O74" s="102"/>
      <c r="P74" s="111"/>
      <c r="Q74" s="101"/>
      <c r="R74" s="77"/>
    </row>
    <row r="75" spans="1:18" ht="12.75">
      <c r="A75" s="191" t="s">
        <v>220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01"/>
      <c r="R75" s="77"/>
    </row>
    <row r="76" spans="1:18" ht="12.75">
      <c r="A76" s="99" t="s">
        <v>178</v>
      </c>
      <c r="B76" s="99"/>
      <c r="C76" s="100" t="s">
        <v>179</v>
      </c>
      <c r="D76" s="239">
        <f aca="true" t="shared" si="35" ref="D76:I76">D77+D78+D79+D80+D81+D82+D83+D84+D85</f>
        <v>23763.7</v>
      </c>
      <c r="E76" s="239">
        <f t="shared" si="35"/>
        <v>11873.2</v>
      </c>
      <c r="F76" s="239">
        <f t="shared" si="35"/>
        <v>6031.5</v>
      </c>
      <c r="G76" s="239">
        <f t="shared" si="35"/>
        <v>5841.7</v>
      </c>
      <c r="H76" s="239">
        <f t="shared" si="35"/>
        <v>5204.299999999999</v>
      </c>
      <c r="I76" s="239">
        <f t="shared" si="35"/>
        <v>17077.5</v>
      </c>
      <c r="J76" s="239">
        <f>J77+J78+J79+J80+J81+J82+J83+J84+J85+J86</f>
        <v>6686.2</v>
      </c>
      <c r="K76" s="239">
        <f>K77+K78+K79+K80+K81+K82+K83+K84+K85+K86</f>
        <v>12651.900000000001</v>
      </c>
      <c r="L76" s="239" t="e">
        <f>K76/#REF!*100</f>
        <v>#REF!</v>
      </c>
      <c r="M76" s="239">
        <f>K76/H76*100</f>
        <v>243.10474031089683</v>
      </c>
      <c r="N76" s="240"/>
      <c r="O76" s="240"/>
      <c r="P76" s="239">
        <f t="shared" si="2"/>
        <v>189.22407346474833</v>
      </c>
      <c r="Q76" s="239">
        <f>K76*100/I76</f>
        <v>74.08519982433027</v>
      </c>
      <c r="R76" s="241">
        <f aca="true" t="shared" si="36" ref="R76:R138">K76*100/D76</f>
        <v>53.24044656345603</v>
      </c>
    </row>
    <row r="77" spans="1:18" ht="12.75">
      <c r="A77" s="74" t="s">
        <v>180</v>
      </c>
      <c r="B77" s="74"/>
      <c r="C77" s="103" t="s">
        <v>181</v>
      </c>
      <c r="D77" s="242">
        <f>F77+G77+H77+J77</f>
        <v>16170</v>
      </c>
      <c r="E77" s="242">
        <f aca="true" t="shared" si="37" ref="E77:E85">F77+G77</f>
        <v>8400</v>
      </c>
      <c r="F77" s="255">
        <v>4300</v>
      </c>
      <c r="G77" s="255">
        <v>4100</v>
      </c>
      <c r="H77" s="243">
        <v>3450</v>
      </c>
      <c r="I77" s="243">
        <f>E77+H77</f>
        <v>11850</v>
      </c>
      <c r="J77" s="243">
        <v>4320</v>
      </c>
      <c r="K77" s="244">
        <v>8463.1</v>
      </c>
      <c r="L77" s="245" t="e">
        <f>K77/#REF!*100</f>
        <v>#REF!</v>
      </c>
      <c r="M77" s="245">
        <f>K77/H77*100</f>
        <v>245.3072463768116</v>
      </c>
      <c r="N77" s="240"/>
      <c r="O77" s="240"/>
      <c r="P77" s="243">
        <f aca="true" t="shared" si="38" ref="P77:P142">K77*100/J77</f>
        <v>195.90509259259258</v>
      </c>
      <c r="Q77" s="245">
        <f>K77*100/I77</f>
        <v>71.41856540084389</v>
      </c>
      <c r="R77" s="244">
        <f t="shared" si="36"/>
        <v>52.33828076685219</v>
      </c>
    </row>
    <row r="78" spans="1:18" ht="12.75">
      <c r="A78" s="67" t="s">
        <v>182</v>
      </c>
      <c r="B78" s="67"/>
      <c r="C78" s="103" t="s">
        <v>183</v>
      </c>
      <c r="D78" s="242">
        <f aca="true" t="shared" si="39" ref="D78:D85">F78+G78+H78+J78</f>
        <v>0</v>
      </c>
      <c r="E78" s="242">
        <f t="shared" si="37"/>
        <v>0</v>
      </c>
      <c r="F78" s="255"/>
      <c r="G78" s="255"/>
      <c r="H78" s="243"/>
      <c r="I78" s="243">
        <f aca="true" t="shared" si="40" ref="I78:I89">E78+H78</f>
        <v>0</v>
      </c>
      <c r="J78" s="243"/>
      <c r="K78" s="244"/>
      <c r="L78" s="245"/>
      <c r="M78" s="245"/>
      <c r="N78" s="240"/>
      <c r="O78" s="240"/>
      <c r="P78" s="243" t="e">
        <f t="shared" si="38"/>
        <v>#DIV/0!</v>
      </c>
      <c r="Q78" s="245" t="e">
        <f aca="true" t="shared" si="41" ref="Q78:Q84">K78*100/I78</f>
        <v>#DIV/0!</v>
      </c>
      <c r="R78" s="244" t="e">
        <f t="shared" si="36"/>
        <v>#DIV/0!</v>
      </c>
    </row>
    <row r="79" spans="1:18" ht="12.75">
      <c r="A79" s="67" t="s">
        <v>184</v>
      </c>
      <c r="B79" s="67"/>
      <c r="C79" s="103" t="s">
        <v>185</v>
      </c>
      <c r="D79" s="242">
        <f t="shared" si="39"/>
        <v>1372</v>
      </c>
      <c r="E79" s="242">
        <f t="shared" si="37"/>
        <v>405.6</v>
      </c>
      <c r="F79" s="255">
        <v>223.3</v>
      </c>
      <c r="G79" s="255">
        <v>182.3</v>
      </c>
      <c r="H79" s="243">
        <v>283.9</v>
      </c>
      <c r="I79" s="243">
        <f t="shared" si="40"/>
        <v>689.5</v>
      </c>
      <c r="J79" s="243">
        <v>682.5</v>
      </c>
      <c r="K79" s="244">
        <v>435.6</v>
      </c>
      <c r="L79" s="245" t="e">
        <f>K79/#REF!*100</f>
        <v>#REF!</v>
      </c>
      <c r="M79" s="245">
        <f>K79/H79*100</f>
        <v>153.4343078548785</v>
      </c>
      <c r="N79" s="240"/>
      <c r="O79" s="240"/>
      <c r="P79" s="243">
        <f t="shared" si="38"/>
        <v>63.824175824175825</v>
      </c>
      <c r="Q79" s="245">
        <f t="shared" si="41"/>
        <v>63.17621464829587</v>
      </c>
      <c r="R79" s="244">
        <f t="shared" si="36"/>
        <v>31.749271137026238</v>
      </c>
    </row>
    <row r="80" spans="1:18" ht="12.75">
      <c r="A80" s="67" t="s">
        <v>186</v>
      </c>
      <c r="B80" s="67"/>
      <c r="C80" s="103" t="s">
        <v>187</v>
      </c>
      <c r="D80" s="242">
        <f t="shared" si="39"/>
        <v>0</v>
      </c>
      <c r="E80" s="242">
        <f t="shared" si="37"/>
        <v>0</v>
      </c>
      <c r="F80" s="255"/>
      <c r="G80" s="255"/>
      <c r="H80" s="243"/>
      <c r="I80" s="243">
        <f t="shared" si="40"/>
        <v>0</v>
      </c>
      <c r="J80" s="243"/>
      <c r="K80" s="244"/>
      <c r="L80" s="245"/>
      <c r="M80" s="245"/>
      <c r="N80" s="240"/>
      <c r="O80" s="240"/>
      <c r="P80" s="243" t="e">
        <f t="shared" si="38"/>
        <v>#DIV/0!</v>
      </c>
      <c r="Q80" s="245" t="e">
        <f t="shared" si="41"/>
        <v>#DIV/0!</v>
      </c>
      <c r="R80" s="244" t="e">
        <f t="shared" si="36"/>
        <v>#DIV/0!</v>
      </c>
    </row>
    <row r="81" spans="1:18" ht="24">
      <c r="A81" s="68" t="s">
        <v>190</v>
      </c>
      <c r="B81" s="68"/>
      <c r="C81" s="103" t="s">
        <v>191</v>
      </c>
      <c r="D81" s="242">
        <f t="shared" si="39"/>
        <v>5633</v>
      </c>
      <c r="E81" s="242">
        <f t="shared" si="37"/>
        <v>2750</v>
      </c>
      <c r="F81" s="255">
        <v>1340</v>
      </c>
      <c r="G81" s="255">
        <v>1410</v>
      </c>
      <c r="H81" s="243">
        <v>1410</v>
      </c>
      <c r="I81" s="243">
        <f t="shared" si="40"/>
        <v>4160</v>
      </c>
      <c r="J81" s="243">
        <v>1473</v>
      </c>
      <c r="K81" s="244">
        <v>3342.5</v>
      </c>
      <c r="L81" s="245" t="e">
        <f>K81/#REF!*100</f>
        <v>#REF!</v>
      </c>
      <c r="M81" s="245">
        <f>K81/H81*100</f>
        <v>237.05673758865248</v>
      </c>
      <c r="N81" s="240"/>
      <c r="O81" s="240"/>
      <c r="P81" s="243">
        <f t="shared" si="38"/>
        <v>226.91785471826205</v>
      </c>
      <c r="Q81" s="245">
        <f t="shared" si="41"/>
        <v>80.3485576923077</v>
      </c>
      <c r="R81" s="244">
        <f t="shared" si="36"/>
        <v>59.33783064086632</v>
      </c>
    </row>
    <row r="82" spans="1:18" ht="24">
      <c r="A82" s="105" t="s">
        <v>194</v>
      </c>
      <c r="B82" s="105"/>
      <c r="C82" s="103" t="s">
        <v>195</v>
      </c>
      <c r="D82" s="242">
        <f t="shared" si="39"/>
        <v>465.99999999999994</v>
      </c>
      <c r="E82" s="242">
        <f t="shared" si="37"/>
        <v>243.39999999999998</v>
      </c>
      <c r="F82" s="255">
        <v>138.2</v>
      </c>
      <c r="G82" s="255">
        <v>105.2</v>
      </c>
      <c r="H82" s="243">
        <v>36.4</v>
      </c>
      <c r="I82" s="243">
        <f t="shared" si="40"/>
        <v>279.79999999999995</v>
      </c>
      <c r="J82" s="243">
        <v>186.2</v>
      </c>
      <c r="K82" s="244">
        <v>291.5</v>
      </c>
      <c r="L82" s="245" t="e">
        <f>K82/#REF!*100</f>
        <v>#REF!</v>
      </c>
      <c r="M82" s="245">
        <f>K82/H82*100</f>
        <v>800.8241758241759</v>
      </c>
      <c r="N82" s="240"/>
      <c r="O82" s="240"/>
      <c r="P82" s="243">
        <f t="shared" si="38"/>
        <v>156.55209452201933</v>
      </c>
      <c r="Q82" s="245">
        <f t="shared" si="41"/>
        <v>104.18155825589709</v>
      </c>
      <c r="R82" s="244">
        <f t="shared" si="36"/>
        <v>62.55364806866954</v>
      </c>
    </row>
    <row r="83" spans="1:18" ht="24">
      <c r="A83" s="104" t="s">
        <v>196</v>
      </c>
      <c r="B83" s="104"/>
      <c r="C83" s="103" t="s">
        <v>197</v>
      </c>
      <c r="D83" s="242">
        <f t="shared" si="39"/>
        <v>102.5</v>
      </c>
      <c r="E83" s="242">
        <f t="shared" si="37"/>
        <v>54</v>
      </c>
      <c r="F83" s="255">
        <v>30</v>
      </c>
      <c r="G83" s="255">
        <v>24</v>
      </c>
      <c r="H83" s="243">
        <v>24</v>
      </c>
      <c r="I83" s="243">
        <f t="shared" si="40"/>
        <v>78</v>
      </c>
      <c r="J83" s="243">
        <v>24.5</v>
      </c>
      <c r="K83" s="244">
        <v>42.3</v>
      </c>
      <c r="L83" s="245" t="e">
        <f>K83/#REF!*100</f>
        <v>#REF!</v>
      </c>
      <c r="M83" s="245">
        <f>K83/H83*100</f>
        <v>176.25</v>
      </c>
      <c r="N83" s="240"/>
      <c r="O83" s="240"/>
      <c r="P83" s="243">
        <f t="shared" si="38"/>
        <v>172.6530612244898</v>
      </c>
      <c r="Q83" s="245">
        <f t="shared" si="41"/>
        <v>54.23076923076923</v>
      </c>
      <c r="R83" s="244">
        <f t="shared" si="36"/>
        <v>41.26829268292683</v>
      </c>
    </row>
    <row r="84" spans="1:18" ht="12.75">
      <c r="A84" s="74" t="s">
        <v>200</v>
      </c>
      <c r="B84" s="74"/>
      <c r="C84" s="103" t="s">
        <v>201</v>
      </c>
      <c r="D84" s="242">
        <f t="shared" si="39"/>
        <v>20.2</v>
      </c>
      <c r="E84" s="242">
        <f t="shared" si="37"/>
        <v>20.2</v>
      </c>
      <c r="F84" s="255"/>
      <c r="G84" s="255">
        <v>20.2</v>
      </c>
      <c r="H84" s="243"/>
      <c r="I84" s="243">
        <f t="shared" si="40"/>
        <v>20.2</v>
      </c>
      <c r="J84" s="243"/>
      <c r="K84" s="244">
        <v>20.2</v>
      </c>
      <c r="L84" s="239"/>
      <c r="M84" s="239"/>
      <c r="N84" s="240"/>
      <c r="O84" s="240"/>
      <c r="P84" s="243" t="e">
        <f t="shared" si="38"/>
        <v>#DIV/0!</v>
      </c>
      <c r="Q84" s="245">
        <f t="shared" si="41"/>
        <v>100</v>
      </c>
      <c r="R84" s="244"/>
    </row>
    <row r="85" spans="1:18" ht="12.75">
      <c r="A85" s="106" t="s">
        <v>202</v>
      </c>
      <c r="B85" s="107"/>
      <c r="C85" s="71" t="s">
        <v>203</v>
      </c>
      <c r="D85" s="242">
        <f t="shared" si="39"/>
        <v>0</v>
      </c>
      <c r="E85" s="242">
        <f t="shared" si="37"/>
        <v>0</v>
      </c>
      <c r="F85" s="255"/>
      <c r="G85" s="255"/>
      <c r="H85" s="243"/>
      <c r="I85" s="243">
        <f t="shared" si="40"/>
        <v>0</v>
      </c>
      <c r="J85" s="243"/>
      <c r="K85" s="244">
        <v>56.7</v>
      </c>
      <c r="L85" s="239"/>
      <c r="M85" s="239"/>
      <c r="N85" s="240"/>
      <c r="O85" s="240"/>
      <c r="P85" s="243" t="e">
        <f t="shared" si="38"/>
        <v>#DIV/0!</v>
      </c>
      <c r="Q85" s="245"/>
      <c r="R85" s="244"/>
    </row>
    <row r="86" spans="1:18" ht="12.75">
      <c r="A86" s="106" t="s">
        <v>204</v>
      </c>
      <c r="B86" s="107"/>
      <c r="C86" s="71" t="s">
        <v>205</v>
      </c>
      <c r="D86" s="253"/>
      <c r="E86" s="253"/>
      <c r="F86" s="255"/>
      <c r="G86" s="255"/>
      <c r="H86" s="243" t="e">
        <f>J86+#REF!+#REF!+#REF!</f>
        <v>#REF!</v>
      </c>
      <c r="I86" s="243" t="e">
        <f t="shared" si="40"/>
        <v>#REF!</v>
      </c>
      <c r="J86" s="243"/>
      <c r="K86" s="244"/>
      <c r="L86" s="239"/>
      <c r="M86" s="239"/>
      <c r="N86" s="240"/>
      <c r="O86" s="240"/>
      <c r="P86" s="243" t="e">
        <f t="shared" si="38"/>
        <v>#DIV/0!</v>
      </c>
      <c r="Q86" s="239" t="e">
        <f>K86*100/E86</f>
        <v>#DIV/0!</v>
      </c>
      <c r="R86" s="241" t="e">
        <f t="shared" si="36"/>
        <v>#DIV/0!</v>
      </c>
    </row>
    <row r="87" spans="1:18" ht="12.75">
      <c r="A87" s="99" t="s">
        <v>206</v>
      </c>
      <c r="B87" s="99"/>
      <c r="C87" s="108" t="s">
        <v>207</v>
      </c>
      <c r="D87" s="246">
        <f aca="true" t="shared" si="42" ref="D87:K87">D88+D89</f>
        <v>55871.6</v>
      </c>
      <c r="E87" s="261">
        <f t="shared" si="42"/>
        <v>27692.899999999998</v>
      </c>
      <c r="F87" s="246">
        <f t="shared" si="42"/>
        <v>10689.8</v>
      </c>
      <c r="G87" s="246">
        <f t="shared" si="42"/>
        <v>17003.1</v>
      </c>
      <c r="H87" s="246">
        <f t="shared" si="42"/>
        <v>16628.100000000002</v>
      </c>
      <c r="I87" s="246">
        <f t="shared" si="42"/>
        <v>44321</v>
      </c>
      <c r="J87" s="246">
        <f t="shared" si="42"/>
        <v>11550.6</v>
      </c>
      <c r="K87" s="246">
        <f t="shared" si="42"/>
        <v>34136.7</v>
      </c>
      <c r="L87" s="239" t="e">
        <f>K87/#REF!*100</f>
        <v>#REF!</v>
      </c>
      <c r="M87" s="239">
        <f>K87/H87*100</f>
        <v>205.29525321594164</v>
      </c>
      <c r="N87" s="240"/>
      <c r="O87" s="240"/>
      <c r="P87" s="247">
        <f t="shared" si="38"/>
        <v>295.540491403044</v>
      </c>
      <c r="Q87" s="239">
        <f>K87*100/I87</f>
        <v>77.02150222242277</v>
      </c>
      <c r="R87" s="241">
        <f t="shared" si="36"/>
        <v>61.09848295019294</v>
      </c>
    </row>
    <row r="88" spans="1:18" ht="24">
      <c r="A88" s="69" t="s">
        <v>208</v>
      </c>
      <c r="B88" s="67"/>
      <c r="C88" s="109" t="s">
        <v>209</v>
      </c>
      <c r="D88" s="242">
        <f>F88+G88+H88+J88</f>
        <v>55766.6</v>
      </c>
      <c r="E88" s="242">
        <f>F88+G88</f>
        <v>27587.899999999998</v>
      </c>
      <c r="F88" s="255">
        <v>10684.8</v>
      </c>
      <c r="G88" s="255">
        <v>16903.1</v>
      </c>
      <c r="H88" s="243">
        <f>16511.9+116.2</f>
        <v>16628.100000000002</v>
      </c>
      <c r="I88" s="243">
        <f t="shared" si="40"/>
        <v>44216</v>
      </c>
      <c r="J88" s="243">
        <v>11550.6</v>
      </c>
      <c r="K88" s="244">
        <v>34022.2</v>
      </c>
      <c r="L88" s="245" t="e">
        <f>K88/#REF!*100</f>
        <v>#REF!</v>
      </c>
      <c r="M88" s="245">
        <f>K88/H88*100</f>
        <v>204.60665981080214</v>
      </c>
      <c r="N88" s="240"/>
      <c r="O88" s="240"/>
      <c r="P88" s="243">
        <f t="shared" si="38"/>
        <v>294.5492009073121</v>
      </c>
      <c r="Q88" s="245">
        <f>K88*100/I88</f>
        <v>76.94544961100053</v>
      </c>
      <c r="R88" s="244">
        <f t="shared" si="36"/>
        <v>61.00820204208253</v>
      </c>
    </row>
    <row r="89" spans="1:18" ht="12.75">
      <c r="A89" s="69" t="s">
        <v>210</v>
      </c>
      <c r="B89" s="69"/>
      <c r="C89" s="110" t="s">
        <v>211</v>
      </c>
      <c r="D89" s="242">
        <f>F89+G89+H89+J89</f>
        <v>105</v>
      </c>
      <c r="E89" s="242">
        <f>F89+G89</f>
        <v>105</v>
      </c>
      <c r="F89" s="262">
        <v>5</v>
      </c>
      <c r="G89" s="262">
        <v>100</v>
      </c>
      <c r="H89" s="243"/>
      <c r="I89" s="243">
        <f t="shared" si="40"/>
        <v>105</v>
      </c>
      <c r="J89" s="243"/>
      <c r="K89" s="244">
        <v>114.5</v>
      </c>
      <c r="L89" s="245" t="e">
        <f>K89/#REF!*100</f>
        <v>#REF!</v>
      </c>
      <c r="M89" s="245"/>
      <c r="N89" s="240"/>
      <c r="O89" s="240"/>
      <c r="P89" s="243" t="e">
        <f t="shared" si="38"/>
        <v>#DIV/0!</v>
      </c>
      <c r="Q89" s="245">
        <f>K89*100/I89</f>
        <v>109.04761904761905</v>
      </c>
      <c r="R89" s="244">
        <f>K89*100/D89</f>
        <v>109.04761904761905</v>
      </c>
    </row>
    <row r="90" spans="1:18" ht="12.75">
      <c r="A90" s="74"/>
      <c r="B90" s="75"/>
      <c r="C90" s="76" t="s">
        <v>216</v>
      </c>
      <c r="D90" s="241">
        <f aca="true" t="shared" si="43" ref="D90:K90">D87+D76</f>
        <v>79635.3</v>
      </c>
      <c r="E90" s="241">
        <f t="shared" si="43"/>
        <v>39566.1</v>
      </c>
      <c r="F90" s="241">
        <f t="shared" si="43"/>
        <v>16721.3</v>
      </c>
      <c r="G90" s="241">
        <f t="shared" si="43"/>
        <v>22844.8</v>
      </c>
      <c r="H90" s="241">
        <f t="shared" si="43"/>
        <v>21832.4</v>
      </c>
      <c r="I90" s="241">
        <f t="shared" si="43"/>
        <v>61398.5</v>
      </c>
      <c r="J90" s="241">
        <f t="shared" si="43"/>
        <v>18236.8</v>
      </c>
      <c r="K90" s="241">
        <f t="shared" si="43"/>
        <v>46788.6</v>
      </c>
      <c r="L90" s="239" t="e">
        <f>K90/#REF!*100</f>
        <v>#REF!</v>
      </c>
      <c r="M90" s="239">
        <f>K90/H90*100</f>
        <v>214.3080925596819</v>
      </c>
      <c r="N90" s="240"/>
      <c r="O90" s="250" t="e">
        <f>J90+#REF!+#REF!</f>
        <v>#REF!</v>
      </c>
      <c r="P90" s="247">
        <f t="shared" si="38"/>
        <v>256.56145815055277</v>
      </c>
      <c r="Q90" s="239">
        <f>K90*100/I90</f>
        <v>76.20479327670871</v>
      </c>
      <c r="R90" s="241">
        <f t="shared" si="36"/>
        <v>58.753592941823534</v>
      </c>
    </row>
    <row r="91" spans="1:18" ht="12.75">
      <c r="A91" s="192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4"/>
      <c r="N91" s="102"/>
      <c r="O91" s="102"/>
      <c r="P91" s="111"/>
      <c r="Q91" s="101"/>
      <c r="R91" s="77"/>
    </row>
    <row r="92" spans="1:18" ht="12.75">
      <c r="A92" s="191" t="s">
        <v>221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01"/>
      <c r="R92" s="77"/>
    </row>
    <row r="93" spans="1:18" ht="12.75">
      <c r="A93" s="99" t="s">
        <v>178</v>
      </c>
      <c r="B93" s="99"/>
      <c r="C93" s="100" t="s">
        <v>179</v>
      </c>
      <c r="D93" s="239">
        <f aca="true" t="shared" si="44" ref="D93:K93">D94+D95+D99+D96+D97+D100+D98</f>
        <v>2449.5</v>
      </c>
      <c r="E93" s="239">
        <f t="shared" si="44"/>
        <v>1209.8</v>
      </c>
      <c r="F93" s="239">
        <f t="shared" si="44"/>
        <v>599.3</v>
      </c>
      <c r="G93" s="239">
        <f t="shared" si="44"/>
        <v>610.5000000000001</v>
      </c>
      <c r="H93" s="239">
        <f t="shared" si="44"/>
        <v>632.5000000000001</v>
      </c>
      <c r="I93" s="239">
        <f t="shared" si="44"/>
        <v>1842.3000000000002</v>
      </c>
      <c r="J93" s="239">
        <f t="shared" si="44"/>
        <v>607.2</v>
      </c>
      <c r="K93" s="239">
        <f t="shared" si="44"/>
        <v>2014.9</v>
      </c>
      <c r="L93" s="239" t="e">
        <f>K93/#REF!*100</f>
        <v>#REF!</v>
      </c>
      <c r="M93" s="239">
        <f>K93/H93*100</f>
        <v>318.5612648221344</v>
      </c>
      <c r="N93" s="240"/>
      <c r="O93" s="240"/>
      <c r="P93" s="239">
        <f t="shared" si="38"/>
        <v>331.83465085638994</v>
      </c>
      <c r="Q93" s="239">
        <f aca="true" t="shared" si="45" ref="Q93:Q99">K93*100/I93</f>
        <v>109.36872387776148</v>
      </c>
      <c r="R93" s="241">
        <f t="shared" si="36"/>
        <v>82.25760359256991</v>
      </c>
    </row>
    <row r="94" spans="1:18" ht="12.75">
      <c r="A94" s="74" t="s">
        <v>180</v>
      </c>
      <c r="B94" s="74"/>
      <c r="C94" s="103" t="s">
        <v>181</v>
      </c>
      <c r="D94" s="242">
        <f>F94+G94+H94+J94</f>
        <v>2278.5</v>
      </c>
      <c r="E94" s="242">
        <f aca="true" t="shared" si="46" ref="E94:E103">F94+G94</f>
        <v>1139.2</v>
      </c>
      <c r="F94" s="255">
        <v>569.6</v>
      </c>
      <c r="G94" s="255">
        <v>569.6</v>
      </c>
      <c r="H94" s="243">
        <v>569.6</v>
      </c>
      <c r="I94" s="243">
        <f>E94+H94</f>
        <v>1708.8000000000002</v>
      </c>
      <c r="J94" s="244">
        <v>569.7</v>
      </c>
      <c r="K94" s="244">
        <v>1885</v>
      </c>
      <c r="L94" s="245"/>
      <c r="M94" s="245">
        <f>K94/H94*100</f>
        <v>330.9339887640449</v>
      </c>
      <c r="N94" s="250"/>
      <c r="O94" s="240"/>
      <c r="P94" s="243">
        <f t="shared" si="38"/>
        <v>330.8758995962787</v>
      </c>
      <c r="Q94" s="245">
        <f t="shared" si="45"/>
        <v>110.31132958801497</v>
      </c>
      <c r="R94" s="244">
        <f t="shared" si="36"/>
        <v>82.72986614000439</v>
      </c>
    </row>
    <row r="95" spans="1:18" ht="12.75">
      <c r="A95" s="67" t="s">
        <v>184</v>
      </c>
      <c r="B95" s="67"/>
      <c r="C95" s="103" t="s">
        <v>185</v>
      </c>
      <c r="D95" s="242">
        <f aca="true" t="shared" si="47" ref="D95:D103">F95+G95+H95+J95</f>
        <v>50</v>
      </c>
      <c r="E95" s="242">
        <f t="shared" si="46"/>
        <v>25.5</v>
      </c>
      <c r="F95" s="255">
        <v>12.8</v>
      </c>
      <c r="G95" s="255">
        <v>12.7</v>
      </c>
      <c r="H95" s="243">
        <v>12.7</v>
      </c>
      <c r="I95" s="243">
        <f aca="true" t="shared" si="48" ref="I95:I102">E95+H95</f>
        <v>38.2</v>
      </c>
      <c r="J95" s="244">
        <v>11.8</v>
      </c>
      <c r="K95" s="244">
        <v>9.2</v>
      </c>
      <c r="L95" s="245"/>
      <c r="M95" s="245">
        <f aca="true" t="shared" si="49" ref="M95:M102">K95/H95*100</f>
        <v>72.44094488188976</v>
      </c>
      <c r="N95" s="250"/>
      <c r="O95" s="240"/>
      <c r="P95" s="243">
        <f t="shared" si="38"/>
        <v>77.96610169491524</v>
      </c>
      <c r="Q95" s="245">
        <f t="shared" si="45"/>
        <v>24.08376963350785</v>
      </c>
      <c r="R95" s="244">
        <f t="shared" si="36"/>
        <v>18.4</v>
      </c>
    </row>
    <row r="96" spans="1:18" ht="12.75">
      <c r="A96" s="67" t="s">
        <v>186</v>
      </c>
      <c r="B96" s="67"/>
      <c r="C96" s="103" t="s">
        <v>187</v>
      </c>
      <c r="D96" s="242">
        <f t="shared" si="47"/>
        <v>10</v>
      </c>
      <c r="E96" s="242">
        <f t="shared" si="46"/>
        <v>4</v>
      </c>
      <c r="F96" s="255">
        <v>1</v>
      </c>
      <c r="G96" s="255">
        <v>3</v>
      </c>
      <c r="H96" s="243">
        <v>3</v>
      </c>
      <c r="I96" s="243">
        <f t="shared" si="48"/>
        <v>7</v>
      </c>
      <c r="J96" s="244">
        <v>3</v>
      </c>
      <c r="K96" s="244"/>
      <c r="L96" s="245"/>
      <c r="M96" s="245">
        <f t="shared" si="49"/>
        <v>0</v>
      </c>
      <c r="N96" s="240"/>
      <c r="O96" s="240"/>
      <c r="P96" s="243">
        <f t="shared" si="38"/>
        <v>0</v>
      </c>
      <c r="Q96" s="245">
        <f t="shared" si="45"/>
        <v>0</v>
      </c>
      <c r="R96" s="244">
        <f t="shared" si="36"/>
        <v>0</v>
      </c>
    </row>
    <row r="97" spans="1:18" ht="24">
      <c r="A97" s="68" t="s">
        <v>190</v>
      </c>
      <c r="B97" s="68"/>
      <c r="C97" s="103" t="s">
        <v>191</v>
      </c>
      <c r="D97" s="242">
        <f t="shared" si="47"/>
        <v>77</v>
      </c>
      <c r="E97" s="242">
        <f t="shared" si="46"/>
        <v>25</v>
      </c>
      <c r="F97" s="255">
        <v>10</v>
      </c>
      <c r="G97" s="255">
        <v>15</v>
      </c>
      <c r="H97" s="243">
        <f>15+22</f>
        <v>37</v>
      </c>
      <c r="I97" s="243">
        <f t="shared" si="48"/>
        <v>62</v>
      </c>
      <c r="J97" s="244">
        <v>15</v>
      </c>
      <c r="K97" s="244">
        <v>67.4</v>
      </c>
      <c r="L97" s="245"/>
      <c r="M97" s="245">
        <f t="shared" si="49"/>
        <v>182.16216216216216</v>
      </c>
      <c r="N97" s="240"/>
      <c r="O97" s="240"/>
      <c r="P97" s="243">
        <f t="shared" si="38"/>
        <v>449.33333333333337</v>
      </c>
      <c r="Q97" s="245">
        <f t="shared" si="45"/>
        <v>108.70967741935485</v>
      </c>
      <c r="R97" s="244">
        <f t="shared" si="36"/>
        <v>87.53246753246755</v>
      </c>
    </row>
    <row r="98" spans="1:18" ht="24">
      <c r="A98" s="105" t="s">
        <v>194</v>
      </c>
      <c r="B98" s="105"/>
      <c r="C98" s="103" t="s">
        <v>195</v>
      </c>
      <c r="D98" s="242">
        <f t="shared" si="47"/>
        <v>25</v>
      </c>
      <c r="E98" s="242">
        <f t="shared" si="46"/>
        <v>12.5</v>
      </c>
      <c r="F98" s="255">
        <v>5</v>
      </c>
      <c r="G98" s="255">
        <v>7.5</v>
      </c>
      <c r="H98" s="243">
        <v>7.5</v>
      </c>
      <c r="I98" s="243">
        <f t="shared" si="48"/>
        <v>20</v>
      </c>
      <c r="J98" s="244">
        <v>5</v>
      </c>
      <c r="K98" s="244">
        <v>12.3</v>
      </c>
      <c r="L98" s="245"/>
      <c r="M98" s="245">
        <f t="shared" si="49"/>
        <v>164</v>
      </c>
      <c r="N98" s="240"/>
      <c r="O98" s="240"/>
      <c r="P98" s="243">
        <f t="shared" si="38"/>
        <v>246</v>
      </c>
      <c r="Q98" s="245">
        <f t="shared" si="45"/>
        <v>61.5</v>
      </c>
      <c r="R98" s="244">
        <f t="shared" si="36"/>
        <v>49.2</v>
      </c>
    </row>
    <row r="99" spans="1:18" ht="24">
      <c r="A99" s="105" t="s">
        <v>196</v>
      </c>
      <c r="B99" s="105"/>
      <c r="C99" s="103" t="s">
        <v>197</v>
      </c>
      <c r="D99" s="242">
        <f t="shared" si="47"/>
        <v>9</v>
      </c>
      <c r="E99" s="242">
        <f t="shared" si="46"/>
        <v>3.6</v>
      </c>
      <c r="F99" s="255">
        <v>0.9</v>
      </c>
      <c r="G99" s="255">
        <v>2.7</v>
      </c>
      <c r="H99" s="243">
        <v>2.7</v>
      </c>
      <c r="I99" s="243">
        <f t="shared" si="48"/>
        <v>6.300000000000001</v>
      </c>
      <c r="J99" s="244">
        <v>2.7</v>
      </c>
      <c r="K99" s="244">
        <v>16.6</v>
      </c>
      <c r="L99" s="245"/>
      <c r="M99" s="245">
        <f t="shared" si="49"/>
        <v>614.8148148148148</v>
      </c>
      <c r="N99" s="240"/>
      <c r="O99" s="240"/>
      <c r="P99" s="243">
        <f t="shared" si="38"/>
        <v>614.8148148148149</v>
      </c>
      <c r="Q99" s="245">
        <f t="shared" si="45"/>
        <v>263.4920634920635</v>
      </c>
      <c r="R99" s="244">
        <f t="shared" si="36"/>
        <v>184.44444444444446</v>
      </c>
    </row>
    <row r="100" spans="1:18" ht="12.75">
      <c r="A100" s="105" t="s">
        <v>202</v>
      </c>
      <c r="B100" s="120"/>
      <c r="C100" s="71" t="s">
        <v>203</v>
      </c>
      <c r="D100" s="242">
        <f t="shared" si="47"/>
        <v>0</v>
      </c>
      <c r="E100" s="242">
        <f t="shared" si="46"/>
        <v>0</v>
      </c>
      <c r="F100" s="263"/>
      <c r="G100" s="263"/>
      <c r="H100" s="243"/>
      <c r="I100" s="243"/>
      <c r="J100" s="244"/>
      <c r="K100" s="244">
        <v>24.4</v>
      </c>
      <c r="L100" s="239"/>
      <c r="M100" s="245" t="e">
        <f t="shared" si="49"/>
        <v>#DIV/0!</v>
      </c>
      <c r="N100" s="240"/>
      <c r="O100" s="240"/>
      <c r="P100" s="243" t="e">
        <f t="shared" si="38"/>
        <v>#DIV/0!</v>
      </c>
      <c r="Q100" s="239"/>
      <c r="R100" s="241"/>
    </row>
    <row r="101" spans="1:18" ht="12.75">
      <c r="A101" s="116" t="s">
        <v>206</v>
      </c>
      <c r="B101" s="116"/>
      <c r="C101" s="108" t="s">
        <v>207</v>
      </c>
      <c r="D101" s="246">
        <f aca="true" t="shared" si="50" ref="D101:L101">D102+D103</f>
        <v>23605.4</v>
      </c>
      <c r="E101" s="246">
        <f t="shared" si="50"/>
        <v>12398.8</v>
      </c>
      <c r="F101" s="246">
        <f t="shared" si="50"/>
        <v>6080.5</v>
      </c>
      <c r="G101" s="246">
        <f t="shared" si="50"/>
        <v>6318.3</v>
      </c>
      <c r="H101" s="246">
        <f t="shared" si="50"/>
        <v>5725.7</v>
      </c>
      <c r="I101" s="246">
        <f t="shared" si="50"/>
        <v>18124.5</v>
      </c>
      <c r="J101" s="246">
        <f t="shared" si="50"/>
        <v>5480.9</v>
      </c>
      <c r="K101" s="246">
        <f t="shared" si="50"/>
        <v>14804.1</v>
      </c>
      <c r="L101" s="246">
        <f t="shared" si="50"/>
        <v>0</v>
      </c>
      <c r="M101" s="239">
        <f>K101/H101*100</f>
        <v>258.5552858165814</v>
      </c>
      <c r="N101" s="240"/>
      <c r="O101" s="240"/>
      <c r="P101" s="247">
        <f t="shared" si="38"/>
        <v>270.1034501632944</v>
      </c>
      <c r="Q101" s="239">
        <f>K101*100/I101</f>
        <v>81.6800463461061</v>
      </c>
      <c r="R101" s="241">
        <f t="shared" si="36"/>
        <v>62.714887271556506</v>
      </c>
    </row>
    <row r="102" spans="1:18" ht="24">
      <c r="A102" s="69" t="s">
        <v>208</v>
      </c>
      <c r="B102" s="67"/>
      <c r="C102" s="109" t="s">
        <v>209</v>
      </c>
      <c r="D102" s="242">
        <f t="shared" si="47"/>
        <v>23605.4</v>
      </c>
      <c r="E102" s="242">
        <f t="shared" si="46"/>
        <v>12398.8</v>
      </c>
      <c r="F102" s="255">
        <f>5480.9+599.6</f>
        <v>6080.5</v>
      </c>
      <c r="G102" s="255">
        <f>5676.8+129.3+13.8+498.4</f>
        <v>6318.3</v>
      </c>
      <c r="H102" s="243">
        <f>5676.8+48.9</f>
        <v>5725.7</v>
      </c>
      <c r="I102" s="243">
        <f t="shared" si="48"/>
        <v>18124.5</v>
      </c>
      <c r="J102" s="244">
        <v>5480.9</v>
      </c>
      <c r="K102" s="244">
        <v>14804.1</v>
      </c>
      <c r="L102" s="245"/>
      <c r="M102" s="245">
        <f t="shared" si="49"/>
        <v>258.5552858165814</v>
      </c>
      <c r="N102" s="240"/>
      <c r="O102" s="240"/>
      <c r="P102" s="243">
        <f t="shared" si="38"/>
        <v>270.1034501632944</v>
      </c>
      <c r="Q102" s="245">
        <f>K102*100/I102</f>
        <v>81.6800463461061</v>
      </c>
      <c r="R102" s="244">
        <f t="shared" si="36"/>
        <v>62.714887271556506</v>
      </c>
    </row>
    <row r="103" spans="1:18" ht="12.75">
      <c r="A103" s="69" t="s">
        <v>210</v>
      </c>
      <c r="B103" s="69"/>
      <c r="C103" s="110" t="s">
        <v>211</v>
      </c>
      <c r="D103" s="242">
        <f t="shared" si="47"/>
        <v>0</v>
      </c>
      <c r="E103" s="242">
        <f t="shared" si="46"/>
        <v>0</v>
      </c>
      <c r="F103" s="262"/>
      <c r="G103" s="262"/>
      <c r="H103" s="243"/>
      <c r="I103" s="243"/>
      <c r="J103" s="244"/>
      <c r="K103" s="244"/>
      <c r="L103" s="245"/>
      <c r="M103" s="245"/>
      <c r="N103" s="240"/>
      <c r="O103" s="240"/>
      <c r="P103" s="243" t="e">
        <f t="shared" si="38"/>
        <v>#DIV/0!</v>
      </c>
      <c r="Q103" s="239"/>
      <c r="R103" s="241"/>
    </row>
    <row r="104" spans="1:18" ht="12.75">
      <c r="A104" s="74"/>
      <c r="B104" s="75"/>
      <c r="C104" s="76" t="s">
        <v>216</v>
      </c>
      <c r="D104" s="241">
        <f aca="true" t="shared" si="51" ref="D104:L104">D101+D93</f>
        <v>26054.9</v>
      </c>
      <c r="E104" s="247">
        <f t="shared" si="51"/>
        <v>13608.599999999999</v>
      </c>
      <c r="F104" s="247">
        <f t="shared" si="51"/>
        <v>6679.8</v>
      </c>
      <c r="G104" s="247">
        <f>G101+G93</f>
        <v>6928.8</v>
      </c>
      <c r="H104" s="241">
        <f t="shared" si="51"/>
        <v>6358.2</v>
      </c>
      <c r="I104" s="241">
        <f t="shared" si="51"/>
        <v>19966.8</v>
      </c>
      <c r="J104" s="241">
        <f t="shared" si="51"/>
        <v>6088.099999999999</v>
      </c>
      <c r="K104" s="241">
        <f t="shared" si="51"/>
        <v>16819</v>
      </c>
      <c r="L104" s="241" t="e">
        <f t="shared" si="51"/>
        <v>#REF!</v>
      </c>
      <c r="M104" s="239">
        <f>K104/H104*100</f>
        <v>264.52455097354596</v>
      </c>
      <c r="N104" s="240"/>
      <c r="O104" s="250" t="e">
        <f>J104+#REF!+#REF!</f>
        <v>#REF!</v>
      </c>
      <c r="P104" s="247">
        <f t="shared" si="38"/>
        <v>276.2602453967576</v>
      </c>
      <c r="Q104" s="239">
        <f>K104*100/I104</f>
        <v>84.23482981749704</v>
      </c>
      <c r="R104" s="241">
        <f t="shared" si="36"/>
        <v>64.55215717580954</v>
      </c>
    </row>
    <row r="105" spans="1:18" ht="12.75">
      <c r="A105" s="192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4"/>
      <c r="N105" s="102"/>
      <c r="O105" s="102"/>
      <c r="P105" s="111"/>
      <c r="Q105" s="101"/>
      <c r="R105" s="77"/>
    </row>
    <row r="106" spans="1:18" ht="12.75">
      <c r="A106" s="191" t="s">
        <v>222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01"/>
      <c r="R106" s="77"/>
    </row>
    <row r="107" spans="1:18" ht="12.75">
      <c r="A107" s="99" t="s">
        <v>178</v>
      </c>
      <c r="B107" s="99"/>
      <c r="C107" s="100" t="s">
        <v>179</v>
      </c>
      <c r="D107" s="239">
        <f>D108+D110+D114+D111+D112+D115+D113+D116+D109</f>
        <v>1418.9</v>
      </c>
      <c r="E107" s="239">
        <f aca="true" t="shared" si="52" ref="E107:K107">E108+E110+E114+E111+E112+E115+E113+E116+E109</f>
        <v>594.2</v>
      </c>
      <c r="F107" s="239">
        <f t="shared" si="52"/>
        <v>196.2</v>
      </c>
      <c r="G107" s="239">
        <f t="shared" si="52"/>
        <v>398</v>
      </c>
      <c r="H107" s="239">
        <f t="shared" si="52"/>
        <v>399.20000000000005</v>
      </c>
      <c r="I107" s="239">
        <f t="shared" si="52"/>
        <v>993.4000000000001</v>
      </c>
      <c r="J107" s="239">
        <f t="shared" si="52"/>
        <v>425.5</v>
      </c>
      <c r="K107" s="239">
        <f t="shared" si="52"/>
        <v>1104</v>
      </c>
      <c r="L107" s="239" t="e">
        <f>K107/#REF!*100</f>
        <v>#REF!</v>
      </c>
      <c r="M107" s="239">
        <f aca="true" t="shared" si="53" ref="M107:M114">K107/H107*100</f>
        <v>276.55310621242484</v>
      </c>
      <c r="N107" s="240"/>
      <c r="O107" s="240"/>
      <c r="P107" s="239">
        <f t="shared" si="38"/>
        <v>259.4594594594595</v>
      </c>
      <c r="Q107" s="239">
        <f>K107*100/I107</f>
        <v>111.13348097443124</v>
      </c>
      <c r="R107" s="241">
        <f t="shared" si="36"/>
        <v>77.8067517090704</v>
      </c>
    </row>
    <row r="108" spans="1:18" ht="12.75">
      <c r="A108" s="74" t="s">
        <v>180</v>
      </c>
      <c r="B108" s="74"/>
      <c r="C108" s="103" t="s">
        <v>181</v>
      </c>
      <c r="D108" s="242">
        <f>F108+G108+H108+J108</f>
        <v>840</v>
      </c>
      <c r="E108" s="242">
        <f aca="true" t="shared" si="54" ref="E108:E118">F108+G108</f>
        <v>350.2</v>
      </c>
      <c r="F108" s="242">
        <v>127.6</v>
      </c>
      <c r="G108" s="242">
        <v>222.6</v>
      </c>
      <c r="H108" s="244">
        <v>198.2</v>
      </c>
      <c r="I108" s="244">
        <f>H108+E108</f>
        <v>548.4</v>
      </c>
      <c r="J108" s="244">
        <v>291.6</v>
      </c>
      <c r="K108" s="244">
        <v>629.6</v>
      </c>
      <c r="L108" s="245" t="e">
        <f>K108/#REF!*100</f>
        <v>#REF!</v>
      </c>
      <c r="M108" s="245">
        <f t="shared" si="53"/>
        <v>317.65893037336025</v>
      </c>
      <c r="N108" s="240"/>
      <c r="O108" s="240"/>
      <c r="P108" s="243">
        <f t="shared" si="38"/>
        <v>215.91220850480107</v>
      </c>
      <c r="Q108" s="245">
        <f>K108*100/I108</f>
        <v>114.80671043034282</v>
      </c>
      <c r="R108" s="244">
        <f t="shared" si="36"/>
        <v>74.95238095238095</v>
      </c>
    </row>
    <row r="109" spans="1:18" ht="12.75">
      <c r="A109" s="67" t="s">
        <v>182</v>
      </c>
      <c r="B109" s="67"/>
      <c r="C109" s="103" t="s">
        <v>183</v>
      </c>
      <c r="D109" s="242">
        <f>F109+G109+H109+J109</f>
        <v>0</v>
      </c>
      <c r="E109" s="242">
        <f t="shared" si="54"/>
        <v>0</v>
      </c>
      <c r="F109" s="242"/>
      <c r="G109" s="242"/>
      <c r="H109" s="244"/>
      <c r="I109" s="244">
        <f aca="true" t="shared" si="55" ref="I109:I115">H109+E109</f>
        <v>0</v>
      </c>
      <c r="J109" s="244"/>
      <c r="K109" s="244"/>
      <c r="L109" s="245"/>
      <c r="M109" s="245"/>
      <c r="N109" s="240"/>
      <c r="O109" s="240"/>
      <c r="P109" s="243"/>
      <c r="Q109" s="245"/>
      <c r="R109" s="244"/>
    </row>
    <row r="110" spans="1:18" ht="12.75">
      <c r="A110" s="67" t="s">
        <v>184</v>
      </c>
      <c r="B110" s="67"/>
      <c r="C110" s="103" t="s">
        <v>185</v>
      </c>
      <c r="D110" s="242">
        <f aca="true" t="shared" si="56" ref="D110:D118">F110+G110+H110+J110</f>
        <v>55</v>
      </c>
      <c r="E110" s="242">
        <f t="shared" si="54"/>
        <v>21.3</v>
      </c>
      <c r="F110" s="242">
        <v>7.8</v>
      </c>
      <c r="G110" s="242">
        <v>13.5</v>
      </c>
      <c r="H110" s="244">
        <v>19.8</v>
      </c>
      <c r="I110" s="244">
        <f t="shared" si="55"/>
        <v>41.1</v>
      </c>
      <c r="J110" s="244">
        <v>13.9</v>
      </c>
      <c r="K110" s="244">
        <v>8.9</v>
      </c>
      <c r="L110" s="245" t="e">
        <f>K110/#REF!*100</f>
        <v>#REF!</v>
      </c>
      <c r="M110" s="245">
        <f t="shared" si="53"/>
        <v>44.94949494949495</v>
      </c>
      <c r="N110" s="240"/>
      <c r="O110" s="240"/>
      <c r="P110" s="243">
        <f t="shared" si="38"/>
        <v>64.02877697841727</v>
      </c>
      <c r="Q110" s="245">
        <f aca="true" t="shared" si="57" ref="Q110:Q115">K110*100/I110</f>
        <v>21.65450121654501</v>
      </c>
      <c r="R110" s="244">
        <f t="shared" si="36"/>
        <v>16.181818181818183</v>
      </c>
    </row>
    <row r="111" spans="1:18" ht="12.75">
      <c r="A111" s="67" t="s">
        <v>186</v>
      </c>
      <c r="B111" s="67"/>
      <c r="C111" s="103" t="s">
        <v>187</v>
      </c>
      <c r="D111" s="242">
        <f t="shared" si="56"/>
        <v>31</v>
      </c>
      <c r="E111" s="242">
        <f t="shared" si="54"/>
        <v>7.699999999999999</v>
      </c>
      <c r="F111" s="242">
        <v>5.6</v>
      </c>
      <c r="G111" s="242">
        <v>2.1</v>
      </c>
      <c r="H111" s="244">
        <v>12.4</v>
      </c>
      <c r="I111" s="244">
        <f t="shared" si="55"/>
        <v>20.1</v>
      </c>
      <c r="J111" s="244">
        <v>10.9</v>
      </c>
      <c r="K111" s="244">
        <v>40</v>
      </c>
      <c r="L111" s="245" t="e">
        <f>K111/#REF!*100</f>
        <v>#REF!</v>
      </c>
      <c r="M111" s="245">
        <f t="shared" si="53"/>
        <v>322.5806451612903</v>
      </c>
      <c r="N111" s="240"/>
      <c r="O111" s="240"/>
      <c r="P111" s="243">
        <f t="shared" si="38"/>
        <v>366.9724770642202</v>
      </c>
      <c r="Q111" s="245">
        <f t="shared" si="57"/>
        <v>199.0049751243781</v>
      </c>
      <c r="R111" s="244">
        <f t="shared" si="36"/>
        <v>129.03225806451613</v>
      </c>
    </row>
    <row r="112" spans="1:18" ht="24">
      <c r="A112" s="68" t="s">
        <v>190</v>
      </c>
      <c r="B112" s="68"/>
      <c r="C112" s="103" t="s">
        <v>191</v>
      </c>
      <c r="D112" s="242">
        <f t="shared" si="56"/>
        <v>375.4</v>
      </c>
      <c r="E112" s="242">
        <f t="shared" si="54"/>
        <v>152.5</v>
      </c>
      <c r="F112" s="242">
        <v>32.7</v>
      </c>
      <c r="G112" s="242">
        <v>119.8</v>
      </c>
      <c r="H112" s="244">
        <v>136.3</v>
      </c>
      <c r="I112" s="244">
        <f t="shared" si="55"/>
        <v>288.8</v>
      </c>
      <c r="J112" s="244">
        <v>86.6</v>
      </c>
      <c r="K112" s="244">
        <v>422</v>
      </c>
      <c r="L112" s="245" t="e">
        <f>K112/#REF!*100</f>
        <v>#REF!</v>
      </c>
      <c r="M112" s="245">
        <f t="shared" si="53"/>
        <v>309.6111518708731</v>
      </c>
      <c r="N112" s="240"/>
      <c r="O112" s="240"/>
      <c r="P112" s="243">
        <f t="shared" si="38"/>
        <v>487.29792147806006</v>
      </c>
      <c r="Q112" s="245">
        <f t="shared" si="57"/>
        <v>146.12188365650968</v>
      </c>
      <c r="R112" s="244">
        <f t="shared" si="36"/>
        <v>112.41342567927545</v>
      </c>
    </row>
    <row r="113" spans="1:18" ht="24">
      <c r="A113" s="105" t="s">
        <v>194</v>
      </c>
      <c r="B113" s="105"/>
      <c r="C113" s="103" t="s">
        <v>195</v>
      </c>
      <c r="D113" s="242">
        <f t="shared" si="56"/>
        <v>90</v>
      </c>
      <c r="E113" s="242">
        <f t="shared" si="54"/>
        <v>45</v>
      </c>
      <c r="F113" s="242">
        <v>22.5</v>
      </c>
      <c r="G113" s="242">
        <v>22.5</v>
      </c>
      <c r="H113" s="244">
        <v>22.5</v>
      </c>
      <c r="I113" s="244">
        <f t="shared" si="55"/>
        <v>67.5</v>
      </c>
      <c r="J113" s="244">
        <v>22.5</v>
      </c>
      <c r="K113" s="244"/>
      <c r="L113" s="245" t="e">
        <f>K113/#REF!*100</f>
        <v>#REF!</v>
      </c>
      <c r="M113" s="245">
        <f t="shared" si="53"/>
        <v>0</v>
      </c>
      <c r="N113" s="240"/>
      <c r="O113" s="240"/>
      <c r="P113" s="243">
        <f t="shared" si="38"/>
        <v>0</v>
      </c>
      <c r="Q113" s="245">
        <f t="shared" si="57"/>
        <v>0</v>
      </c>
      <c r="R113" s="244">
        <f t="shared" si="36"/>
        <v>0</v>
      </c>
    </row>
    <row r="114" spans="1:18" ht="24">
      <c r="A114" s="104" t="s">
        <v>196</v>
      </c>
      <c r="B114" s="104"/>
      <c r="C114" s="103" t="s">
        <v>197</v>
      </c>
      <c r="D114" s="242">
        <f t="shared" si="56"/>
        <v>27.5</v>
      </c>
      <c r="E114" s="242">
        <f t="shared" si="54"/>
        <v>17.5</v>
      </c>
      <c r="F114" s="242"/>
      <c r="G114" s="242">
        <v>17.5</v>
      </c>
      <c r="H114" s="244">
        <v>10</v>
      </c>
      <c r="I114" s="244">
        <f t="shared" si="55"/>
        <v>27.5</v>
      </c>
      <c r="J114" s="244"/>
      <c r="K114" s="244">
        <v>3</v>
      </c>
      <c r="L114" s="245" t="e">
        <f>K114/#REF!*100</f>
        <v>#REF!</v>
      </c>
      <c r="M114" s="245">
        <f t="shared" si="53"/>
        <v>30</v>
      </c>
      <c r="N114" s="240"/>
      <c r="O114" s="240"/>
      <c r="P114" s="243" t="e">
        <f t="shared" si="38"/>
        <v>#DIV/0!</v>
      </c>
      <c r="Q114" s="245">
        <f t="shared" si="57"/>
        <v>10.909090909090908</v>
      </c>
      <c r="R114" s="244">
        <f t="shared" si="36"/>
        <v>10.909090909090908</v>
      </c>
    </row>
    <row r="115" spans="1:18" ht="12.75">
      <c r="A115" s="74" t="s">
        <v>200</v>
      </c>
      <c r="B115" s="74"/>
      <c r="C115" s="103" t="s">
        <v>201</v>
      </c>
      <c r="D115" s="242">
        <f t="shared" si="56"/>
        <v>0</v>
      </c>
      <c r="E115" s="242">
        <f t="shared" si="54"/>
        <v>0</v>
      </c>
      <c r="F115" s="242"/>
      <c r="G115" s="242"/>
      <c r="H115" s="244"/>
      <c r="I115" s="244">
        <f t="shared" si="55"/>
        <v>0</v>
      </c>
      <c r="J115" s="244"/>
      <c r="K115" s="244"/>
      <c r="L115" s="245"/>
      <c r="M115" s="245"/>
      <c r="N115" s="240"/>
      <c r="O115" s="240"/>
      <c r="P115" s="243" t="e">
        <f t="shared" si="38"/>
        <v>#DIV/0!</v>
      </c>
      <c r="Q115" s="245" t="e">
        <f t="shared" si="57"/>
        <v>#DIV/0!</v>
      </c>
      <c r="R115" s="241" t="e">
        <f t="shared" si="36"/>
        <v>#DIV/0!</v>
      </c>
    </row>
    <row r="116" spans="1:18" ht="12.75">
      <c r="A116" s="104" t="s">
        <v>202</v>
      </c>
      <c r="B116" s="120"/>
      <c r="C116" s="71" t="s">
        <v>203</v>
      </c>
      <c r="D116" s="242">
        <f t="shared" si="56"/>
        <v>0</v>
      </c>
      <c r="E116" s="242">
        <f t="shared" si="54"/>
        <v>0</v>
      </c>
      <c r="F116" s="242"/>
      <c r="G116" s="242"/>
      <c r="H116" s="244"/>
      <c r="I116" s="244"/>
      <c r="J116" s="244"/>
      <c r="K116" s="244">
        <v>0.5</v>
      </c>
      <c r="L116" s="245"/>
      <c r="M116" s="245"/>
      <c r="N116" s="240"/>
      <c r="O116" s="240"/>
      <c r="P116" s="243" t="e">
        <f t="shared" si="38"/>
        <v>#DIV/0!</v>
      </c>
      <c r="Q116" s="245"/>
      <c r="R116" s="241"/>
    </row>
    <row r="117" spans="1:18" ht="12.75">
      <c r="A117" s="99" t="s">
        <v>206</v>
      </c>
      <c r="B117" s="99"/>
      <c r="C117" s="108" t="s">
        <v>207</v>
      </c>
      <c r="D117" s="246">
        <f aca="true" t="shared" si="58" ref="D117:L117">D118</f>
        <v>30466.8</v>
      </c>
      <c r="E117" s="264">
        <f t="shared" si="58"/>
        <v>14267.800000000001</v>
      </c>
      <c r="F117" s="264">
        <f t="shared" si="58"/>
        <v>5407.5</v>
      </c>
      <c r="G117" s="264">
        <f t="shared" si="58"/>
        <v>8860.300000000001</v>
      </c>
      <c r="H117" s="264">
        <f t="shared" si="58"/>
        <v>8869.2</v>
      </c>
      <c r="I117" s="264">
        <f t="shared" si="58"/>
        <v>23137</v>
      </c>
      <c r="J117" s="246">
        <f t="shared" si="58"/>
        <v>7329.8</v>
      </c>
      <c r="K117" s="246">
        <f t="shared" si="58"/>
        <v>17071.1</v>
      </c>
      <c r="L117" s="246" t="e">
        <f t="shared" si="58"/>
        <v>#REF!</v>
      </c>
      <c r="M117" s="239">
        <f>K117/H117*100</f>
        <v>192.47620980471743</v>
      </c>
      <c r="N117" s="240"/>
      <c r="O117" s="240"/>
      <c r="P117" s="247">
        <f t="shared" si="38"/>
        <v>232.89994269966434</v>
      </c>
      <c r="Q117" s="239">
        <f>K117*100/I117</f>
        <v>73.78268574145308</v>
      </c>
      <c r="R117" s="241">
        <f t="shared" si="36"/>
        <v>56.031811676972964</v>
      </c>
    </row>
    <row r="118" spans="1:18" ht="24">
      <c r="A118" s="69" t="s">
        <v>208</v>
      </c>
      <c r="B118" s="67"/>
      <c r="C118" s="109" t="s">
        <v>209</v>
      </c>
      <c r="D118" s="242">
        <f t="shared" si="56"/>
        <v>30466.8</v>
      </c>
      <c r="E118" s="242">
        <f t="shared" si="54"/>
        <v>14267.800000000001</v>
      </c>
      <c r="F118" s="242">
        <f>5070.3+337.2</f>
        <v>5407.5</v>
      </c>
      <c r="G118" s="242">
        <f>8644.5+20.6+47.7+147.5</f>
        <v>8860.300000000001</v>
      </c>
      <c r="H118" s="244">
        <f>7774.2+813.9+281.1</f>
        <v>8869.2</v>
      </c>
      <c r="I118" s="244">
        <f>H118+E118</f>
        <v>23137</v>
      </c>
      <c r="J118" s="244">
        <v>7329.8</v>
      </c>
      <c r="K118" s="244">
        <v>17071.1</v>
      </c>
      <c r="L118" s="245" t="e">
        <f>K118/#REF!*100</f>
        <v>#REF!</v>
      </c>
      <c r="M118" s="245">
        <f>K118/H118*100</f>
        <v>192.47620980471743</v>
      </c>
      <c r="N118" s="240"/>
      <c r="O118" s="240"/>
      <c r="P118" s="243">
        <f t="shared" si="38"/>
        <v>232.89994269966434</v>
      </c>
      <c r="Q118" s="245">
        <f>K118*100/I118</f>
        <v>73.78268574145308</v>
      </c>
      <c r="R118" s="244">
        <f t="shared" si="36"/>
        <v>56.031811676972964</v>
      </c>
    </row>
    <row r="119" spans="1:18" ht="12.75">
      <c r="A119" s="74"/>
      <c r="B119" s="75"/>
      <c r="C119" s="76" t="s">
        <v>216</v>
      </c>
      <c r="D119" s="241">
        <f aca="true" t="shared" si="59" ref="D119:K119">D117+D107</f>
        <v>31885.7</v>
      </c>
      <c r="E119" s="241">
        <f t="shared" si="59"/>
        <v>14862.000000000002</v>
      </c>
      <c r="F119" s="241">
        <f t="shared" si="59"/>
        <v>5603.7</v>
      </c>
      <c r="G119" s="241">
        <f t="shared" si="59"/>
        <v>9258.300000000001</v>
      </c>
      <c r="H119" s="241">
        <f t="shared" si="59"/>
        <v>9268.400000000001</v>
      </c>
      <c r="I119" s="241">
        <f t="shared" si="59"/>
        <v>24130.4</v>
      </c>
      <c r="J119" s="241">
        <f t="shared" si="59"/>
        <v>7755.3</v>
      </c>
      <c r="K119" s="241">
        <f t="shared" si="59"/>
        <v>18175.1</v>
      </c>
      <c r="L119" s="239" t="e">
        <f>K119/#REF!*100</f>
        <v>#REF!</v>
      </c>
      <c r="M119" s="239">
        <f>K119/H119*100</f>
        <v>196.0974925553493</v>
      </c>
      <c r="N119" s="240"/>
      <c r="O119" s="250" t="e">
        <f>J119+#REF!+#REF!</f>
        <v>#REF!</v>
      </c>
      <c r="P119" s="247">
        <f t="shared" si="38"/>
        <v>234.35714930434668</v>
      </c>
      <c r="Q119" s="239">
        <f>K119*100/I119</f>
        <v>75.32034280409772</v>
      </c>
      <c r="R119" s="241">
        <f t="shared" si="36"/>
        <v>57.0007871867326</v>
      </c>
    </row>
    <row r="120" spans="1:18" ht="12.75">
      <c r="A120" s="192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4"/>
      <c r="N120" s="102"/>
      <c r="O120" s="102"/>
      <c r="P120" s="111"/>
      <c r="Q120" s="101"/>
      <c r="R120" s="77"/>
    </row>
    <row r="121" spans="1:18" ht="12.75">
      <c r="A121" s="191" t="s">
        <v>223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01"/>
      <c r="R121" s="77"/>
    </row>
    <row r="122" spans="1:18" ht="12.75">
      <c r="A122" s="99" t="s">
        <v>178</v>
      </c>
      <c r="B122" s="99"/>
      <c r="C122" s="100" t="s">
        <v>179</v>
      </c>
      <c r="D122" s="239">
        <f aca="true" t="shared" si="60" ref="D122:K122">D123+D124+D125+D126+D128+D130+D127+D129</f>
        <v>2606.3</v>
      </c>
      <c r="E122" s="239">
        <f t="shared" si="60"/>
        <v>1246.4</v>
      </c>
      <c r="F122" s="239">
        <f t="shared" si="60"/>
        <v>521.2</v>
      </c>
      <c r="G122" s="239">
        <f t="shared" si="60"/>
        <v>725.1999999999999</v>
      </c>
      <c r="H122" s="239">
        <f t="shared" si="60"/>
        <v>766.3</v>
      </c>
      <c r="I122" s="239">
        <f t="shared" si="60"/>
        <v>2012.6999999999996</v>
      </c>
      <c r="J122" s="239">
        <f t="shared" si="60"/>
        <v>593.5999999999999</v>
      </c>
      <c r="K122" s="239">
        <f t="shared" si="60"/>
        <v>1621.4</v>
      </c>
      <c r="L122" s="239" t="e">
        <f>K122/#REF!*100</f>
        <v>#REF!</v>
      </c>
      <c r="M122" s="239">
        <f aca="true" t="shared" si="61" ref="M122:M128">K122/H122*100</f>
        <v>211.58815085475666</v>
      </c>
      <c r="N122" s="240"/>
      <c r="O122" s="240"/>
      <c r="P122" s="239">
        <f t="shared" si="38"/>
        <v>273.14690026954185</v>
      </c>
      <c r="Q122" s="239">
        <f aca="true" t="shared" si="62" ref="Q122:Q128">K122*100/I122</f>
        <v>80.55845381825411</v>
      </c>
      <c r="R122" s="241">
        <f t="shared" si="36"/>
        <v>62.210796915167094</v>
      </c>
    </row>
    <row r="123" spans="1:18" ht="12.75">
      <c r="A123" s="74" t="s">
        <v>180</v>
      </c>
      <c r="B123" s="74"/>
      <c r="C123" s="103" t="s">
        <v>181</v>
      </c>
      <c r="D123" s="242">
        <f>F123+G123+H123+J123</f>
        <v>1884.8</v>
      </c>
      <c r="E123" s="242">
        <f aca="true" t="shared" si="63" ref="E123:E133">F123+G123</f>
        <v>892.0999999999999</v>
      </c>
      <c r="F123" s="255">
        <v>387.2</v>
      </c>
      <c r="G123" s="255">
        <v>504.9</v>
      </c>
      <c r="H123" s="243">
        <v>559</v>
      </c>
      <c r="I123" s="243">
        <f>E123+H123</f>
        <v>1451.1</v>
      </c>
      <c r="J123" s="244">
        <v>433.7</v>
      </c>
      <c r="K123" s="244">
        <v>1043</v>
      </c>
      <c r="L123" s="245" t="e">
        <f>K123/#REF!*100</f>
        <v>#REF!</v>
      </c>
      <c r="M123" s="245">
        <f t="shared" si="61"/>
        <v>186.58318425760285</v>
      </c>
      <c r="N123" s="240"/>
      <c r="O123" s="240"/>
      <c r="P123" s="243">
        <f t="shared" si="38"/>
        <v>240.48881715471524</v>
      </c>
      <c r="Q123" s="245">
        <f t="shared" si="62"/>
        <v>71.87650747708635</v>
      </c>
      <c r="R123" s="244">
        <f t="shared" si="36"/>
        <v>55.3374363327674</v>
      </c>
    </row>
    <row r="124" spans="1:18" ht="12.75">
      <c r="A124" s="67" t="s">
        <v>184</v>
      </c>
      <c r="B124" s="67"/>
      <c r="C124" s="103" t="s">
        <v>185</v>
      </c>
      <c r="D124" s="242">
        <f aca="true" t="shared" si="64" ref="D124:D133">F124+G124+H124+J124</f>
        <v>166</v>
      </c>
      <c r="E124" s="242">
        <f t="shared" si="63"/>
        <v>74.8</v>
      </c>
      <c r="F124" s="255">
        <v>25.5</v>
      </c>
      <c r="G124" s="255">
        <v>49.3</v>
      </c>
      <c r="H124" s="243">
        <v>56.8</v>
      </c>
      <c r="I124" s="243">
        <f aca="true" t="shared" si="65" ref="I124:I130">E124+H124</f>
        <v>131.6</v>
      </c>
      <c r="J124" s="244">
        <v>34.4</v>
      </c>
      <c r="K124" s="244">
        <v>56.6</v>
      </c>
      <c r="L124" s="245" t="e">
        <f>K124/#REF!*100</f>
        <v>#REF!</v>
      </c>
      <c r="M124" s="245">
        <f t="shared" si="61"/>
        <v>99.64788732394368</v>
      </c>
      <c r="N124" s="240"/>
      <c r="O124" s="240"/>
      <c r="P124" s="243">
        <f t="shared" si="38"/>
        <v>164.53488372093025</v>
      </c>
      <c r="Q124" s="245">
        <f t="shared" si="62"/>
        <v>43.00911854103344</v>
      </c>
      <c r="R124" s="244">
        <f t="shared" si="36"/>
        <v>34.096385542168676</v>
      </c>
    </row>
    <row r="125" spans="1:18" ht="12.75">
      <c r="A125" s="67" t="s">
        <v>186</v>
      </c>
      <c r="B125" s="67"/>
      <c r="C125" s="103" t="s">
        <v>187</v>
      </c>
      <c r="D125" s="242">
        <f t="shared" si="64"/>
        <v>40</v>
      </c>
      <c r="E125" s="242">
        <f t="shared" si="63"/>
        <v>19</v>
      </c>
      <c r="F125" s="255">
        <v>7</v>
      </c>
      <c r="G125" s="255">
        <v>12</v>
      </c>
      <c r="H125" s="243">
        <v>11.6</v>
      </c>
      <c r="I125" s="243">
        <f t="shared" si="65"/>
        <v>30.6</v>
      </c>
      <c r="J125" s="244">
        <v>9.4</v>
      </c>
      <c r="K125" s="244">
        <v>32.4</v>
      </c>
      <c r="L125" s="245" t="e">
        <f>K125/#REF!*100</f>
        <v>#REF!</v>
      </c>
      <c r="M125" s="245">
        <f t="shared" si="61"/>
        <v>279.3103448275862</v>
      </c>
      <c r="N125" s="240"/>
      <c r="O125" s="240"/>
      <c r="P125" s="243">
        <f t="shared" si="38"/>
        <v>344.6808510638298</v>
      </c>
      <c r="Q125" s="245">
        <f t="shared" si="62"/>
        <v>105.88235294117646</v>
      </c>
      <c r="R125" s="244">
        <f t="shared" si="36"/>
        <v>81</v>
      </c>
    </row>
    <row r="126" spans="1:18" ht="24">
      <c r="A126" s="68" t="s">
        <v>190</v>
      </c>
      <c r="B126" s="68"/>
      <c r="C126" s="103" t="s">
        <v>191</v>
      </c>
      <c r="D126" s="242">
        <f t="shared" si="64"/>
        <v>342.5</v>
      </c>
      <c r="E126" s="242">
        <f t="shared" si="63"/>
        <v>172.9</v>
      </c>
      <c r="F126" s="255">
        <v>65.5</v>
      </c>
      <c r="G126" s="255">
        <v>107.4</v>
      </c>
      <c r="H126" s="243">
        <v>93.3</v>
      </c>
      <c r="I126" s="243">
        <f t="shared" si="65"/>
        <v>266.2</v>
      </c>
      <c r="J126" s="244">
        <v>76.3</v>
      </c>
      <c r="K126" s="244">
        <v>403.4</v>
      </c>
      <c r="L126" s="245" t="e">
        <f>K126/#REF!*100</f>
        <v>#REF!</v>
      </c>
      <c r="M126" s="245">
        <f t="shared" si="61"/>
        <v>432.36870310825293</v>
      </c>
      <c r="N126" s="240"/>
      <c r="O126" s="240"/>
      <c r="P126" s="243">
        <f t="shared" si="38"/>
        <v>528.7024901703801</v>
      </c>
      <c r="Q126" s="245">
        <f t="shared" si="62"/>
        <v>151.54019534184823</v>
      </c>
      <c r="R126" s="244">
        <f t="shared" si="36"/>
        <v>117.78102189781022</v>
      </c>
    </row>
    <row r="127" spans="1:18" ht="24">
      <c r="A127" s="105" t="s">
        <v>194</v>
      </c>
      <c r="B127" s="105"/>
      <c r="C127" s="103" t="s">
        <v>195</v>
      </c>
      <c r="D127" s="242">
        <f t="shared" si="64"/>
        <v>80</v>
      </c>
      <c r="E127" s="242">
        <f t="shared" si="63"/>
        <v>39.7</v>
      </c>
      <c r="F127" s="255">
        <v>16</v>
      </c>
      <c r="G127" s="255">
        <v>23.7</v>
      </c>
      <c r="H127" s="243">
        <v>21.9</v>
      </c>
      <c r="I127" s="243">
        <f t="shared" si="65"/>
        <v>61.6</v>
      </c>
      <c r="J127" s="244">
        <v>18.4</v>
      </c>
      <c r="K127" s="244">
        <v>20</v>
      </c>
      <c r="L127" s="245" t="e">
        <f>K127/#REF!*100</f>
        <v>#REF!</v>
      </c>
      <c r="M127" s="245">
        <f t="shared" si="61"/>
        <v>91.32420091324201</v>
      </c>
      <c r="N127" s="240"/>
      <c r="O127" s="240"/>
      <c r="P127" s="243">
        <f t="shared" si="38"/>
        <v>108.69565217391305</v>
      </c>
      <c r="Q127" s="245">
        <f t="shared" si="62"/>
        <v>32.467532467532465</v>
      </c>
      <c r="R127" s="244">
        <f t="shared" si="36"/>
        <v>25</v>
      </c>
    </row>
    <row r="128" spans="1:18" ht="24">
      <c r="A128" s="105" t="s">
        <v>196</v>
      </c>
      <c r="B128" s="105"/>
      <c r="C128" s="103" t="s">
        <v>197</v>
      </c>
      <c r="D128" s="242">
        <f t="shared" si="64"/>
        <v>93</v>
      </c>
      <c r="E128" s="242">
        <f t="shared" si="63"/>
        <v>47.9</v>
      </c>
      <c r="F128" s="255">
        <v>20</v>
      </c>
      <c r="G128" s="255">
        <v>27.9</v>
      </c>
      <c r="H128" s="243">
        <v>23.7</v>
      </c>
      <c r="I128" s="243">
        <f t="shared" si="65"/>
        <v>71.6</v>
      </c>
      <c r="J128" s="244">
        <v>21.4</v>
      </c>
      <c r="K128" s="244">
        <v>24.2</v>
      </c>
      <c r="L128" s="245" t="e">
        <f>K128/#REF!*100</f>
        <v>#REF!</v>
      </c>
      <c r="M128" s="245">
        <f t="shared" si="61"/>
        <v>102.1097046413502</v>
      </c>
      <c r="N128" s="240"/>
      <c r="O128" s="240"/>
      <c r="P128" s="243">
        <f t="shared" si="38"/>
        <v>113.08411214953271</v>
      </c>
      <c r="Q128" s="245">
        <f t="shared" si="62"/>
        <v>33.79888268156425</v>
      </c>
      <c r="R128" s="244">
        <f t="shared" si="36"/>
        <v>26.021505376344088</v>
      </c>
    </row>
    <row r="129" spans="1:18" ht="12.75">
      <c r="A129" s="74" t="s">
        <v>200</v>
      </c>
      <c r="B129" s="74"/>
      <c r="C129" s="103" t="s">
        <v>201</v>
      </c>
      <c r="D129" s="242">
        <f t="shared" si="64"/>
        <v>0</v>
      </c>
      <c r="E129" s="242">
        <f t="shared" si="63"/>
        <v>0</v>
      </c>
      <c r="F129" s="255"/>
      <c r="G129" s="255"/>
      <c r="H129" s="243"/>
      <c r="I129" s="243">
        <f t="shared" si="65"/>
        <v>0</v>
      </c>
      <c r="J129" s="244"/>
      <c r="K129" s="244"/>
      <c r="L129" s="245"/>
      <c r="M129" s="245"/>
      <c r="N129" s="240"/>
      <c r="O129" s="240"/>
      <c r="P129" s="243"/>
      <c r="Q129" s="245"/>
      <c r="R129" s="244"/>
    </row>
    <row r="130" spans="1:18" ht="12.75">
      <c r="A130" s="105" t="s">
        <v>202</v>
      </c>
      <c r="B130" s="120"/>
      <c r="C130" s="71" t="s">
        <v>203</v>
      </c>
      <c r="D130" s="242">
        <f t="shared" si="64"/>
        <v>0</v>
      </c>
      <c r="E130" s="242">
        <f t="shared" si="63"/>
        <v>0</v>
      </c>
      <c r="F130" s="255"/>
      <c r="G130" s="255"/>
      <c r="H130" s="243"/>
      <c r="I130" s="243">
        <f t="shared" si="65"/>
        <v>0</v>
      </c>
      <c r="J130" s="244"/>
      <c r="K130" s="243">
        <v>41.8</v>
      </c>
      <c r="L130" s="245"/>
      <c r="M130" s="245"/>
      <c r="N130" s="240"/>
      <c r="O130" s="240"/>
      <c r="P130" s="243"/>
      <c r="Q130" s="245"/>
      <c r="R130" s="244"/>
    </row>
    <row r="131" spans="1:18" ht="12.75">
      <c r="A131" s="116" t="s">
        <v>206</v>
      </c>
      <c r="B131" s="116"/>
      <c r="C131" s="108" t="s">
        <v>207</v>
      </c>
      <c r="D131" s="246">
        <f aca="true" t="shared" si="66" ref="D131:K131">D132+D133</f>
        <v>43628.6</v>
      </c>
      <c r="E131" s="246">
        <f t="shared" si="66"/>
        <v>22119.600000000002</v>
      </c>
      <c r="F131" s="246">
        <f t="shared" si="66"/>
        <v>8321.6</v>
      </c>
      <c r="G131" s="246">
        <f t="shared" si="66"/>
        <v>13798.000000000002</v>
      </c>
      <c r="H131" s="246">
        <f t="shared" si="66"/>
        <v>12272.9</v>
      </c>
      <c r="I131" s="246">
        <f t="shared" si="66"/>
        <v>34392.5</v>
      </c>
      <c r="J131" s="246">
        <f t="shared" si="66"/>
        <v>9236.1</v>
      </c>
      <c r="K131" s="246">
        <f t="shared" si="66"/>
        <v>24913</v>
      </c>
      <c r="L131" s="239" t="e">
        <f>K131/#REF!*100</f>
        <v>#REF!</v>
      </c>
      <c r="M131" s="239">
        <f>K131/H131*100</f>
        <v>202.991957890963</v>
      </c>
      <c r="N131" s="240"/>
      <c r="O131" s="240"/>
      <c r="P131" s="247">
        <f t="shared" si="38"/>
        <v>269.7350613354121</v>
      </c>
      <c r="Q131" s="239">
        <f>K131*100/I131</f>
        <v>72.43730464490805</v>
      </c>
      <c r="R131" s="241">
        <f t="shared" si="36"/>
        <v>57.102451144432784</v>
      </c>
    </row>
    <row r="132" spans="1:18" ht="24">
      <c r="A132" s="69" t="s">
        <v>208</v>
      </c>
      <c r="B132" s="67"/>
      <c r="C132" s="109" t="s">
        <v>209</v>
      </c>
      <c r="D132" s="242">
        <f t="shared" si="64"/>
        <v>43628.6</v>
      </c>
      <c r="E132" s="242">
        <f t="shared" si="63"/>
        <v>22119.600000000002</v>
      </c>
      <c r="F132" s="255">
        <f>8031.4+290.2</f>
        <v>8321.6</v>
      </c>
      <c r="G132" s="255">
        <f>13441.6+44.2+148.2+143.2+20.8</f>
        <v>13798.000000000002</v>
      </c>
      <c r="H132" s="243">
        <f>12236.8+36.1</f>
        <v>12272.9</v>
      </c>
      <c r="I132" s="243">
        <f>E132+H132</f>
        <v>34392.5</v>
      </c>
      <c r="J132" s="244">
        <v>9236.1</v>
      </c>
      <c r="K132" s="244">
        <v>24913</v>
      </c>
      <c r="L132" s="245" t="e">
        <f>K132/#REF!*100</f>
        <v>#REF!</v>
      </c>
      <c r="M132" s="245">
        <f>K132/H132*100</f>
        <v>202.991957890963</v>
      </c>
      <c r="N132" s="240"/>
      <c r="O132" s="240"/>
      <c r="P132" s="243">
        <f t="shared" si="38"/>
        <v>269.7350613354121</v>
      </c>
      <c r="Q132" s="245">
        <f>K132*100/I132</f>
        <v>72.43730464490805</v>
      </c>
      <c r="R132" s="244">
        <f t="shared" si="36"/>
        <v>57.102451144432784</v>
      </c>
    </row>
    <row r="133" spans="1:18" ht="12.75">
      <c r="A133" s="69" t="s">
        <v>210</v>
      </c>
      <c r="B133" s="69"/>
      <c r="C133" s="110" t="s">
        <v>211</v>
      </c>
      <c r="D133" s="242">
        <f t="shared" si="64"/>
        <v>0</v>
      </c>
      <c r="E133" s="242">
        <f t="shared" si="63"/>
        <v>0</v>
      </c>
      <c r="F133" s="262"/>
      <c r="G133" s="262"/>
      <c r="H133" s="243"/>
      <c r="I133" s="243"/>
      <c r="J133" s="244"/>
      <c r="K133" s="244"/>
      <c r="L133" s="245"/>
      <c r="M133" s="245"/>
      <c r="N133" s="240"/>
      <c r="O133" s="240"/>
      <c r="P133" s="243" t="e">
        <f t="shared" si="38"/>
        <v>#DIV/0!</v>
      </c>
      <c r="Q133" s="245"/>
      <c r="R133" s="244"/>
    </row>
    <row r="134" spans="1:18" ht="12.75">
      <c r="A134" s="74"/>
      <c r="B134" s="75"/>
      <c r="C134" s="76" t="s">
        <v>216</v>
      </c>
      <c r="D134" s="241">
        <f aca="true" t="shared" si="67" ref="D134:K134">D131+D122</f>
        <v>46234.9</v>
      </c>
      <c r="E134" s="241">
        <f t="shared" si="67"/>
        <v>23366.000000000004</v>
      </c>
      <c r="F134" s="247">
        <f t="shared" si="67"/>
        <v>8842.800000000001</v>
      </c>
      <c r="G134" s="247">
        <f t="shared" si="67"/>
        <v>14523.200000000003</v>
      </c>
      <c r="H134" s="247">
        <f t="shared" si="67"/>
        <v>13039.199999999999</v>
      </c>
      <c r="I134" s="247">
        <f t="shared" si="67"/>
        <v>36405.2</v>
      </c>
      <c r="J134" s="241">
        <f t="shared" si="67"/>
        <v>9829.7</v>
      </c>
      <c r="K134" s="241">
        <f t="shared" si="67"/>
        <v>26534.4</v>
      </c>
      <c r="L134" s="239" t="e">
        <f>K134/#REF!*100</f>
        <v>#REF!</v>
      </c>
      <c r="M134" s="239">
        <f>K134/H134*100</f>
        <v>203.49714706423708</v>
      </c>
      <c r="N134" s="240"/>
      <c r="O134" s="250" t="e">
        <f>J134+#REF!+#REF!</f>
        <v>#REF!</v>
      </c>
      <c r="P134" s="247">
        <f t="shared" si="38"/>
        <v>269.94109687986406</v>
      </c>
      <c r="Q134" s="239">
        <f>K134*100/I134</f>
        <v>72.88629096942195</v>
      </c>
      <c r="R134" s="241">
        <f t="shared" si="36"/>
        <v>57.39041286993159</v>
      </c>
    </row>
    <row r="135" spans="1:18" ht="12.75">
      <c r="A135" s="203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5"/>
      <c r="N135" s="102"/>
      <c r="O135" s="102"/>
      <c r="P135" s="111"/>
      <c r="Q135" s="101"/>
      <c r="R135" s="77"/>
    </row>
    <row r="136" spans="1:18" ht="12.75">
      <c r="A136" s="191" t="s">
        <v>224</v>
      </c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01"/>
      <c r="R136" s="77"/>
    </row>
    <row r="137" spans="1:18" ht="12.75">
      <c r="A137" s="99" t="s">
        <v>178</v>
      </c>
      <c r="B137" s="99"/>
      <c r="C137" s="100" t="s">
        <v>179</v>
      </c>
      <c r="D137" s="239">
        <f aca="true" t="shared" si="68" ref="D137:K137">D138+D140+D142+D144+D141+D145+D143+D146+D139</f>
        <v>14576.5</v>
      </c>
      <c r="E137" s="239">
        <f t="shared" si="68"/>
        <v>6943.1</v>
      </c>
      <c r="F137" s="239">
        <f t="shared" si="68"/>
        <v>3105.5</v>
      </c>
      <c r="G137" s="239">
        <f t="shared" si="68"/>
        <v>3837.6</v>
      </c>
      <c r="H137" s="239">
        <f t="shared" si="68"/>
        <v>4267.1</v>
      </c>
      <c r="I137" s="239">
        <f t="shared" si="68"/>
        <v>11210.2</v>
      </c>
      <c r="J137" s="239">
        <f t="shared" si="68"/>
        <v>3366.3</v>
      </c>
      <c r="K137" s="239">
        <f t="shared" si="68"/>
        <v>7995.099999999999</v>
      </c>
      <c r="L137" s="239" t="e">
        <f>K137/#REF!*100</f>
        <v>#REF!</v>
      </c>
      <c r="M137" s="239">
        <f>K137/H137*100</f>
        <v>187.36612687773894</v>
      </c>
      <c r="N137" s="240"/>
      <c r="O137" s="240"/>
      <c r="P137" s="239">
        <f t="shared" si="38"/>
        <v>237.5040846032736</v>
      </c>
      <c r="Q137" s="239">
        <f>K137*100/I137</f>
        <v>71.31986940464934</v>
      </c>
      <c r="R137" s="241">
        <f t="shared" si="36"/>
        <v>54.84924364559394</v>
      </c>
    </row>
    <row r="138" spans="1:18" ht="12.75">
      <c r="A138" s="74" t="s">
        <v>180</v>
      </c>
      <c r="B138" s="74"/>
      <c r="C138" s="103" t="s">
        <v>181</v>
      </c>
      <c r="D138" s="255">
        <f>F138+G138+H138+J138</f>
        <v>13125</v>
      </c>
      <c r="E138" s="242">
        <f aca="true" t="shared" si="69" ref="E138:E148">F138+G138</f>
        <v>6225</v>
      </c>
      <c r="F138" s="255">
        <v>2750</v>
      </c>
      <c r="G138" s="255">
        <v>3475</v>
      </c>
      <c r="H138" s="243">
        <v>3900</v>
      </c>
      <c r="I138" s="243">
        <f>E138+H138</f>
        <v>10125</v>
      </c>
      <c r="J138" s="244">
        <v>3000</v>
      </c>
      <c r="K138" s="244">
        <v>7052.4</v>
      </c>
      <c r="L138" s="245" t="e">
        <f>K138/#REF!*100</f>
        <v>#REF!</v>
      </c>
      <c r="M138" s="245">
        <f>K138/H138*100</f>
        <v>180.83076923076922</v>
      </c>
      <c r="N138" s="240"/>
      <c r="O138" s="240"/>
      <c r="P138" s="243">
        <f t="shared" si="38"/>
        <v>235.08</v>
      </c>
      <c r="Q138" s="245">
        <f>K138*100/I138</f>
        <v>69.65333333333334</v>
      </c>
      <c r="R138" s="244">
        <f t="shared" si="36"/>
        <v>53.732571428571426</v>
      </c>
    </row>
    <row r="139" spans="1:18" ht="12.75">
      <c r="A139" s="67" t="s">
        <v>182</v>
      </c>
      <c r="B139" s="67"/>
      <c r="C139" s="103" t="s">
        <v>183</v>
      </c>
      <c r="D139" s="255">
        <f aca="true" t="shared" si="70" ref="D139:D148">F139+G139+H139+J139</f>
        <v>0</v>
      </c>
      <c r="E139" s="242">
        <f t="shared" si="69"/>
        <v>0</v>
      </c>
      <c r="F139" s="255"/>
      <c r="G139" s="255"/>
      <c r="H139" s="243"/>
      <c r="I139" s="243">
        <f aca="true" t="shared" si="71" ref="I139:I148">E139+H139</f>
        <v>0</v>
      </c>
      <c r="J139" s="244"/>
      <c r="K139" s="244">
        <v>9.5</v>
      </c>
      <c r="L139" s="245"/>
      <c r="M139" s="245"/>
      <c r="N139" s="240"/>
      <c r="O139" s="240"/>
      <c r="P139" s="243" t="e">
        <f t="shared" si="38"/>
        <v>#DIV/0!</v>
      </c>
      <c r="Q139" s="245"/>
      <c r="R139" s="244"/>
    </row>
    <row r="140" spans="1:18" ht="12.75">
      <c r="A140" s="67" t="s">
        <v>184</v>
      </c>
      <c r="B140" s="67"/>
      <c r="C140" s="103" t="s">
        <v>185</v>
      </c>
      <c r="D140" s="255">
        <f t="shared" si="70"/>
        <v>387</v>
      </c>
      <c r="E140" s="242">
        <f t="shared" si="69"/>
        <v>191</v>
      </c>
      <c r="F140" s="255">
        <v>95.5</v>
      </c>
      <c r="G140" s="255">
        <v>95.5</v>
      </c>
      <c r="H140" s="243">
        <v>98.5</v>
      </c>
      <c r="I140" s="243">
        <f t="shared" si="71"/>
        <v>289.5</v>
      </c>
      <c r="J140" s="244">
        <v>97.5</v>
      </c>
      <c r="K140" s="244">
        <v>93.8</v>
      </c>
      <c r="L140" s="245" t="e">
        <f>K140/#REF!*100</f>
        <v>#REF!</v>
      </c>
      <c r="M140" s="245">
        <f>K140/H140*100</f>
        <v>95.22842639593908</v>
      </c>
      <c r="N140" s="240"/>
      <c r="O140" s="240"/>
      <c r="P140" s="243">
        <f t="shared" si="38"/>
        <v>96.2051282051282</v>
      </c>
      <c r="Q140" s="245">
        <f aca="true" t="shared" si="72" ref="Q140:Q148">K140*100/I140</f>
        <v>32.4006908462867</v>
      </c>
      <c r="R140" s="244">
        <f aca="true" t="shared" si="73" ref="R140:R202">K140*100/D140</f>
        <v>24.237726098191214</v>
      </c>
    </row>
    <row r="141" spans="1:18" ht="12.75">
      <c r="A141" s="67" t="s">
        <v>186</v>
      </c>
      <c r="B141" s="67"/>
      <c r="C141" s="103" t="s">
        <v>187</v>
      </c>
      <c r="D141" s="255">
        <f t="shared" si="70"/>
        <v>123</v>
      </c>
      <c r="E141" s="242">
        <f t="shared" si="69"/>
        <v>61</v>
      </c>
      <c r="F141" s="255">
        <v>30</v>
      </c>
      <c r="G141" s="255">
        <v>31</v>
      </c>
      <c r="H141" s="243">
        <v>32</v>
      </c>
      <c r="I141" s="243">
        <f t="shared" si="71"/>
        <v>93</v>
      </c>
      <c r="J141" s="244">
        <v>30</v>
      </c>
      <c r="K141" s="244">
        <v>96.2</v>
      </c>
      <c r="L141" s="245" t="e">
        <f>K141/#REF!*100</f>
        <v>#REF!</v>
      </c>
      <c r="M141" s="245">
        <f>K141/H141*100</f>
        <v>300.625</v>
      </c>
      <c r="N141" s="240"/>
      <c r="O141" s="240"/>
      <c r="P141" s="243">
        <f t="shared" si="38"/>
        <v>320.6666666666667</v>
      </c>
      <c r="Q141" s="245">
        <f t="shared" si="72"/>
        <v>103.44086021505376</v>
      </c>
      <c r="R141" s="244">
        <f t="shared" si="73"/>
        <v>78.21138211382114</v>
      </c>
    </row>
    <row r="142" spans="1:18" ht="24">
      <c r="A142" s="68" t="s">
        <v>190</v>
      </c>
      <c r="B142" s="68"/>
      <c r="C142" s="103" t="s">
        <v>191</v>
      </c>
      <c r="D142" s="255">
        <f t="shared" si="70"/>
        <v>870.5</v>
      </c>
      <c r="E142" s="242">
        <f t="shared" si="69"/>
        <v>431.1</v>
      </c>
      <c r="F142" s="255">
        <v>213</v>
      </c>
      <c r="G142" s="255">
        <v>218.1</v>
      </c>
      <c r="H142" s="243">
        <v>218.6</v>
      </c>
      <c r="I142" s="243">
        <f t="shared" si="71"/>
        <v>649.7</v>
      </c>
      <c r="J142" s="244">
        <v>220.8</v>
      </c>
      <c r="K142" s="244">
        <v>550.6</v>
      </c>
      <c r="L142" s="245" t="e">
        <f>K142/#REF!*100</f>
        <v>#REF!</v>
      </c>
      <c r="M142" s="245">
        <f>K142/H142*100</f>
        <v>251.87557182067707</v>
      </c>
      <c r="N142" s="240"/>
      <c r="O142" s="240"/>
      <c r="P142" s="243">
        <f t="shared" si="38"/>
        <v>249.3659420289855</v>
      </c>
      <c r="Q142" s="245">
        <f t="shared" si="72"/>
        <v>84.74680621825458</v>
      </c>
      <c r="R142" s="244">
        <f t="shared" si="73"/>
        <v>63.25100516944285</v>
      </c>
    </row>
    <row r="143" spans="1:18" ht="24">
      <c r="A143" s="105" t="s">
        <v>194</v>
      </c>
      <c r="B143" s="105"/>
      <c r="C143" s="103" t="s">
        <v>195</v>
      </c>
      <c r="D143" s="255">
        <f t="shared" si="70"/>
        <v>0</v>
      </c>
      <c r="E143" s="242">
        <f t="shared" si="69"/>
        <v>0</v>
      </c>
      <c r="F143" s="255"/>
      <c r="G143" s="255"/>
      <c r="H143" s="243"/>
      <c r="I143" s="243">
        <f t="shared" si="71"/>
        <v>0</v>
      </c>
      <c r="J143" s="244"/>
      <c r="K143" s="244"/>
      <c r="L143" s="245"/>
      <c r="M143" s="245"/>
      <c r="N143" s="240"/>
      <c r="O143" s="240"/>
      <c r="P143" s="243" t="e">
        <f aca="true" t="shared" si="74" ref="P143:P206">K143*100/J143</f>
        <v>#DIV/0!</v>
      </c>
      <c r="Q143" s="245" t="e">
        <f t="shared" si="72"/>
        <v>#DIV/0!</v>
      </c>
      <c r="R143" s="244" t="e">
        <f t="shared" si="73"/>
        <v>#DIV/0!</v>
      </c>
    </row>
    <row r="144" spans="1:18" ht="24">
      <c r="A144" s="104" t="s">
        <v>196</v>
      </c>
      <c r="B144" s="104"/>
      <c r="C144" s="103" t="s">
        <v>197</v>
      </c>
      <c r="D144" s="255">
        <f t="shared" si="70"/>
        <v>71</v>
      </c>
      <c r="E144" s="242">
        <f t="shared" si="69"/>
        <v>35</v>
      </c>
      <c r="F144" s="255">
        <v>17</v>
      </c>
      <c r="G144" s="255">
        <v>18</v>
      </c>
      <c r="H144" s="243">
        <v>18</v>
      </c>
      <c r="I144" s="243">
        <f t="shared" si="71"/>
        <v>53</v>
      </c>
      <c r="J144" s="244">
        <v>18</v>
      </c>
      <c r="K144" s="244">
        <v>192.4</v>
      </c>
      <c r="L144" s="245" t="e">
        <f>K144/#REF!*100</f>
        <v>#REF!</v>
      </c>
      <c r="M144" s="245">
        <f>K144/H144*100</f>
        <v>1068.888888888889</v>
      </c>
      <c r="N144" s="240"/>
      <c r="O144" s="240"/>
      <c r="P144" s="243">
        <f t="shared" si="74"/>
        <v>1068.888888888889</v>
      </c>
      <c r="Q144" s="245">
        <f t="shared" si="72"/>
        <v>363.0188679245283</v>
      </c>
      <c r="R144" s="244">
        <f t="shared" si="73"/>
        <v>270.98591549295776</v>
      </c>
    </row>
    <row r="145" spans="1:18" ht="12.75">
      <c r="A145" s="74" t="s">
        <v>200</v>
      </c>
      <c r="B145" s="74"/>
      <c r="C145" s="103" t="s">
        <v>201</v>
      </c>
      <c r="D145" s="255">
        <f t="shared" si="70"/>
        <v>0</v>
      </c>
      <c r="E145" s="242">
        <f t="shared" si="69"/>
        <v>0</v>
      </c>
      <c r="F145" s="255"/>
      <c r="G145" s="255"/>
      <c r="H145" s="243"/>
      <c r="I145" s="243">
        <f t="shared" si="71"/>
        <v>0</v>
      </c>
      <c r="J145" s="244"/>
      <c r="K145" s="244"/>
      <c r="L145" s="245" t="e">
        <f>K145/#REF!*100</f>
        <v>#REF!</v>
      </c>
      <c r="M145" s="245"/>
      <c r="N145" s="240"/>
      <c r="O145" s="240"/>
      <c r="P145" s="243" t="e">
        <f t="shared" si="74"/>
        <v>#DIV/0!</v>
      </c>
      <c r="Q145" s="245"/>
      <c r="R145" s="244"/>
    </row>
    <row r="146" spans="1:18" ht="12.75">
      <c r="A146" s="104" t="s">
        <v>202</v>
      </c>
      <c r="B146" s="121"/>
      <c r="C146" s="71" t="s">
        <v>203</v>
      </c>
      <c r="D146" s="255">
        <f t="shared" si="70"/>
        <v>0</v>
      </c>
      <c r="E146" s="242">
        <f t="shared" si="69"/>
        <v>0</v>
      </c>
      <c r="F146" s="263"/>
      <c r="G146" s="263"/>
      <c r="H146" s="243"/>
      <c r="I146" s="243">
        <f t="shared" si="71"/>
        <v>0</v>
      </c>
      <c r="J146" s="244"/>
      <c r="K146" s="244">
        <v>0.2</v>
      </c>
      <c r="L146" s="245"/>
      <c r="M146" s="245"/>
      <c r="N146" s="240"/>
      <c r="O146" s="240"/>
      <c r="P146" s="243" t="e">
        <f t="shared" si="74"/>
        <v>#DIV/0!</v>
      </c>
      <c r="Q146" s="245"/>
      <c r="R146" s="241"/>
    </row>
    <row r="147" spans="1:18" ht="12.75">
      <c r="A147" s="99" t="s">
        <v>206</v>
      </c>
      <c r="B147" s="99"/>
      <c r="C147" s="108" t="s">
        <v>207</v>
      </c>
      <c r="D147" s="246">
        <f>D148+D149</f>
        <v>31867.4</v>
      </c>
      <c r="E147" s="246">
        <f aca="true" t="shared" si="75" ref="E147:K147">E148+E149</f>
        <v>16710.3</v>
      </c>
      <c r="F147" s="246">
        <f t="shared" si="75"/>
        <v>5966.9</v>
      </c>
      <c r="G147" s="246">
        <f t="shared" si="75"/>
        <v>10743.4</v>
      </c>
      <c r="H147" s="246">
        <f t="shared" si="75"/>
        <v>7677</v>
      </c>
      <c r="I147" s="246">
        <f t="shared" si="75"/>
        <v>24144.8</v>
      </c>
      <c r="J147" s="246">
        <f t="shared" si="75"/>
        <v>7480.1</v>
      </c>
      <c r="K147" s="246">
        <f t="shared" si="75"/>
        <v>16830.5</v>
      </c>
      <c r="L147" s="239" t="e">
        <f>K147/#REF!*100</f>
        <v>#REF!</v>
      </c>
      <c r="M147" s="239">
        <f>K147/H147*100</f>
        <v>219.2327732187052</v>
      </c>
      <c r="N147" s="240"/>
      <c r="O147" s="240"/>
      <c r="P147" s="247">
        <f t="shared" si="74"/>
        <v>225.0036764214382</v>
      </c>
      <c r="Q147" s="239">
        <f>K147*100/I147</f>
        <v>69.70652065869255</v>
      </c>
      <c r="R147" s="241">
        <f t="shared" si="73"/>
        <v>52.814161180391245</v>
      </c>
    </row>
    <row r="148" spans="1:18" ht="24">
      <c r="A148" s="69" t="s">
        <v>208</v>
      </c>
      <c r="B148" s="67"/>
      <c r="C148" s="109" t="s">
        <v>209</v>
      </c>
      <c r="D148" s="255">
        <f t="shared" si="70"/>
        <v>31624.9</v>
      </c>
      <c r="E148" s="242">
        <f t="shared" si="69"/>
        <v>16467.8</v>
      </c>
      <c r="F148" s="255">
        <v>5966.9</v>
      </c>
      <c r="G148" s="255">
        <v>10500.9</v>
      </c>
      <c r="H148" s="243">
        <f>7602.8+74.2</f>
        <v>7677</v>
      </c>
      <c r="I148" s="243">
        <f t="shared" si="71"/>
        <v>24144.8</v>
      </c>
      <c r="J148" s="244">
        <v>7480.1</v>
      </c>
      <c r="K148" s="244">
        <v>16588</v>
      </c>
      <c r="L148" s="245" t="e">
        <f>K148/#REF!*100</f>
        <v>#REF!</v>
      </c>
      <c r="M148" s="245">
        <f>K148/H148*100</f>
        <v>216.07398723459684</v>
      </c>
      <c r="N148" s="240"/>
      <c r="O148" s="240"/>
      <c r="P148" s="243">
        <f t="shared" si="74"/>
        <v>221.76174115319313</v>
      </c>
      <c r="Q148" s="245">
        <f t="shared" si="72"/>
        <v>68.70216361286903</v>
      </c>
      <c r="R148" s="244">
        <f t="shared" si="73"/>
        <v>52.45233977024433</v>
      </c>
    </row>
    <row r="149" spans="1:18" ht="12.75">
      <c r="A149" s="69" t="s">
        <v>210</v>
      </c>
      <c r="B149" s="69"/>
      <c r="C149" s="110" t="s">
        <v>211</v>
      </c>
      <c r="D149" s="255">
        <f>F149+G149+H149+J149</f>
        <v>242.5</v>
      </c>
      <c r="E149" s="242">
        <f>F149+G149</f>
        <v>242.5</v>
      </c>
      <c r="F149" s="255"/>
      <c r="G149" s="255">
        <v>242.5</v>
      </c>
      <c r="H149" s="243"/>
      <c r="I149" s="243"/>
      <c r="J149" s="244"/>
      <c r="K149" s="244">
        <v>242.5</v>
      </c>
      <c r="L149" s="245"/>
      <c r="M149" s="245"/>
      <c r="N149" s="240"/>
      <c r="O149" s="240"/>
      <c r="P149" s="243"/>
      <c r="Q149" s="245"/>
      <c r="R149" s="244"/>
    </row>
    <row r="150" spans="1:18" ht="12.75">
      <c r="A150" s="74"/>
      <c r="B150" s="75"/>
      <c r="C150" s="76" t="s">
        <v>216</v>
      </c>
      <c r="D150" s="241">
        <f aca="true" t="shared" si="76" ref="D150:K150">D147+D137</f>
        <v>46443.9</v>
      </c>
      <c r="E150" s="241">
        <f t="shared" si="76"/>
        <v>23653.4</v>
      </c>
      <c r="F150" s="241">
        <f t="shared" si="76"/>
        <v>9072.4</v>
      </c>
      <c r="G150" s="241">
        <f t="shared" si="76"/>
        <v>14581</v>
      </c>
      <c r="H150" s="241">
        <f t="shared" si="76"/>
        <v>11944.1</v>
      </c>
      <c r="I150" s="241">
        <f t="shared" si="76"/>
        <v>35355</v>
      </c>
      <c r="J150" s="241">
        <f t="shared" si="76"/>
        <v>10846.400000000001</v>
      </c>
      <c r="K150" s="241">
        <f t="shared" si="76"/>
        <v>24825.6</v>
      </c>
      <c r="L150" s="239" t="e">
        <f>K150/#REF!*100</f>
        <v>#REF!</v>
      </c>
      <c r="M150" s="239">
        <f>K150/H150*100</f>
        <v>207.84822632094503</v>
      </c>
      <c r="N150" s="240"/>
      <c r="O150" s="250" t="e">
        <f>J150+#REF!+#REF!</f>
        <v>#REF!</v>
      </c>
      <c r="P150" s="247">
        <f t="shared" si="74"/>
        <v>228.883316123322</v>
      </c>
      <c r="Q150" s="239">
        <f>K150*100/I150</f>
        <v>70.21807382265592</v>
      </c>
      <c r="R150" s="241">
        <f t="shared" si="73"/>
        <v>53.45287540452029</v>
      </c>
    </row>
    <row r="151" spans="1:18" ht="12.75">
      <c r="A151" s="192"/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4"/>
      <c r="N151" s="102"/>
      <c r="O151" s="102"/>
      <c r="P151" s="111"/>
      <c r="Q151" s="101"/>
      <c r="R151" s="77"/>
    </row>
    <row r="152" spans="1:18" ht="12.75">
      <c r="A152" s="191" t="s">
        <v>225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01"/>
      <c r="R152" s="77"/>
    </row>
    <row r="153" spans="1:18" ht="12.75">
      <c r="A153" s="99" t="s">
        <v>178</v>
      </c>
      <c r="B153" s="99"/>
      <c r="C153" s="100" t="s">
        <v>179</v>
      </c>
      <c r="D153" s="239">
        <f aca="true" t="shared" si="77" ref="D153:K153">D154+D155+D156+D157+D159+D160+D161+D158</f>
        <v>3769.5</v>
      </c>
      <c r="E153" s="239">
        <f t="shared" si="77"/>
        <v>2003</v>
      </c>
      <c r="F153" s="239">
        <f t="shared" si="77"/>
        <v>736</v>
      </c>
      <c r="G153" s="239">
        <f t="shared" si="77"/>
        <v>1267</v>
      </c>
      <c r="H153" s="239">
        <f t="shared" si="77"/>
        <v>861</v>
      </c>
      <c r="I153" s="239">
        <f t="shared" si="77"/>
        <v>2864</v>
      </c>
      <c r="J153" s="239">
        <f t="shared" si="77"/>
        <v>905.5</v>
      </c>
      <c r="K153" s="239">
        <f t="shared" si="77"/>
        <v>2789</v>
      </c>
      <c r="L153" s="239" t="e">
        <f>K153/#REF!*100</f>
        <v>#REF!</v>
      </c>
      <c r="M153" s="239">
        <f aca="true" t="shared" si="78" ref="M153:M159">K153/H153*100</f>
        <v>323.92566782810684</v>
      </c>
      <c r="N153" s="240"/>
      <c r="O153" s="240"/>
      <c r="P153" s="239">
        <f t="shared" si="74"/>
        <v>308.00662617338486</v>
      </c>
      <c r="Q153" s="239">
        <f>K153*100/I153</f>
        <v>97.38128491620111</v>
      </c>
      <c r="R153" s="241">
        <f t="shared" si="73"/>
        <v>73.9885926515453</v>
      </c>
    </row>
    <row r="154" spans="1:18" ht="12.75">
      <c r="A154" s="74" t="s">
        <v>180</v>
      </c>
      <c r="B154" s="74"/>
      <c r="C154" s="103" t="s">
        <v>181</v>
      </c>
      <c r="D154" s="255">
        <f>F154+G154+H154+J154</f>
        <v>2940</v>
      </c>
      <c r="E154" s="242">
        <f aca="true" t="shared" si="79" ref="E154:E159">F154+G154</f>
        <v>1420</v>
      </c>
      <c r="F154" s="242">
        <v>550</v>
      </c>
      <c r="G154" s="242">
        <v>870</v>
      </c>
      <c r="H154" s="243">
        <v>750</v>
      </c>
      <c r="I154" s="243">
        <f>E154+H154</f>
        <v>2170</v>
      </c>
      <c r="J154" s="244">
        <v>770</v>
      </c>
      <c r="K154" s="244">
        <v>2107.5</v>
      </c>
      <c r="L154" s="245" t="e">
        <f>K154/#REF!*100</f>
        <v>#REF!</v>
      </c>
      <c r="M154" s="245">
        <f t="shared" si="78"/>
        <v>281</v>
      </c>
      <c r="N154" s="240"/>
      <c r="O154" s="240"/>
      <c r="P154" s="243">
        <f t="shared" si="74"/>
        <v>273.7012987012987</v>
      </c>
      <c r="Q154" s="245">
        <f>K154*100/I154</f>
        <v>97.11981566820276</v>
      </c>
      <c r="R154" s="244">
        <f t="shared" si="73"/>
        <v>71.68367346938776</v>
      </c>
    </row>
    <row r="155" spans="1:18" ht="12.75">
      <c r="A155" s="67" t="s">
        <v>184</v>
      </c>
      <c r="B155" s="67"/>
      <c r="C155" s="103" t="s">
        <v>185</v>
      </c>
      <c r="D155" s="255">
        <f aca="true" t="shared" si="80" ref="D155:D163">F155+G155+H155+J155</f>
        <v>252</v>
      </c>
      <c r="E155" s="242">
        <f t="shared" si="79"/>
        <v>93</v>
      </c>
      <c r="F155" s="242">
        <v>46</v>
      </c>
      <c r="G155" s="242">
        <v>47</v>
      </c>
      <c r="H155" s="243">
        <v>66</v>
      </c>
      <c r="I155" s="243">
        <f aca="true" t="shared" si="81" ref="I155:I160">E155+H155</f>
        <v>159</v>
      </c>
      <c r="J155" s="244">
        <v>93</v>
      </c>
      <c r="K155" s="244">
        <v>57.6</v>
      </c>
      <c r="L155" s="245" t="e">
        <f>K155/#REF!*100</f>
        <v>#REF!</v>
      </c>
      <c r="M155" s="245">
        <f t="shared" si="78"/>
        <v>87.27272727272728</v>
      </c>
      <c r="N155" s="240"/>
      <c r="O155" s="240"/>
      <c r="P155" s="243">
        <f t="shared" si="74"/>
        <v>61.935483870967744</v>
      </c>
      <c r="Q155" s="245">
        <f aca="true" t="shared" si="82" ref="Q155:Q163">K155*100/I155</f>
        <v>36.22641509433962</v>
      </c>
      <c r="R155" s="244">
        <f t="shared" si="73"/>
        <v>22.857142857142858</v>
      </c>
    </row>
    <row r="156" spans="1:18" ht="12.75">
      <c r="A156" s="67" t="s">
        <v>186</v>
      </c>
      <c r="B156" s="67"/>
      <c r="C156" s="103" t="s">
        <v>187</v>
      </c>
      <c r="D156" s="255">
        <f t="shared" si="80"/>
        <v>67</v>
      </c>
      <c r="E156" s="242">
        <f t="shared" si="79"/>
        <v>42</v>
      </c>
      <c r="F156" s="242">
        <v>8</v>
      </c>
      <c r="G156" s="242">
        <v>34</v>
      </c>
      <c r="H156" s="243">
        <v>13</v>
      </c>
      <c r="I156" s="243">
        <f t="shared" si="81"/>
        <v>55</v>
      </c>
      <c r="J156" s="244">
        <v>12</v>
      </c>
      <c r="K156" s="244">
        <v>72.8</v>
      </c>
      <c r="L156" s="245" t="e">
        <f>K156/#REF!*100</f>
        <v>#REF!</v>
      </c>
      <c r="M156" s="245">
        <f t="shared" si="78"/>
        <v>560</v>
      </c>
      <c r="N156" s="240"/>
      <c r="O156" s="240"/>
      <c r="P156" s="243">
        <f t="shared" si="74"/>
        <v>606.6666666666666</v>
      </c>
      <c r="Q156" s="245">
        <f t="shared" si="82"/>
        <v>132.36363636363637</v>
      </c>
      <c r="R156" s="244">
        <f t="shared" si="73"/>
        <v>108.65671641791045</v>
      </c>
    </row>
    <row r="157" spans="1:18" ht="24">
      <c r="A157" s="68" t="s">
        <v>190</v>
      </c>
      <c r="B157" s="68"/>
      <c r="C157" s="103" t="s">
        <v>191</v>
      </c>
      <c r="D157" s="255">
        <f t="shared" si="80"/>
        <v>372</v>
      </c>
      <c r="E157" s="242">
        <f t="shared" si="79"/>
        <v>348</v>
      </c>
      <c r="F157" s="242">
        <v>112</v>
      </c>
      <c r="G157" s="242">
        <v>236</v>
      </c>
      <c r="H157" s="243">
        <v>12</v>
      </c>
      <c r="I157" s="243">
        <f t="shared" si="81"/>
        <v>360</v>
      </c>
      <c r="J157" s="244">
        <v>12</v>
      </c>
      <c r="K157" s="244">
        <v>411.2</v>
      </c>
      <c r="L157" s="245" t="e">
        <f>K157/#REF!*100</f>
        <v>#REF!</v>
      </c>
      <c r="M157" s="245">
        <f t="shared" si="78"/>
        <v>3426.6666666666665</v>
      </c>
      <c r="N157" s="240"/>
      <c r="O157" s="240"/>
      <c r="P157" s="243">
        <f t="shared" si="74"/>
        <v>3426.6666666666665</v>
      </c>
      <c r="Q157" s="245">
        <f t="shared" si="82"/>
        <v>114.22222222222223</v>
      </c>
      <c r="R157" s="244">
        <f t="shared" si="73"/>
        <v>110.53763440860214</v>
      </c>
    </row>
    <row r="158" spans="1:18" ht="24">
      <c r="A158" s="105" t="s">
        <v>194</v>
      </c>
      <c r="B158" s="105"/>
      <c r="C158" s="103" t="s">
        <v>195</v>
      </c>
      <c r="D158" s="255">
        <f t="shared" si="80"/>
        <v>60</v>
      </c>
      <c r="E158" s="242">
        <f t="shared" si="79"/>
        <v>30</v>
      </c>
      <c r="F158" s="242">
        <v>15</v>
      </c>
      <c r="G158" s="242">
        <v>15</v>
      </c>
      <c r="H158" s="243">
        <v>15</v>
      </c>
      <c r="I158" s="243">
        <f t="shared" si="81"/>
        <v>45</v>
      </c>
      <c r="J158" s="244">
        <v>15</v>
      </c>
      <c r="K158" s="244">
        <v>46</v>
      </c>
      <c r="L158" s="245" t="e">
        <f>K158/#REF!*100</f>
        <v>#REF!</v>
      </c>
      <c r="M158" s="245">
        <f t="shared" si="78"/>
        <v>306.6666666666667</v>
      </c>
      <c r="N158" s="240"/>
      <c r="O158" s="240"/>
      <c r="P158" s="243">
        <f t="shared" si="74"/>
        <v>306.6666666666667</v>
      </c>
      <c r="Q158" s="245">
        <f t="shared" si="82"/>
        <v>102.22222222222223</v>
      </c>
      <c r="R158" s="244">
        <f t="shared" si="73"/>
        <v>76.66666666666667</v>
      </c>
    </row>
    <row r="159" spans="1:18" ht="24">
      <c r="A159" s="104" t="s">
        <v>196</v>
      </c>
      <c r="B159" s="104"/>
      <c r="C159" s="103" t="s">
        <v>197</v>
      </c>
      <c r="D159" s="255">
        <f t="shared" si="80"/>
        <v>78.5</v>
      </c>
      <c r="E159" s="242">
        <f t="shared" si="79"/>
        <v>70</v>
      </c>
      <c r="F159" s="242">
        <v>5</v>
      </c>
      <c r="G159" s="242">
        <v>65</v>
      </c>
      <c r="H159" s="243">
        <v>5</v>
      </c>
      <c r="I159" s="243">
        <f t="shared" si="81"/>
        <v>75</v>
      </c>
      <c r="J159" s="244">
        <v>3.5</v>
      </c>
      <c r="K159" s="244">
        <v>93.9</v>
      </c>
      <c r="L159" s="245" t="e">
        <f>K159/#REF!*100</f>
        <v>#REF!</v>
      </c>
      <c r="M159" s="245">
        <f t="shared" si="78"/>
        <v>1878</v>
      </c>
      <c r="N159" s="240"/>
      <c r="O159" s="240"/>
      <c r="P159" s="243">
        <f t="shared" si="74"/>
        <v>2682.8571428571427</v>
      </c>
      <c r="Q159" s="245">
        <f t="shared" si="82"/>
        <v>125.2</v>
      </c>
      <c r="R159" s="244">
        <f t="shared" si="73"/>
        <v>119.61783439490446</v>
      </c>
    </row>
    <row r="160" spans="1:18" ht="12.75">
      <c r="A160" s="74" t="s">
        <v>200</v>
      </c>
      <c r="B160" s="74"/>
      <c r="C160" s="103" t="s">
        <v>201</v>
      </c>
      <c r="D160" s="255">
        <f t="shared" si="80"/>
        <v>0</v>
      </c>
      <c r="E160" s="242">
        <f>F160</f>
        <v>0</v>
      </c>
      <c r="F160" s="242"/>
      <c r="G160" s="242"/>
      <c r="H160" s="243"/>
      <c r="I160" s="243">
        <f t="shared" si="81"/>
        <v>0</v>
      </c>
      <c r="J160" s="244"/>
      <c r="K160" s="244"/>
      <c r="L160" s="245"/>
      <c r="M160" s="245"/>
      <c r="N160" s="240"/>
      <c r="O160" s="240"/>
      <c r="P160" s="243" t="e">
        <f t="shared" si="74"/>
        <v>#DIV/0!</v>
      </c>
      <c r="Q160" s="245" t="e">
        <f t="shared" si="82"/>
        <v>#DIV/0!</v>
      </c>
      <c r="R160" s="241" t="e">
        <f t="shared" si="73"/>
        <v>#DIV/0!</v>
      </c>
    </row>
    <row r="161" spans="1:18" ht="12.75">
      <c r="A161" s="115" t="s">
        <v>202</v>
      </c>
      <c r="B161" s="107"/>
      <c r="C161" s="71" t="s">
        <v>203</v>
      </c>
      <c r="D161" s="255">
        <f t="shared" si="80"/>
        <v>0</v>
      </c>
      <c r="E161" s="242">
        <f>F161</f>
        <v>0</v>
      </c>
      <c r="F161" s="254"/>
      <c r="G161" s="254"/>
      <c r="H161" s="243"/>
      <c r="I161" s="243"/>
      <c r="J161" s="244"/>
      <c r="K161" s="244"/>
      <c r="L161" s="245"/>
      <c r="M161" s="245"/>
      <c r="N161" s="240"/>
      <c r="O161" s="240"/>
      <c r="P161" s="243" t="e">
        <f t="shared" si="74"/>
        <v>#DIV/0!</v>
      </c>
      <c r="Q161" s="245"/>
      <c r="R161" s="241"/>
    </row>
    <row r="162" spans="1:18" ht="12.75">
      <c r="A162" s="99" t="s">
        <v>206</v>
      </c>
      <c r="B162" s="99"/>
      <c r="C162" s="108" t="s">
        <v>207</v>
      </c>
      <c r="D162" s="246">
        <f aca="true" t="shared" si="83" ref="D162:K162">D163+D164</f>
        <v>23632</v>
      </c>
      <c r="E162" s="264">
        <f t="shared" si="83"/>
        <v>12036.1</v>
      </c>
      <c r="F162" s="264">
        <f t="shared" si="83"/>
        <v>4920</v>
      </c>
      <c r="G162" s="264">
        <f t="shared" si="83"/>
        <v>7116.1</v>
      </c>
      <c r="H162" s="246">
        <f t="shared" si="83"/>
        <v>6874.900000000001</v>
      </c>
      <c r="I162" s="246">
        <f t="shared" si="83"/>
        <v>18911</v>
      </c>
      <c r="J162" s="246">
        <f t="shared" si="83"/>
        <v>4721</v>
      </c>
      <c r="K162" s="246">
        <f t="shared" si="83"/>
        <v>13403</v>
      </c>
      <c r="L162" s="239" t="e">
        <f>K162/#REF!*100</f>
        <v>#REF!</v>
      </c>
      <c r="M162" s="239">
        <f>K162/H162*100</f>
        <v>194.9555629900071</v>
      </c>
      <c r="N162" s="240"/>
      <c r="O162" s="240"/>
      <c r="P162" s="247">
        <f t="shared" si="74"/>
        <v>283.90171573819106</v>
      </c>
      <c r="Q162" s="239">
        <f>K162*100/I162</f>
        <v>70.87409444238803</v>
      </c>
      <c r="R162" s="241">
        <f t="shared" si="73"/>
        <v>56.71547054840894</v>
      </c>
    </row>
    <row r="163" spans="1:18" ht="24">
      <c r="A163" s="69" t="s">
        <v>208</v>
      </c>
      <c r="B163" s="67"/>
      <c r="C163" s="109" t="s">
        <v>209</v>
      </c>
      <c r="D163" s="255">
        <f t="shared" si="80"/>
        <v>23614</v>
      </c>
      <c r="E163" s="242">
        <f>F163+G163</f>
        <v>12018.1</v>
      </c>
      <c r="F163" s="242">
        <v>4920</v>
      </c>
      <c r="G163" s="242">
        <v>7098.1</v>
      </c>
      <c r="H163" s="243">
        <f>6655.3+219.6</f>
        <v>6874.900000000001</v>
      </c>
      <c r="I163" s="243">
        <f>E163+H163</f>
        <v>18893</v>
      </c>
      <c r="J163" s="244">
        <v>4721</v>
      </c>
      <c r="K163" s="244">
        <v>13385</v>
      </c>
      <c r="L163" s="245" t="e">
        <f>K163/#REF!*100</f>
        <v>#REF!</v>
      </c>
      <c r="M163" s="245">
        <f>K163/H163*100</f>
        <v>194.69374099986908</v>
      </c>
      <c r="N163" s="240"/>
      <c r="O163" s="240"/>
      <c r="P163" s="243">
        <f t="shared" si="74"/>
        <v>283.5204405846219</v>
      </c>
      <c r="Q163" s="245">
        <f t="shared" si="82"/>
        <v>70.8463452072196</v>
      </c>
      <c r="R163" s="244">
        <f t="shared" si="73"/>
        <v>56.68247649699331</v>
      </c>
    </row>
    <row r="164" spans="1:18" ht="12.75">
      <c r="A164" s="69" t="s">
        <v>210</v>
      </c>
      <c r="B164" s="69"/>
      <c r="C164" s="110" t="s">
        <v>211</v>
      </c>
      <c r="D164" s="255">
        <f>F164+G164+H164+J164</f>
        <v>18</v>
      </c>
      <c r="E164" s="242">
        <f>F164+G164</f>
        <v>18</v>
      </c>
      <c r="F164" s="248"/>
      <c r="G164" s="248">
        <v>18</v>
      </c>
      <c r="H164" s="243"/>
      <c r="I164" s="243">
        <f>E164+H164</f>
        <v>18</v>
      </c>
      <c r="J164" s="244"/>
      <c r="K164" s="244">
        <v>18</v>
      </c>
      <c r="L164" s="245" t="e">
        <f>K164/#REF!*100</f>
        <v>#REF!</v>
      </c>
      <c r="M164" s="245"/>
      <c r="N164" s="240"/>
      <c r="O164" s="240"/>
      <c r="P164" s="243" t="e">
        <f t="shared" si="74"/>
        <v>#DIV/0!</v>
      </c>
      <c r="Q164" s="245"/>
      <c r="R164" s="244"/>
    </row>
    <row r="165" spans="1:18" ht="12.75">
      <c r="A165" s="74"/>
      <c r="B165" s="75"/>
      <c r="C165" s="76" t="s">
        <v>216</v>
      </c>
      <c r="D165" s="241">
        <f aca="true" t="shared" si="84" ref="D165:K165">D162+D153</f>
        <v>27401.5</v>
      </c>
      <c r="E165" s="241">
        <f t="shared" si="84"/>
        <v>14039.1</v>
      </c>
      <c r="F165" s="241">
        <f t="shared" si="84"/>
        <v>5656</v>
      </c>
      <c r="G165" s="241">
        <f t="shared" si="84"/>
        <v>8383.1</v>
      </c>
      <c r="H165" s="241">
        <f t="shared" si="84"/>
        <v>7735.900000000001</v>
      </c>
      <c r="I165" s="241">
        <f t="shared" si="84"/>
        <v>21775</v>
      </c>
      <c r="J165" s="241">
        <f t="shared" si="84"/>
        <v>5626.5</v>
      </c>
      <c r="K165" s="241">
        <f t="shared" si="84"/>
        <v>16192</v>
      </c>
      <c r="L165" s="239" t="e">
        <f>K165/#REF!*100</f>
        <v>#REF!</v>
      </c>
      <c r="M165" s="239">
        <f>K165/H165*100</f>
        <v>209.30984113031448</v>
      </c>
      <c r="N165" s="240"/>
      <c r="O165" s="250" t="e">
        <f>J165+#REF!+#REF!</f>
        <v>#REF!</v>
      </c>
      <c r="P165" s="247">
        <f t="shared" si="74"/>
        <v>287.7810361681329</v>
      </c>
      <c r="Q165" s="239">
        <f>K165*100/I165</f>
        <v>74.36050516647532</v>
      </c>
      <c r="R165" s="241">
        <f t="shared" si="73"/>
        <v>59.091655566301114</v>
      </c>
    </row>
    <row r="166" spans="1:18" ht="12.75">
      <c r="A166" s="192"/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4"/>
      <c r="N166" s="102"/>
      <c r="O166" s="102"/>
      <c r="P166" s="111"/>
      <c r="Q166" s="101"/>
      <c r="R166" s="77"/>
    </row>
    <row r="167" spans="1:18" ht="12.75">
      <c r="A167" s="191" t="s">
        <v>226</v>
      </c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01"/>
      <c r="R167" s="77"/>
    </row>
    <row r="168" spans="1:18" ht="12.75">
      <c r="A168" s="99" t="s">
        <v>178</v>
      </c>
      <c r="B168" s="99"/>
      <c r="C168" s="100" t="s">
        <v>179</v>
      </c>
      <c r="D168" s="239">
        <f aca="true" t="shared" si="85" ref="D168:K168">D169+D170+D171+D172+D173+D175+D177+D176+D174</f>
        <v>16610.5</v>
      </c>
      <c r="E168" s="239">
        <f t="shared" si="85"/>
        <v>7191</v>
      </c>
      <c r="F168" s="239">
        <f t="shared" si="85"/>
        <v>3017</v>
      </c>
      <c r="G168" s="239">
        <f t="shared" si="85"/>
        <v>4174</v>
      </c>
      <c r="H168" s="239">
        <f t="shared" si="85"/>
        <v>3030</v>
      </c>
      <c r="I168" s="239">
        <f t="shared" si="85"/>
        <v>10221</v>
      </c>
      <c r="J168" s="239">
        <f t="shared" si="85"/>
        <v>6389.5</v>
      </c>
      <c r="K168" s="239">
        <f t="shared" si="85"/>
        <v>9365.999999999998</v>
      </c>
      <c r="L168" s="239" t="e">
        <f>K168/#REF!*100</f>
        <v>#REF!</v>
      </c>
      <c r="M168" s="239">
        <f>K168/H168*100</f>
        <v>309.108910891089</v>
      </c>
      <c r="N168" s="240"/>
      <c r="O168" s="240"/>
      <c r="P168" s="239">
        <f t="shared" si="74"/>
        <v>146.58423976836994</v>
      </c>
      <c r="Q168" s="239">
        <f>K168*100/I168</f>
        <v>91.63486938655707</v>
      </c>
      <c r="R168" s="241">
        <f t="shared" si="73"/>
        <v>56.38602089040064</v>
      </c>
    </row>
    <row r="169" spans="1:18" ht="12.75">
      <c r="A169" s="74" t="s">
        <v>180</v>
      </c>
      <c r="B169" s="74"/>
      <c r="C169" s="103" t="s">
        <v>181</v>
      </c>
      <c r="D169" s="255">
        <f>F169+G169+H169+J169</f>
        <v>13512.7</v>
      </c>
      <c r="E169" s="242">
        <f aca="true" t="shared" si="86" ref="E169:E179">F169+G169</f>
        <v>5839.7</v>
      </c>
      <c r="F169" s="255">
        <v>2600</v>
      </c>
      <c r="G169" s="255">
        <v>3239.7</v>
      </c>
      <c r="H169" s="243">
        <v>2473</v>
      </c>
      <c r="I169" s="243">
        <f>E169+H169</f>
        <v>8312.7</v>
      </c>
      <c r="J169" s="244">
        <v>5200</v>
      </c>
      <c r="K169" s="244">
        <v>7668.2</v>
      </c>
      <c r="L169" s="245" t="e">
        <f>K169/#REF!*100</f>
        <v>#REF!</v>
      </c>
      <c r="M169" s="245">
        <f>K169/H169*100</f>
        <v>310.07682976142337</v>
      </c>
      <c r="N169" s="240"/>
      <c r="O169" s="240"/>
      <c r="P169" s="243">
        <f t="shared" si="74"/>
        <v>147.4653846153846</v>
      </c>
      <c r="Q169" s="239">
        <f aca="true" t="shared" si="87" ref="Q169:Q180">K169*100/I169</f>
        <v>92.24680308443706</v>
      </c>
      <c r="R169" s="244">
        <f t="shared" si="73"/>
        <v>56.74809623539337</v>
      </c>
    </row>
    <row r="170" spans="1:18" ht="12.75">
      <c r="A170" s="67" t="s">
        <v>182</v>
      </c>
      <c r="B170" s="67"/>
      <c r="C170" s="103" t="s">
        <v>183</v>
      </c>
      <c r="D170" s="255">
        <f aca="true" t="shared" si="88" ref="D170:D179">F170+G170+H170+J170</f>
        <v>0.3</v>
      </c>
      <c r="E170" s="242">
        <f t="shared" si="86"/>
        <v>0.3</v>
      </c>
      <c r="F170" s="255"/>
      <c r="G170" s="255">
        <v>0.3</v>
      </c>
      <c r="H170" s="243"/>
      <c r="I170" s="243">
        <f aca="true" t="shared" si="89" ref="I170:I179">E170+H170</f>
        <v>0.3</v>
      </c>
      <c r="J170" s="244"/>
      <c r="K170" s="244">
        <v>0.3</v>
      </c>
      <c r="L170" s="245"/>
      <c r="M170" s="245"/>
      <c r="N170" s="240"/>
      <c r="O170" s="240"/>
      <c r="P170" s="243" t="e">
        <f t="shared" si="74"/>
        <v>#DIV/0!</v>
      </c>
      <c r="Q170" s="239">
        <f t="shared" si="87"/>
        <v>100</v>
      </c>
      <c r="R170" s="244">
        <f t="shared" si="73"/>
        <v>100</v>
      </c>
    </row>
    <row r="171" spans="1:18" ht="12.75">
      <c r="A171" s="67" t="s">
        <v>184</v>
      </c>
      <c r="B171" s="67"/>
      <c r="C171" s="103" t="s">
        <v>185</v>
      </c>
      <c r="D171" s="255">
        <f t="shared" si="88"/>
        <v>1789</v>
      </c>
      <c r="E171" s="242">
        <f t="shared" si="86"/>
        <v>523</v>
      </c>
      <c r="F171" s="255">
        <v>154</v>
      </c>
      <c r="G171" s="255">
        <v>369</v>
      </c>
      <c r="H171" s="243">
        <v>404</v>
      </c>
      <c r="I171" s="243">
        <f t="shared" si="89"/>
        <v>927</v>
      </c>
      <c r="J171" s="244">
        <v>862</v>
      </c>
      <c r="K171" s="244">
        <v>483.9</v>
      </c>
      <c r="L171" s="245" t="e">
        <f>K171/#REF!*100</f>
        <v>#REF!</v>
      </c>
      <c r="M171" s="245">
        <f>K171/H171*100</f>
        <v>119.77722772277227</v>
      </c>
      <c r="N171" s="240"/>
      <c r="O171" s="240"/>
      <c r="P171" s="243">
        <f t="shared" si="74"/>
        <v>56.1368909512761</v>
      </c>
      <c r="Q171" s="239">
        <f t="shared" si="87"/>
        <v>52.200647249190936</v>
      </c>
      <c r="R171" s="244">
        <f t="shared" si="73"/>
        <v>27.04863051984349</v>
      </c>
    </row>
    <row r="172" spans="1:18" ht="12.75">
      <c r="A172" s="67" t="s">
        <v>186</v>
      </c>
      <c r="B172" s="67"/>
      <c r="C172" s="103" t="s">
        <v>187</v>
      </c>
      <c r="D172" s="255">
        <f t="shared" si="88"/>
        <v>189</v>
      </c>
      <c r="E172" s="242">
        <f t="shared" si="86"/>
        <v>100</v>
      </c>
      <c r="F172" s="255">
        <v>50</v>
      </c>
      <c r="G172" s="255">
        <v>50</v>
      </c>
      <c r="H172" s="243">
        <v>40</v>
      </c>
      <c r="I172" s="243">
        <f t="shared" si="89"/>
        <v>140</v>
      </c>
      <c r="J172" s="244">
        <v>49</v>
      </c>
      <c r="K172" s="244">
        <v>122.3</v>
      </c>
      <c r="L172" s="245" t="e">
        <f>K172/#REF!*100</f>
        <v>#REF!</v>
      </c>
      <c r="M172" s="245">
        <f>K172/H172*100</f>
        <v>305.75</v>
      </c>
      <c r="N172" s="240"/>
      <c r="O172" s="240"/>
      <c r="P172" s="243">
        <f t="shared" si="74"/>
        <v>249.59183673469389</v>
      </c>
      <c r="Q172" s="239">
        <f t="shared" si="87"/>
        <v>87.35714285714286</v>
      </c>
      <c r="R172" s="244">
        <f t="shared" si="73"/>
        <v>64.70899470899471</v>
      </c>
    </row>
    <row r="173" spans="1:18" ht="24">
      <c r="A173" s="68" t="s">
        <v>190</v>
      </c>
      <c r="B173" s="68"/>
      <c r="C173" s="103" t="s">
        <v>191</v>
      </c>
      <c r="D173" s="255">
        <f t="shared" si="88"/>
        <v>917.5</v>
      </c>
      <c r="E173" s="242">
        <f t="shared" si="86"/>
        <v>540</v>
      </c>
      <c r="F173" s="255">
        <v>130</v>
      </c>
      <c r="G173" s="255">
        <v>410</v>
      </c>
      <c r="H173" s="243">
        <v>110</v>
      </c>
      <c r="I173" s="243">
        <f t="shared" si="89"/>
        <v>650</v>
      </c>
      <c r="J173" s="244">
        <v>267.5</v>
      </c>
      <c r="K173" s="244">
        <v>863.5</v>
      </c>
      <c r="L173" s="245" t="e">
        <f>K173/#REF!*100</f>
        <v>#REF!</v>
      </c>
      <c r="M173" s="245">
        <f>K173/H173*100</f>
        <v>785</v>
      </c>
      <c r="N173" s="240"/>
      <c r="O173" s="240"/>
      <c r="P173" s="243">
        <f t="shared" si="74"/>
        <v>322.803738317757</v>
      </c>
      <c r="Q173" s="239">
        <f t="shared" si="87"/>
        <v>132.84615384615384</v>
      </c>
      <c r="R173" s="244">
        <f t="shared" si="73"/>
        <v>94.11444141689373</v>
      </c>
    </row>
    <row r="174" spans="1:18" ht="24">
      <c r="A174" s="105" t="s">
        <v>194</v>
      </c>
      <c r="B174" s="105"/>
      <c r="C174" s="103" t="s">
        <v>195</v>
      </c>
      <c r="D174" s="255">
        <f t="shared" si="88"/>
        <v>80</v>
      </c>
      <c r="E174" s="242">
        <f t="shared" si="86"/>
        <v>80</v>
      </c>
      <c r="F174" s="255">
        <v>80</v>
      </c>
      <c r="G174" s="255"/>
      <c r="H174" s="243"/>
      <c r="I174" s="243">
        <f t="shared" si="89"/>
        <v>80</v>
      </c>
      <c r="J174" s="244"/>
      <c r="K174" s="244">
        <v>78.8</v>
      </c>
      <c r="L174" s="245" t="e">
        <f>K174/#REF!*100</f>
        <v>#REF!</v>
      </c>
      <c r="M174" s="245" t="e">
        <f>K174/H174*100</f>
        <v>#DIV/0!</v>
      </c>
      <c r="N174" s="240"/>
      <c r="O174" s="240"/>
      <c r="P174" s="243" t="e">
        <f t="shared" si="74"/>
        <v>#DIV/0!</v>
      </c>
      <c r="Q174" s="239">
        <f t="shared" si="87"/>
        <v>98.5</v>
      </c>
      <c r="R174" s="244">
        <f t="shared" si="73"/>
        <v>98.5</v>
      </c>
    </row>
    <row r="175" spans="1:18" ht="24">
      <c r="A175" s="105" t="s">
        <v>196</v>
      </c>
      <c r="B175" s="105"/>
      <c r="C175" s="103" t="s">
        <v>197</v>
      </c>
      <c r="D175" s="255">
        <f t="shared" si="88"/>
        <v>122</v>
      </c>
      <c r="E175" s="242">
        <f t="shared" si="86"/>
        <v>108</v>
      </c>
      <c r="F175" s="255">
        <v>3</v>
      </c>
      <c r="G175" s="255">
        <v>105</v>
      </c>
      <c r="H175" s="243">
        <v>3</v>
      </c>
      <c r="I175" s="243">
        <f t="shared" si="89"/>
        <v>111</v>
      </c>
      <c r="J175" s="244">
        <v>11</v>
      </c>
      <c r="K175" s="244">
        <v>149</v>
      </c>
      <c r="L175" s="245" t="e">
        <f>K175/#REF!*100</f>
        <v>#REF!</v>
      </c>
      <c r="M175" s="245">
        <f>K175/H175*100</f>
        <v>4966.666666666666</v>
      </c>
      <c r="N175" s="240"/>
      <c r="O175" s="240"/>
      <c r="P175" s="243">
        <f t="shared" si="74"/>
        <v>1354.5454545454545</v>
      </c>
      <c r="Q175" s="239">
        <f t="shared" si="87"/>
        <v>134.23423423423424</v>
      </c>
      <c r="R175" s="244">
        <f t="shared" si="73"/>
        <v>122.1311475409836</v>
      </c>
    </row>
    <row r="176" spans="1:18" ht="12.75">
      <c r="A176" s="74" t="s">
        <v>200</v>
      </c>
      <c r="B176" s="74"/>
      <c r="C176" s="103" t="s">
        <v>201</v>
      </c>
      <c r="D176" s="255">
        <f t="shared" si="88"/>
        <v>0</v>
      </c>
      <c r="E176" s="242">
        <f t="shared" si="86"/>
        <v>0</v>
      </c>
      <c r="F176" s="255"/>
      <c r="G176" s="255"/>
      <c r="H176" s="243"/>
      <c r="I176" s="243">
        <f t="shared" si="89"/>
        <v>0</v>
      </c>
      <c r="J176" s="244"/>
      <c r="K176" s="244"/>
      <c r="L176" s="245" t="e">
        <f>K176/#REF!*100</f>
        <v>#REF!</v>
      </c>
      <c r="M176" s="245"/>
      <c r="N176" s="240"/>
      <c r="O176" s="240"/>
      <c r="P176" s="243" t="e">
        <f t="shared" si="74"/>
        <v>#DIV/0!</v>
      </c>
      <c r="Q176" s="239" t="e">
        <f t="shared" si="87"/>
        <v>#DIV/0!</v>
      </c>
      <c r="R176" s="244"/>
    </row>
    <row r="177" spans="1:18" ht="12.75">
      <c r="A177" s="115" t="s">
        <v>202</v>
      </c>
      <c r="B177" s="107"/>
      <c r="C177" s="71" t="s">
        <v>203</v>
      </c>
      <c r="D177" s="255">
        <f t="shared" si="88"/>
        <v>0</v>
      </c>
      <c r="E177" s="242">
        <f t="shared" si="86"/>
        <v>0</v>
      </c>
      <c r="F177" s="263"/>
      <c r="G177" s="263"/>
      <c r="H177" s="243"/>
      <c r="I177" s="243">
        <f t="shared" si="89"/>
        <v>0</v>
      </c>
      <c r="J177" s="244"/>
      <c r="K177" s="244">
        <v>0</v>
      </c>
      <c r="L177" s="245" t="e">
        <f>K177/#REF!*100</f>
        <v>#REF!</v>
      </c>
      <c r="M177" s="245"/>
      <c r="N177" s="240"/>
      <c r="O177" s="240"/>
      <c r="P177" s="243" t="e">
        <f t="shared" si="74"/>
        <v>#DIV/0!</v>
      </c>
      <c r="Q177" s="239" t="e">
        <f t="shared" si="87"/>
        <v>#DIV/0!</v>
      </c>
      <c r="R177" s="241"/>
    </row>
    <row r="178" spans="1:18" ht="12.75">
      <c r="A178" s="99" t="s">
        <v>206</v>
      </c>
      <c r="B178" s="99"/>
      <c r="C178" s="108" t="s">
        <v>207</v>
      </c>
      <c r="D178" s="247">
        <f aca="true" t="shared" si="90" ref="D178:K178">D179</f>
        <v>34856.1</v>
      </c>
      <c r="E178" s="247">
        <f t="shared" si="90"/>
        <v>19685</v>
      </c>
      <c r="F178" s="247">
        <f t="shared" si="90"/>
        <v>8757.1</v>
      </c>
      <c r="G178" s="247">
        <f t="shared" si="90"/>
        <v>10927.9</v>
      </c>
      <c r="H178" s="247">
        <f t="shared" si="90"/>
        <v>7618.4</v>
      </c>
      <c r="I178" s="247">
        <f t="shared" si="90"/>
        <v>27303.4</v>
      </c>
      <c r="J178" s="247">
        <f t="shared" si="90"/>
        <v>7552.7</v>
      </c>
      <c r="K178" s="247">
        <f t="shared" si="90"/>
        <v>22430.5</v>
      </c>
      <c r="L178" s="239" t="e">
        <f>K178/#REF!*100</f>
        <v>#REF!</v>
      </c>
      <c r="M178" s="239">
        <f>K178/H178*100</f>
        <v>294.42533865378556</v>
      </c>
      <c r="N178" s="240"/>
      <c r="O178" s="240"/>
      <c r="P178" s="247">
        <f t="shared" si="74"/>
        <v>296.98650813616325</v>
      </c>
      <c r="Q178" s="239">
        <f t="shared" si="87"/>
        <v>82.15277218221905</v>
      </c>
      <c r="R178" s="241">
        <f t="shared" si="73"/>
        <v>64.3517203588468</v>
      </c>
    </row>
    <row r="179" spans="1:18" ht="24">
      <c r="A179" s="69" t="s">
        <v>208</v>
      </c>
      <c r="B179" s="67"/>
      <c r="C179" s="109" t="s">
        <v>209</v>
      </c>
      <c r="D179" s="255">
        <f t="shared" si="88"/>
        <v>34856.1</v>
      </c>
      <c r="E179" s="242">
        <f t="shared" si="86"/>
        <v>19685</v>
      </c>
      <c r="F179" s="255">
        <v>8757.1</v>
      </c>
      <c r="G179" s="255">
        <v>10927.9</v>
      </c>
      <c r="H179" s="243">
        <f>7552.7+65.7</f>
        <v>7618.4</v>
      </c>
      <c r="I179" s="243">
        <f t="shared" si="89"/>
        <v>27303.4</v>
      </c>
      <c r="J179" s="244">
        <v>7552.7</v>
      </c>
      <c r="K179" s="244">
        <v>22430.5</v>
      </c>
      <c r="L179" s="245" t="e">
        <f>K179/#REF!*100</f>
        <v>#REF!</v>
      </c>
      <c r="M179" s="245">
        <f>K179/H179*100</f>
        <v>294.42533865378556</v>
      </c>
      <c r="N179" s="240"/>
      <c r="O179" s="240"/>
      <c r="P179" s="243">
        <f t="shared" si="74"/>
        <v>296.98650813616325</v>
      </c>
      <c r="Q179" s="239">
        <f t="shared" si="87"/>
        <v>82.15277218221905</v>
      </c>
      <c r="R179" s="244">
        <f t="shared" si="73"/>
        <v>64.3517203588468</v>
      </c>
    </row>
    <row r="180" spans="1:18" ht="12.75">
      <c r="A180" s="74"/>
      <c r="B180" s="75"/>
      <c r="C180" s="76" t="s">
        <v>216</v>
      </c>
      <c r="D180" s="241">
        <f aca="true" t="shared" si="91" ref="D180:K180">D178+D168</f>
        <v>51466.6</v>
      </c>
      <c r="E180" s="241">
        <f t="shared" si="91"/>
        <v>26876</v>
      </c>
      <c r="F180" s="241">
        <f t="shared" si="91"/>
        <v>11774.1</v>
      </c>
      <c r="G180" s="241">
        <f t="shared" si="91"/>
        <v>15101.9</v>
      </c>
      <c r="H180" s="241">
        <f t="shared" si="91"/>
        <v>10648.4</v>
      </c>
      <c r="I180" s="241">
        <f t="shared" si="91"/>
        <v>37524.4</v>
      </c>
      <c r="J180" s="241">
        <f t="shared" si="91"/>
        <v>13942.2</v>
      </c>
      <c r="K180" s="241">
        <f t="shared" si="91"/>
        <v>31796.5</v>
      </c>
      <c r="L180" s="239" t="e">
        <f>K180/#REF!*100</f>
        <v>#REF!</v>
      </c>
      <c r="M180" s="239">
        <f>K180/H180*100</f>
        <v>298.6035460726494</v>
      </c>
      <c r="N180" s="240"/>
      <c r="O180" s="250" t="e">
        <f>J180+#REF!+#REF!</f>
        <v>#REF!</v>
      </c>
      <c r="P180" s="247">
        <f t="shared" si="74"/>
        <v>228.05941673480513</v>
      </c>
      <c r="Q180" s="239">
        <f t="shared" si="87"/>
        <v>84.73553208045965</v>
      </c>
      <c r="R180" s="241">
        <f t="shared" si="73"/>
        <v>61.78084427570502</v>
      </c>
    </row>
    <row r="181" spans="1:18" ht="12.75">
      <c r="A181" s="192"/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4"/>
      <c r="N181" s="102"/>
      <c r="O181" s="102"/>
      <c r="P181" s="111"/>
      <c r="Q181" s="101"/>
      <c r="R181" s="77"/>
    </row>
    <row r="182" spans="1:18" ht="12.75">
      <c r="A182" s="191" t="s">
        <v>227</v>
      </c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01"/>
      <c r="R182" s="77"/>
    </row>
    <row r="183" spans="1:18" ht="12.75">
      <c r="A183" s="99" t="s">
        <v>178</v>
      </c>
      <c r="B183" s="99"/>
      <c r="C183" s="100" t="s">
        <v>179</v>
      </c>
      <c r="D183" s="239">
        <f aca="true" t="shared" si="92" ref="D183:K183">D184+D186+D188+D189+D187+D190+D191+D185</f>
        <v>1693.5</v>
      </c>
      <c r="E183" s="239">
        <f t="shared" si="92"/>
        <v>588</v>
      </c>
      <c r="F183" s="239">
        <f t="shared" si="92"/>
        <v>169</v>
      </c>
      <c r="G183" s="239">
        <f t="shared" si="92"/>
        <v>419</v>
      </c>
      <c r="H183" s="239">
        <f t="shared" si="92"/>
        <v>443</v>
      </c>
      <c r="I183" s="239">
        <f t="shared" si="92"/>
        <v>1031</v>
      </c>
      <c r="J183" s="239">
        <f t="shared" si="92"/>
        <v>662.5</v>
      </c>
      <c r="K183" s="239">
        <f t="shared" si="92"/>
        <v>772.4</v>
      </c>
      <c r="L183" s="239" t="e">
        <f>K183/#REF!*100</f>
        <v>#REF!</v>
      </c>
      <c r="M183" s="239">
        <f aca="true" t="shared" si="93" ref="M183:M189">K183/H183*100</f>
        <v>174.35665914221218</v>
      </c>
      <c r="N183" s="240"/>
      <c r="O183" s="240"/>
      <c r="P183" s="239">
        <f t="shared" si="74"/>
        <v>116.58867924528302</v>
      </c>
      <c r="Q183" s="239">
        <f>K183*100/I183</f>
        <v>74.91755577109602</v>
      </c>
      <c r="R183" s="241">
        <f t="shared" si="73"/>
        <v>45.609684086211985</v>
      </c>
    </row>
    <row r="184" spans="1:18" ht="12.75">
      <c r="A184" s="74" t="s">
        <v>180</v>
      </c>
      <c r="B184" s="74"/>
      <c r="C184" s="103" t="s">
        <v>181</v>
      </c>
      <c r="D184" s="255">
        <f>F184+G184+H184+J184</f>
        <v>1155</v>
      </c>
      <c r="E184" s="242">
        <f aca="true" t="shared" si="94" ref="E184:E193">F184+G184</f>
        <v>420</v>
      </c>
      <c r="F184" s="255">
        <v>120</v>
      </c>
      <c r="G184" s="255">
        <v>300</v>
      </c>
      <c r="H184" s="243">
        <v>270</v>
      </c>
      <c r="I184" s="243">
        <f>E184+H184</f>
        <v>690</v>
      </c>
      <c r="J184" s="243">
        <v>465</v>
      </c>
      <c r="K184" s="244">
        <v>612.1</v>
      </c>
      <c r="L184" s="245" t="e">
        <f>K184/#REF!*100</f>
        <v>#REF!</v>
      </c>
      <c r="M184" s="245">
        <f t="shared" si="93"/>
        <v>226.70370370370372</v>
      </c>
      <c r="N184" s="240"/>
      <c r="O184" s="240"/>
      <c r="P184" s="243">
        <f t="shared" si="74"/>
        <v>131.63440860215053</v>
      </c>
      <c r="Q184" s="239">
        <f aca="true" t="shared" si="95" ref="Q184:Q194">K184*100/I184</f>
        <v>88.71014492753623</v>
      </c>
      <c r="R184" s="244">
        <f t="shared" si="73"/>
        <v>52.995670995671</v>
      </c>
    </row>
    <row r="185" spans="1:18" ht="36">
      <c r="A185" s="67" t="s">
        <v>182</v>
      </c>
      <c r="B185" s="122" t="s">
        <v>228</v>
      </c>
      <c r="C185" s="103" t="s">
        <v>183</v>
      </c>
      <c r="D185" s="255">
        <f aca="true" t="shared" si="96" ref="D185:D193">F185+G185+H185+J185</f>
        <v>7.1</v>
      </c>
      <c r="E185" s="242">
        <f t="shared" si="94"/>
        <v>7.1</v>
      </c>
      <c r="F185" s="255">
        <v>16</v>
      </c>
      <c r="G185" s="255">
        <v>-8.9</v>
      </c>
      <c r="H185" s="243"/>
      <c r="I185" s="243">
        <f aca="true" t="shared" si="97" ref="I185:I190">E185+H185</f>
        <v>7.1</v>
      </c>
      <c r="J185" s="243"/>
      <c r="K185" s="244">
        <v>7.1</v>
      </c>
      <c r="L185" s="245" t="e">
        <f>K185/#REF!*100</f>
        <v>#REF!</v>
      </c>
      <c r="M185" s="245"/>
      <c r="N185" s="240"/>
      <c r="O185" s="240"/>
      <c r="P185" s="243" t="e">
        <f t="shared" si="74"/>
        <v>#DIV/0!</v>
      </c>
      <c r="Q185" s="239">
        <f t="shared" si="95"/>
        <v>100</v>
      </c>
      <c r="R185" s="244">
        <f t="shared" si="73"/>
        <v>100</v>
      </c>
    </row>
    <row r="186" spans="1:18" ht="12.75">
      <c r="A186" s="67" t="s">
        <v>184</v>
      </c>
      <c r="B186" s="67"/>
      <c r="C186" s="103" t="s">
        <v>185</v>
      </c>
      <c r="D186" s="255">
        <f t="shared" si="96"/>
        <v>106</v>
      </c>
      <c r="E186" s="242">
        <f t="shared" si="94"/>
        <v>14</v>
      </c>
      <c r="F186" s="255">
        <v>6.5</v>
      </c>
      <c r="G186" s="255">
        <v>7.5</v>
      </c>
      <c r="H186" s="243">
        <v>46</v>
      </c>
      <c r="I186" s="243">
        <f t="shared" si="97"/>
        <v>60</v>
      </c>
      <c r="J186" s="243">
        <v>46</v>
      </c>
      <c r="K186" s="244">
        <v>2.6</v>
      </c>
      <c r="L186" s="245" t="e">
        <f>K186/#REF!*100</f>
        <v>#REF!</v>
      </c>
      <c r="M186" s="245">
        <f t="shared" si="93"/>
        <v>5.6521739130434785</v>
      </c>
      <c r="N186" s="240"/>
      <c r="O186" s="240"/>
      <c r="P186" s="243">
        <f t="shared" si="74"/>
        <v>5.6521739130434785</v>
      </c>
      <c r="Q186" s="239">
        <f t="shared" si="95"/>
        <v>4.333333333333333</v>
      </c>
      <c r="R186" s="244">
        <f t="shared" si="73"/>
        <v>2.452830188679245</v>
      </c>
    </row>
    <row r="187" spans="1:18" ht="12.75">
      <c r="A187" s="67" t="s">
        <v>186</v>
      </c>
      <c r="B187" s="67"/>
      <c r="C187" s="103" t="s">
        <v>187</v>
      </c>
      <c r="D187" s="255">
        <f t="shared" si="96"/>
        <v>28</v>
      </c>
      <c r="E187" s="242">
        <f t="shared" si="94"/>
        <v>9</v>
      </c>
      <c r="F187" s="255">
        <v>3</v>
      </c>
      <c r="G187" s="255">
        <v>6</v>
      </c>
      <c r="H187" s="243">
        <v>7</v>
      </c>
      <c r="I187" s="243">
        <f t="shared" si="97"/>
        <v>16</v>
      </c>
      <c r="J187" s="243">
        <v>12</v>
      </c>
      <c r="K187" s="244">
        <v>12.4</v>
      </c>
      <c r="L187" s="245" t="e">
        <f>K187/#REF!*100</f>
        <v>#REF!</v>
      </c>
      <c r="M187" s="245">
        <f t="shared" si="93"/>
        <v>177.14285714285717</v>
      </c>
      <c r="N187" s="240"/>
      <c r="O187" s="240"/>
      <c r="P187" s="243">
        <f t="shared" si="74"/>
        <v>103.33333333333333</v>
      </c>
      <c r="Q187" s="239">
        <f t="shared" si="95"/>
        <v>77.5</v>
      </c>
      <c r="R187" s="244">
        <f t="shared" si="73"/>
        <v>44.285714285714285</v>
      </c>
    </row>
    <row r="188" spans="1:18" ht="24">
      <c r="A188" s="68" t="s">
        <v>190</v>
      </c>
      <c r="B188" s="68"/>
      <c r="C188" s="103" t="s">
        <v>191</v>
      </c>
      <c r="D188" s="255">
        <f t="shared" si="96"/>
        <v>386.4</v>
      </c>
      <c r="E188" s="242">
        <f t="shared" si="94"/>
        <v>127.9</v>
      </c>
      <c r="F188" s="255">
        <v>23.5</v>
      </c>
      <c r="G188" s="255">
        <v>104.4</v>
      </c>
      <c r="H188" s="243">
        <v>119</v>
      </c>
      <c r="I188" s="243">
        <f t="shared" si="97"/>
        <v>246.9</v>
      </c>
      <c r="J188" s="243">
        <v>139.5</v>
      </c>
      <c r="K188" s="244">
        <v>126.8</v>
      </c>
      <c r="L188" s="245" t="e">
        <f>K188/#REF!*100</f>
        <v>#REF!</v>
      </c>
      <c r="M188" s="245">
        <f t="shared" si="93"/>
        <v>106.5546218487395</v>
      </c>
      <c r="N188" s="240"/>
      <c r="O188" s="240"/>
      <c r="P188" s="243">
        <f t="shared" si="74"/>
        <v>90.89605734767025</v>
      </c>
      <c r="Q188" s="239">
        <f t="shared" si="95"/>
        <v>51.35682462535439</v>
      </c>
      <c r="R188" s="244">
        <f t="shared" si="73"/>
        <v>32.815734989648035</v>
      </c>
    </row>
    <row r="189" spans="1:18" ht="24">
      <c r="A189" s="104" t="s">
        <v>196</v>
      </c>
      <c r="B189" s="104"/>
      <c r="C189" s="103" t="s">
        <v>197</v>
      </c>
      <c r="D189" s="255">
        <f t="shared" si="96"/>
        <v>1</v>
      </c>
      <c r="E189" s="242">
        <f t="shared" si="94"/>
        <v>0</v>
      </c>
      <c r="F189" s="255"/>
      <c r="G189" s="255"/>
      <c r="H189" s="243">
        <v>1</v>
      </c>
      <c r="I189" s="243">
        <f t="shared" si="97"/>
        <v>1</v>
      </c>
      <c r="J189" s="243"/>
      <c r="K189" s="244">
        <v>0.6</v>
      </c>
      <c r="L189" s="245" t="e">
        <f>K189/#REF!*100</f>
        <v>#REF!</v>
      </c>
      <c r="M189" s="245">
        <f t="shared" si="93"/>
        <v>60</v>
      </c>
      <c r="N189" s="240"/>
      <c r="O189" s="240"/>
      <c r="P189" s="243" t="e">
        <f t="shared" si="74"/>
        <v>#DIV/0!</v>
      </c>
      <c r="Q189" s="239">
        <f t="shared" si="95"/>
        <v>60</v>
      </c>
      <c r="R189" s="244">
        <f t="shared" si="73"/>
        <v>60</v>
      </c>
    </row>
    <row r="190" spans="1:18" ht="12.75">
      <c r="A190" s="104" t="s">
        <v>200</v>
      </c>
      <c r="B190" s="121"/>
      <c r="C190" s="103" t="s">
        <v>201</v>
      </c>
      <c r="D190" s="255">
        <f t="shared" si="96"/>
        <v>10</v>
      </c>
      <c r="E190" s="242">
        <f t="shared" si="94"/>
        <v>10</v>
      </c>
      <c r="F190" s="255"/>
      <c r="G190" s="255">
        <v>10</v>
      </c>
      <c r="H190" s="243"/>
      <c r="I190" s="243">
        <f t="shared" si="97"/>
        <v>10</v>
      </c>
      <c r="J190" s="243"/>
      <c r="K190" s="244">
        <v>10</v>
      </c>
      <c r="L190" s="245" t="e">
        <f>K190/#REF!*100</f>
        <v>#REF!</v>
      </c>
      <c r="M190" s="245"/>
      <c r="N190" s="240"/>
      <c r="O190" s="240"/>
      <c r="P190" s="243" t="e">
        <f t="shared" si="74"/>
        <v>#DIV/0!</v>
      </c>
      <c r="Q190" s="239">
        <f t="shared" si="95"/>
        <v>100</v>
      </c>
      <c r="R190" s="244">
        <f>K190*100/D190</f>
        <v>100</v>
      </c>
    </row>
    <row r="191" spans="1:18" ht="12.75">
      <c r="A191" s="115" t="s">
        <v>202</v>
      </c>
      <c r="B191" s="107"/>
      <c r="C191" s="71" t="s">
        <v>203</v>
      </c>
      <c r="D191" s="255">
        <f t="shared" si="96"/>
        <v>0</v>
      </c>
      <c r="E191" s="242">
        <f t="shared" si="94"/>
        <v>0</v>
      </c>
      <c r="F191" s="255"/>
      <c r="G191" s="255"/>
      <c r="H191" s="243"/>
      <c r="I191" s="243"/>
      <c r="J191" s="243"/>
      <c r="K191" s="244">
        <v>0.8</v>
      </c>
      <c r="L191" s="245" t="e">
        <f>K191/#REF!*100</f>
        <v>#REF!</v>
      </c>
      <c r="M191" s="245"/>
      <c r="N191" s="240"/>
      <c r="O191" s="240"/>
      <c r="P191" s="243" t="e">
        <f t="shared" si="74"/>
        <v>#DIV/0!</v>
      </c>
      <c r="Q191" s="239"/>
      <c r="R191" s="244"/>
    </row>
    <row r="192" spans="1:18" ht="12.75">
      <c r="A192" s="99" t="s">
        <v>206</v>
      </c>
      <c r="B192" s="99"/>
      <c r="C192" s="108" t="s">
        <v>207</v>
      </c>
      <c r="D192" s="246">
        <f aca="true" t="shared" si="98" ref="D192:K192">D193</f>
        <v>24721.2</v>
      </c>
      <c r="E192" s="246">
        <f t="shared" si="98"/>
        <v>11263.5</v>
      </c>
      <c r="F192" s="246">
        <f t="shared" si="98"/>
        <v>5288.7</v>
      </c>
      <c r="G192" s="246">
        <f t="shared" si="98"/>
        <v>5974.799999999999</v>
      </c>
      <c r="H192" s="246">
        <f t="shared" si="98"/>
        <v>8656.5</v>
      </c>
      <c r="I192" s="246">
        <f t="shared" si="98"/>
        <v>19920</v>
      </c>
      <c r="J192" s="246">
        <f t="shared" si="98"/>
        <v>4801.2</v>
      </c>
      <c r="K192" s="246">
        <f t="shared" si="98"/>
        <v>13726.4</v>
      </c>
      <c r="L192" s="239" t="e">
        <f>K192/#REF!*100</f>
        <v>#REF!</v>
      </c>
      <c r="M192" s="239">
        <f>K192/H192*100</f>
        <v>158.56755039565644</v>
      </c>
      <c r="N192" s="240"/>
      <c r="O192" s="240"/>
      <c r="P192" s="247">
        <f t="shared" si="74"/>
        <v>285.89519286844956</v>
      </c>
      <c r="Q192" s="239">
        <f t="shared" si="95"/>
        <v>68.90763052208835</v>
      </c>
      <c r="R192" s="241">
        <f t="shared" si="73"/>
        <v>55.52481271135705</v>
      </c>
    </row>
    <row r="193" spans="1:18" ht="24">
      <c r="A193" s="69" t="s">
        <v>208</v>
      </c>
      <c r="B193" s="67"/>
      <c r="C193" s="109" t="s">
        <v>209</v>
      </c>
      <c r="D193" s="255">
        <f t="shared" si="96"/>
        <v>24721.2</v>
      </c>
      <c r="E193" s="242">
        <f t="shared" si="94"/>
        <v>11263.5</v>
      </c>
      <c r="F193" s="255">
        <f>4207+1081.7</f>
        <v>5288.7</v>
      </c>
      <c r="G193" s="255">
        <f>5569+3.5+197.9+204.4</f>
        <v>5974.799999999999</v>
      </c>
      <c r="H193" s="243">
        <f>6714.1+1942.4</f>
        <v>8656.5</v>
      </c>
      <c r="I193" s="243">
        <f>E193+H193</f>
        <v>19920</v>
      </c>
      <c r="J193" s="243">
        <v>4801.2</v>
      </c>
      <c r="K193" s="244">
        <v>13726.4</v>
      </c>
      <c r="L193" s="245" t="e">
        <f>K193/#REF!*100</f>
        <v>#REF!</v>
      </c>
      <c r="M193" s="245">
        <f>K193/H193*100</f>
        <v>158.56755039565644</v>
      </c>
      <c r="N193" s="240"/>
      <c r="O193" s="240"/>
      <c r="P193" s="243">
        <f t="shared" si="74"/>
        <v>285.89519286844956</v>
      </c>
      <c r="Q193" s="239">
        <f t="shared" si="95"/>
        <v>68.90763052208835</v>
      </c>
      <c r="R193" s="244">
        <f t="shared" si="73"/>
        <v>55.52481271135705</v>
      </c>
    </row>
    <row r="194" spans="1:18" ht="12.75">
      <c r="A194" s="74"/>
      <c r="B194" s="75"/>
      <c r="C194" s="76" t="s">
        <v>216</v>
      </c>
      <c r="D194" s="241">
        <f aca="true" t="shared" si="99" ref="D194:K194">D192+D183</f>
        <v>26414.7</v>
      </c>
      <c r="E194" s="241">
        <f t="shared" si="99"/>
        <v>11851.5</v>
      </c>
      <c r="F194" s="247">
        <f t="shared" si="99"/>
        <v>5457.7</v>
      </c>
      <c r="G194" s="247">
        <f t="shared" si="99"/>
        <v>6393.799999999999</v>
      </c>
      <c r="H194" s="247">
        <f t="shared" si="99"/>
        <v>9099.5</v>
      </c>
      <c r="I194" s="247">
        <f t="shared" si="99"/>
        <v>20951</v>
      </c>
      <c r="J194" s="247">
        <f t="shared" si="99"/>
        <v>5463.7</v>
      </c>
      <c r="K194" s="241">
        <f t="shared" si="99"/>
        <v>14498.8</v>
      </c>
      <c r="L194" s="239" t="e">
        <f>K194/#REF!*100</f>
        <v>#REF!</v>
      </c>
      <c r="M194" s="239">
        <f>K194/H194*100</f>
        <v>159.33622726523436</v>
      </c>
      <c r="N194" s="240"/>
      <c r="O194" s="250" t="e">
        <f>J194+#REF!+#REF!</f>
        <v>#REF!</v>
      </c>
      <c r="P194" s="247">
        <f t="shared" si="74"/>
        <v>265.3659607957977</v>
      </c>
      <c r="Q194" s="239">
        <f t="shared" si="95"/>
        <v>69.20337931363657</v>
      </c>
      <c r="R194" s="241">
        <f t="shared" si="73"/>
        <v>54.889133702067404</v>
      </c>
    </row>
    <row r="195" spans="1:18" ht="12.75">
      <c r="A195" s="192"/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4"/>
      <c r="N195" s="102"/>
      <c r="O195" s="102"/>
      <c r="P195" s="111"/>
      <c r="Q195" s="101"/>
      <c r="R195" s="77"/>
    </row>
    <row r="196" spans="1:18" ht="12.75">
      <c r="A196" s="206" t="s">
        <v>229</v>
      </c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8"/>
    </row>
    <row r="197" spans="1:18" ht="12.75">
      <c r="A197" s="99" t="s">
        <v>178</v>
      </c>
      <c r="B197" s="123"/>
      <c r="C197" s="100" t="s">
        <v>179</v>
      </c>
      <c r="D197" s="239">
        <f aca="true" t="shared" si="100" ref="D197:K197">D198+D200+D201+D202+D204+D205+D207+D209+D206+D203+D210+D208+D199</f>
        <v>1007074.2</v>
      </c>
      <c r="E197" s="239">
        <f t="shared" si="100"/>
        <v>502084.9</v>
      </c>
      <c r="F197" s="239">
        <f t="shared" si="100"/>
        <v>239675.40000000002</v>
      </c>
      <c r="G197" s="239">
        <f t="shared" si="100"/>
        <v>262409.5</v>
      </c>
      <c r="H197" s="239">
        <f t="shared" si="100"/>
        <v>236018.80000000005</v>
      </c>
      <c r="I197" s="239">
        <f t="shared" si="100"/>
        <v>738103.7000000001</v>
      </c>
      <c r="J197" s="239">
        <f t="shared" si="100"/>
        <v>268970.5</v>
      </c>
      <c r="K197" s="239">
        <f t="shared" si="100"/>
        <v>606509.2000000001</v>
      </c>
      <c r="L197" s="239" t="e">
        <f>K197/#REF!*100</f>
        <v>#REF!</v>
      </c>
      <c r="M197" s="239">
        <f aca="true" t="shared" si="101" ref="M197:M208">K197/H197*100</f>
        <v>256.97495284273964</v>
      </c>
      <c r="N197" s="240"/>
      <c r="O197" s="240"/>
      <c r="P197" s="239">
        <f t="shared" si="74"/>
        <v>225.4928328571349</v>
      </c>
      <c r="Q197" s="239">
        <f>K197*100/I197</f>
        <v>82.1712721396736</v>
      </c>
      <c r="R197" s="241">
        <f t="shared" si="73"/>
        <v>60.22487717389643</v>
      </c>
    </row>
    <row r="198" spans="1:18" ht="36">
      <c r="A198" s="74" t="s">
        <v>180</v>
      </c>
      <c r="B198" s="124" t="s">
        <v>230</v>
      </c>
      <c r="C198" s="103" t="s">
        <v>181</v>
      </c>
      <c r="D198" s="255">
        <f>F198+G198+H198+J198</f>
        <v>782699.8</v>
      </c>
      <c r="E198" s="242">
        <f aca="true" t="shared" si="102" ref="E198:E214">F198+G198</f>
        <v>382277.80000000005</v>
      </c>
      <c r="F198" s="244">
        <f>F9+F31+F45+F61+F77+F94+F108+F123+F138+F154+F169+F184</f>
        <v>180524.7</v>
      </c>
      <c r="G198" s="244">
        <f>G9+G31+G45+G61+G77+G94+G108+G123+G138+G154+G169+G184</f>
        <v>201753.1</v>
      </c>
      <c r="H198" s="244">
        <f>H9+H31+H45+H61+H77+H94+H108+H123+H138+H154+H169+H184</f>
        <v>184993.90000000002</v>
      </c>
      <c r="I198" s="244">
        <f>H198+E198</f>
        <v>567271.7000000001</v>
      </c>
      <c r="J198" s="244">
        <f>J9+J31+J45+J61+J77+J94+J108+J123+J138+J154+J169+J184</f>
        <v>215428.1</v>
      </c>
      <c r="K198" s="244">
        <f>K9+K31+K45+K61+K77+K94+K108+K123+K138+K154+K169+K184</f>
        <v>457599.5</v>
      </c>
      <c r="L198" s="245" t="e">
        <f>K198/#REF!*100</f>
        <v>#REF!</v>
      </c>
      <c r="M198" s="245">
        <f t="shared" si="101"/>
        <v>247.3592372505255</v>
      </c>
      <c r="N198" s="240"/>
      <c r="O198" s="240"/>
      <c r="P198" s="243">
        <f t="shared" si="74"/>
        <v>212.4140258397117</v>
      </c>
      <c r="Q198" s="239">
        <f aca="true" t="shared" si="103" ref="Q198:Q215">K198*100/I198</f>
        <v>80.66672460480576</v>
      </c>
      <c r="R198" s="244">
        <f t="shared" si="73"/>
        <v>58.464241334928154</v>
      </c>
    </row>
    <row r="199" spans="1:18" ht="12.75">
      <c r="A199" s="67" t="s">
        <v>280</v>
      </c>
      <c r="B199" s="67"/>
      <c r="C199" s="103" t="s">
        <v>281</v>
      </c>
      <c r="D199" s="255">
        <f aca="true" t="shared" si="104" ref="D199:D214">F199+G199+H199+J199</f>
        <v>40154.200000000004</v>
      </c>
      <c r="E199" s="242">
        <f t="shared" si="102"/>
        <v>18807.4</v>
      </c>
      <c r="F199" s="244">
        <f aca="true" t="shared" si="105" ref="F199:P199">F10</f>
        <v>8828.2</v>
      </c>
      <c r="G199" s="244">
        <f t="shared" si="105"/>
        <v>9979.2</v>
      </c>
      <c r="H199" s="244">
        <f t="shared" si="105"/>
        <v>9979.2</v>
      </c>
      <c r="I199" s="244">
        <f aca="true" t="shared" si="106" ref="I199:I210">H199+E199</f>
        <v>28786.600000000002</v>
      </c>
      <c r="J199" s="244">
        <f t="shared" si="105"/>
        <v>11367.6</v>
      </c>
      <c r="K199" s="244">
        <f>K10</f>
        <v>18838.9</v>
      </c>
      <c r="L199" s="244">
        <f t="shared" si="105"/>
        <v>0</v>
      </c>
      <c r="M199" s="244">
        <f t="shared" si="105"/>
        <v>0</v>
      </c>
      <c r="N199" s="244">
        <f t="shared" si="105"/>
        <v>0</v>
      </c>
      <c r="O199" s="244">
        <f t="shared" si="105"/>
        <v>0</v>
      </c>
      <c r="P199" s="244">
        <f t="shared" si="105"/>
        <v>0</v>
      </c>
      <c r="Q199" s="239">
        <f t="shared" si="103"/>
        <v>65.44329653380393</v>
      </c>
      <c r="R199" s="244">
        <f t="shared" si="73"/>
        <v>46.916387326854974</v>
      </c>
    </row>
    <row r="200" spans="1:18" ht="36">
      <c r="A200" s="67" t="s">
        <v>182</v>
      </c>
      <c r="B200" s="122" t="s">
        <v>228</v>
      </c>
      <c r="C200" s="103" t="s">
        <v>183</v>
      </c>
      <c r="D200" s="255">
        <f t="shared" si="104"/>
        <v>34234.7</v>
      </c>
      <c r="E200" s="242">
        <f t="shared" si="102"/>
        <v>17059.299999999996</v>
      </c>
      <c r="F200" s="244">
        <f>F11+F46+F62+F185+F139+F109+F170</f>
        <v>8556</v>
      </c>
      <c r="G200" s="244">
        <f>G11+G46+G62+G185+G139+G109+G170</f>
        <v>8503.299999999997</v>
      </c>
      <c r="H200" s="244">
        <f>H11+H46+H62+H185+H139+H109+H170</f>
        <v>8540.3</v>
      </c>
      <c r="I200" s="244">
        <f t="shared" si="106"/>
        <v>25599.599999999995</v>
      </c>
      <c r="J200" s="244">
        <f>J11+J46+J62+J185+J139+J109+J170</f>
        <v>8635.099999999999</v>
      </c>
      <c r="K200" s="244">
        <f>K11+K46+K62+K185+K139+K109+K170</f>
        <v>23993.899999999998</v>
      </c>
      <c r="L200" s="245" t="e">
        <f>K200/#REF!*100</f>
        <v>#REF!</v>
      </c>
      <c r="M200" s="245">
        <f t="shared" si="101"/>
        <v>280.9491469854689</v>
      </c>
      <c r="N200" s="240"/>
      <c r="O200" s="240"/>
      <c r="P200" s="243">
        <f t="shared" si="74"/>
        <v>277.8647612650694</v>
      </c>
      <c r="Q200" s="239">
        <f t="shared" si="103"/>
        <v>93.72763636931829</v>
      </c>
      <c r="R200" s="244">
        <f t="shared" si="73"/>
        <v>70.08649119168564</v>
      </c>
    </row>
    <row r="201" spans="1:18" ht="36">
      <c r="A201" s="67" t="s">
        <v>184</v>
      </c>
      <c r="B201" s="122" t="s">
        <v>231</v>
      </c>
      <c r="C201" s="103" t="s">
        <v>185</v>
      </c>
      <c r="D201" s="255">
        <f t="shared" si="104"/>
        <v>17932</v>
      </c>
      <c r="E201" s="242">
        <f t="shared" si="102"/>
        <v>7934.400000000001</v>
      </c>
      <c r="F201" s="244">
        <f>F12+F32+F47+F63+F79+F95+F110+F124+F140+F155+F171+F186</f>
        <v>3849.9000000000005</v>
      </c>
      <c r="G201" s="244">
        <f>G12+G32+G47+G63+G79+G95+G110+G124+G140+G155+G171+G186+0.1</f>
        <v>4084.5</v>
      </c>
      <c r="H201" s="244">
        <f>H12+H32+H47+H63+H79+H95+H110+H124+H140+H155+H171+H186</f>
        <v>4375.200000000001</v>
      </c>
      <c r="I201" s="244">
        <f t="shared" si="106"/>
        <v>12309.600000000002</v>
      </c>
      <c r="J201" s="244">
        <f>J12+J32+J47+J63+J79+J95+J110+J124+J140+J155+J171+J186-0.1</f>
        <v>5622.399999999999</v>
      </c>
      <c r="K201" s="244">
        <f>K12+K32+K47+K63+K79+K95+K110+K124+K140+K155+K171+K186</f>
        <v>8393.6</v>
      </c>
      <c r="L201" s="245" t="e">
        <f>K201/#REF!*100</f>
        <v>#REF!</v>
      </c>
      <c r="M201" s="245">
        <f t="shared" si="101"/>
        <v>191.84494423112085</v>
      </c>
      <c r="N201" s="240"/>
      <c r="O201" s="240"/>
      <c r="P201" s="243">
        <f t="shared" si="74"/>
        <v>149.2885600455322</v>
      </c>
      <c r="Q201" s="239">
        <f t="shared" si="103"/>
        <v>68.18743094820302</v>
      </c>
      <c r="R201" s="244">
        <f t="shared" si="73"/>
        <v>46.80794111086326</v>
      </c>
    </row>
    <row r="202" spans="1:18" ht="36">
      <c r="A202" s="67" t="s">
        <v>186</v>
      </c>
      <c r="B202" s="122" t="s">
        <v>232</v>
      </c>
      <c r="C202" s="103" t="s">
        <v>187</v>
      </c>
      <c r="D202" s="255">
        <f t="shared" si="104"/>
        <v>3741.0000000000005</v>
      </c>
      <c r="E202" s="242">
        <f t="shared" si="102"/>
        <v>1931.2000000000003</v>
      </c>
      <c r="F202" s="244">
        <f>F13+F33+F64+F80+F96+F111+F125+F141+F156+F172+F187</f>
        <v>849.8000000000001</v>
      </c>
      <c r="G202" s="244">
        <f>G13+G33+G64+G80+G96+G111+G125+G141+G156+G172+G187</f>
        <v>1081.4</v>
      </c>
      <c r="H202" s="244">
        <f>H13+H33+H64+H80+H96+H111+H125+H141+H156+H172+H187</f>
        <v>1062.2</v>
      </c>
      <c r="I202" s="244">
        <f t="shared" si="106"/>
        <v>2993.4000000000005</v>
      </c>
      <c r="J202" s="244">
        <f>J13+J33+J64+J80+J96+J111+J125+J141+J156+J172+J187</f>
        <v>747.5999999999999</v>
      </c>
      <c r="K202" s="244">
        <f>K13+K33+K48+K64+K80+K96+K111+K125+K141+K156+K172+K187</f>
        <v>2602.6000000000004</v>
      </c>
      <c r="L202" s="245" t="e">
        <f>K202/#REF!*100</f>
        <v>#REF!</v>
      </c>
      <c r="M202" s="245">
        <f t="shared" si="101"/>
        <v>245.01977028808136</v>
      </c>
      <c r="N202" s="240"/>
      <c r="O202" s="240"/>
      <c r="P202" s="243">
        <f t="shared" si="74"/>
        <v>348.12734082397014</v>
      </c>
      <c r="Q202" s="239">
        <f t="shared" si="103"/>
        <v>86.94461147858621</v>
      </c>
      <c r="R202" s="244">
        <f t="shared" si="73"/>
        <v>69.56963378775728</v>
      </c>
    </row>
    <row r="203" spans="1:18" ht="24">
      <c r="A203" s="67" t="s">
        <v>188</v>
      </c>
      <c r="B203" s="122" t="s">
        <v>233</v>
      </c>
      <c r="C203" s="103" t="s">
        <v>189</v>
      </c>
      <c r="D203" s="255">
        <f t="shared" si="104"/>
        <v>0</v>
      </c>
      <c r="E203" s="242">
        <f t="shared" si="102"/>
        <v>0</v>
      </c>
      <c r="F203" s="265">
        <f>F14</f>
        <v>0</v>
      </c>
      <c r="G203" s="265">
        <f>G14</f>
        <v>0</v>
      </c>
      <c r="H203" s="265">
        <f>H14</f>
        <v>0</v>
      </c>
      <c r="I203" s="244">
        <f t="shared" si="106"/>
        <v>0</v>
      </c>
      <c r="J203" s="265">
        <f>J14</f>
        <v>0</v>
      </c>
      <c r="K203" s="265">
        <f>K14</f>
        <v>0</v>
      </c>
      <c r="L203" s="245" t="e">
        <f>K203/#REF!*100</f>
        <v>#REF!</v>
      </c>
      <c r="M203" s="245"/>
      <c r="N203" s="240"/>
      <c r="O203" s="240"/>
      <c r="P203" s="243" t="e">
        <f t="shared" si="74"/>
        <v>#DIV/0!</v>
      </c>
      <c r="Q203" s="239" t="e">
        <f t="shared" si="103"/>
        <v>#DIV/0!</v>
      </c>
      <c r="R203" s="244"/>
    </row>
    <row r="204" spans="1:18" ht="36">
      <c r="A204" s="68" t="s">
        <v>190</v>
      </c>
      <c r="B204" s="125" t="s">
        <v>234</v>
      </c>
      <c r="C204" s="103" t="s">
        <v>191</v>
      </c>
      <c r="D204" s="255">
        <f t="shared" si="104"/>
        <v>83335.9</v>
      </c>
      <c r="E204" s="242">
        <f t="shared" si="102"/>
        <v>42191.600000000006</v>
      </c>
      <c r="F204" s="244">
        <f>F15+F34+F49+F65+F81+F97+F112+F126+F142+F157+F173+F188</f>
        <v>19825.5</v>
      </c>
      <c r="G204" s="244">
        <f>G15+G34+G49+G65+G81+G97+G112+G126+G142+G157+G173+G188</f>
        <v>22366.100000000002</v>
      </c>
      <c r="H204" s="244">
        <f>H15+H34+H49+H65+H81+H97+H112+H126+H142+H157+H173+H188</f>
        <v>20666.5</v>
      </c>
      <c r="I204" s="244">
        <f t="shared" si="106"/>
        <v>62858.100000000006</v>
      </c>
      <c r="J204" s="244">
        <f>J15+J34+J49+J65+J81+J97+J112+J126+J142+J157+J173+J188</f>
        <v>20477.799999999996</v>
      </c>
      <c r="K204" s="244">
        <f>K15+K34+K49+K65+K81+K97+K112+K126+K142+K157+K173+K188+0.1</f>
        <v>53496.899999999994</v>
      </c>
      <c r="L204" s="245" t="e">
        <f>K204/#REF!*100</f>
        <v>#REF!</v>
      </c>
      <c r="M204" s="245">
        <f t="shared" si="101"/>
        <v>258.85805530689765</v>
      </c>
      <c r="N204" s="240"/>
      <c r="O204" s="240"/>
      <c r="P204" s="243">
        <f t="shared" si="74"/>
        <v>261.24339528660306</v>
      </c>
      <c r="Q204" s="239">
        <f t="shared" si="103"/>
        <v>85.10740859173279</v>
      </c>
      <c r="R204" s="244">
        <f aca="true" t="shared" si="107" ref="R204:R215">K204*100/D204</f>
        <v>64.19430281547328</v>
      </c>
    </row>
    <row r="205" spans="1:18" ht="12.75">
      <c r="A205" s="104" t="s">
        <v>192</v>
      </c>
      <c r="B205" s="126" t="s">
        <v>235</v>
      </c>
      <c r="C205" s="103" t="s">
        <v>193</v>
      </c>
      <c r="D205" s="255">
        <f t="shared" si="104"/>
        <v>16480.7</v>
      </c>
      <c r="E205" s="242">
        <f t="shared" si="102"/>
        <v>12316.6</v>
      </c>
      <c r="F205" s="244">
        <f>F16</f>
        <v>10236.2</v>
      </c>
      <c r="G205" s="244">
        <f>G16</f>
        <v>2080.4</v>
      </c>
      <c r="H205" s="244">
        <f>H16</f>
        <v>2080.4</v>
      </c>
      <c r="I205" s="244">
        <f t="shared" si="106"/>
        <v>14397</v>
      </c>
      <c r="J205" s="244">
        <f>J16</f>
        <v>2083.7</v>
      </c>
      <c r="K205" s="244">
        <f>K16</f>
        <v>13681</v>
      </c>
      <c r="L205" s="245" t="e">
        <f>K205/#REF!*100</f>
        <v>#REF!</v>
      </c>
      <c r="M205" s="245">
        <f t="shared" si="101"/>
        <v>657.613920399923</v>
      </c>
      <c r="N205" s="240"/>
      <c r="O205" s="240"/>
      <c r="P205" s="243">
        <f t="shared" si="74"/>
        <v>656.572443249988</v>
      </c>
      <c r="Q205" s="239">
        <f t="shared" si="103"/>
        <v>95.02674168229493</v>
      </c>
      <c r="R205" s="244">
        <f t="shared" si="107"/>
        <v>83.01225069323512</v>
      </c>
    </row>
    <row r="206" spans="1:18" ht="24">
      <c r="A206" s="105" t="s">
        <v>194</v>
      </c>
      <c r="B206" s="127" t="s">
        <v>236</v>
      </c>
      <c r="C206" s="103" t="s">
        <v>195</v>
      </c>
      <c r="D206" s="255">
        <f t="shared" si="104"/>
        <v>7774.5</v>
      </c>
      <c r="E206" s="242">
        <f t="shared" si="102"/>
        <v>5379.599999999999</v>
      </c>
      <c r="F206" s="266">
        <f>F17+F82+F98+F127+F143+F158+F174+F113+F66+F35</f>
        <v>2787.6</v>
      </c>
      <c r="G206" s="266">
        <f>G17+G82+G98+G127+G143+G158+G174+G113+G66+G35</f>
        <v>2591.9999999999995</v>
      </c>
      <c r="H206" s="266">
        <f>H17+H82+H98+H127+H143+H158+H174+H113+H66+H35</f>
        <v>1026.4</v>
      </c>
      <c r="I206" s="244">
        <f t="shared" si="106"/>
        <v>6406</v>
      </c>
      <c r="J206" s="266">
        <f>J17+J82+J98+J127+J143+J158+J174+J113+J66+J35</f>
        <v>1368.5000000000002</v>
      </c>
      <c r="K206" s="266">
        <f>K17+K82+K98+K127+K143+K158+K174+K113+K66+K35-0.1</f>
        <v>7658.9</v>
      </c>
      <c r="L206" s="245" t="e">
        <f>K206/#REF!*100</f>
        <v>#REF!</v>
      </c>
      <c r="M206" s="245">
        <f t="shared" si="101"/>
        <v>746.1905689789555</v>
      </c>
      <c r="N206" s="240"/>
      <c r="O206" s="240"/>
      <c r="P206" s="243">
        <f t="shared" si="74"/>
        <v>559.656558275484</v>
      </c>
      <c r="Q206" s="239">
        <f t="shared" si="103"/>
        <v>119.5582266625039</v>
      </c>
      <c r="R206" s="244">
        <f t="shared" si="107"/>
        <v>98.51308765837031</v>
      </c>
    </row>
    <row r="207" spans="1:18" ht="24">
      <c r="A207" s="105" t="s">
        <v>196</v>
      </c>
      <c r="B207" s="127" t="s">
        <v>237</v>
      </c>
      <c r="C207" s="103" t="s">
        <v>197</v>
      </c>
      <c r="D207" s="255">
        <f t="shared" si="104"/>
        <v>12903</v>
      </c>
      <c r="E207" s="242">
        <f t="shared" si="102"/>
        <v>8169.4</v>
      </c>
      <c r="F207" s="244">
        <f>F18+F36+F50+F67+F83+F99+F114+F144+F159+F175+F189+F128</f>
        <v>2792.2</v>
      </c>
      <c r="G207" s="244">
        <f>G18+G36+G50+G67+G83+G99+G114+G144+G159+G175+G189+G128</f>
        <v>5377.2</v>
      </c>
      <c r="H207" s="244">
        <f>H18+H36+H50+H67+H83+H99+H114+H144+H159+H175+H189+H128</f>
        <v>2664.4999999999995</v>
      </c>
      <c r="I207" s="244">
        <f t="shared" si="106"/>
        <v>10833.9</v>
      </c>
      <c r="J207" s="244">
        <f>J18+J36+J50+J67+J83+J99+J114+J144+J159+J175+J189+J128</f>
        <v>2069.1</v>
      </c>
      <c r="K207" s="244">
        <f>K18+K36+K50+K67+K83+K99+K114+K144+K159+K175+K189+K128</f>
        <v>13270.7</v>
      </c>
      <c r="L207" s="245" t="e">
        <f>K207/#REF!*100</f>
        <v>#REF!</v>
      </c>
      <c r="M207" s="245">
        <f t="shared" si="101"/>
        <v>498.0559204353538</v>
      </c>
      <c r="N207" s="240"/>
      <c r="O207" s="240"/>
      <c r="P207" s="243">
        <f aca="true" t="shared" si="108" ref="P207:P215">K207*100/J207</f>
        <v>641.3754772606447</v>
      </c>
      <c r="Q207" s="239">
        <f t="shared" si="103"/>
        <v>122.49236193799094</v>
      </c>
      <c r="R207" s="244">
        <f t="shared" si="107"/>
        <v>102.84972487018523</v>
      </c>
    </row>
    <row r="208" spans="1:18" ht="12.75">
      <c r="A208" s="105" t="s">
        <v>198</v>
      </c>
      <c r="B208" s="105"/>
      <c r="C208" s="103" t="s">
        <v>199</v>
      </c>
      <c r="D208" s="255">
        <f t="shared" si="104"/>
        <v>20</v>
      </c>
      <c r="E208" s="242">
        <f t="shared" si="102"/>
        <v>8</v>
      </c>
      <c r="F208" s="244">
        <f>F19</f>
        <v>2</v>
      </c>
      <c r="G208" s="244">
        <f>G19</f>
        <v>6</v>
      </c>
      <c r="H208" s="244">
        <f>H19</f>
        <v>6</v>
      </c>
      <c r="I208" s="244">
        <f t="shared" si="106"/>
        <v>14</v>
      </c>
      <c r="J208" s="244">
        <f>J19</f>
        <v>6</v>
      </c>
      <c r="K208" s="244">
        <f>K19</f>
        <v>5.3</v>
      </c>
      <c r="L208" s="245" t="e">
        <f>K208/#REF!*100</f>
        <v>#REF!</v>
      </c>
      <c r="M208" s="245">
        <f t="shared" si="101"/>
        <v>88.33333333333333</v>
      </c>
      <c r="N208" s="240"/>
      <c r="O208" s="240"/>
      <c r="P208" s="243">
        <f t="shared" si="108"/>
        <v>88.33333333333333</v>
      </c>
      <c r="Q208" s="239">
        <f t="shared" si="103"/>
        <v>37.857142857142854</v>
      </c>
      <c r="R208" s="244">
        <f t="shared" si="107"/>
        <v>26.5</v>
      </c>
    </row>
    <row r="209" spans="1:18" ht="36">
      <c r="A209" s="74" t="s">
        <v>200</v>
      </c>
      <c r="B209" s="124" t="s">
        <v>238</v>
      </c>
      <c r="C209" s="103" t="s">
        <v>201</v>
      </c>
      <c r="D209" s="255">
        <f t="shared" si="104"/>
        <v>7798.4</v>
      </c>
      <c r="E209" s="242">
        <f t="shared" si="102"/>
        <v>6009.6</v>
      </c>
      <c r="F209" s="244">
        <f aca="true" t="shared" si="109" ref="F209:P209">F20+F176+F190+F68+F129+F51+F145+F84</f>
        <v>1423.3</v>
      </c>
      <c r="G209" s="244">
        <f t="shared" si="109"/>
        <v>4586.3</v>
      </c>
      <c r="H209" s="244">
        <f t="shared" si="109"/>
        <v>624.2</v>
      </c>
      <c r="I209" s="244">
        <f t="shared" si="106"/>
        <v>6633.8</v>
      </c>
      <c r="J209" s="244">
        <f t="shared" si="109"/>
        <v>1164.6</v>
      </c>
      <c r="K209" s="244">
        <f>K20+K176+K190+K68+K129+K51+K145+K84</f>
        <v>6981.799999999999</v>
      </c>
      <c r="L209" s="244" t="e">
        <f t="shared" si="109"/>
        <v>#REF!</v>
      </c>
      <c r="M209" s="244">
        <f t="shared" si="109"/>
        <v>1163.7632419707413</v>
      </c>
      <c r="N209" s="244">
        <f t="shared" si="109"/>
        <v>0</v>
      </c>
      <c r="O209" s="244">
        <f t="shared" si="109"/>
        <v>0</v>
      </c>
      <c r="P209" s="244" t="e">
        <f t="shared" si="109"/>
        <v>#DIV/0!</v>
      </c>
      <c r="Q209" s="239">
        <f t="shared" si="103"/>
        <v>105.24586210015374</v>
      </c>
      <c r="R209" s="244">
        <f t="shared" si="107"/>
        <v>89.52862125564218</v>
      </c>
    </row>
    <row r="210" spans="1:18" ht="24">
      <c r="A210" s="106" t="s">
        <v>202</v>
      </c>
      <c r="B210" s="128" t="s">
        <v>233</v>
      </c>
      <c r="C210" s="71" t="s">
        <v>203</v>
      </c>
      <c r="D210" s="255">
        <f t="shared" si="104"/>
        <v>0</v>
      </c>
      <c r="E210" s="242">
        <f t="shared" si="102"/>
        <v>0</v>
      </c>
      <c r="F210" s="244">
        <f>F21+F37+F52+F69+F85+F100+F116+F130+F146+F161+F177+F191</f>
        <v>0</v>
      </c>
      <c r="G210" s="244">
        <f>G21+G37+G52+G69+G85+G100+G116+G130+G146+G161+G177+G191</f>
        <v>0</v>
      </c>
      <c r="H210" s="244">
        <f>H21+H37+H52+H69+H85+H100+H116+H130+H146+H161+H177+H191</f>
        <v>0</v>
      </c>
      <c r="I210" s="244">
        <f t="shared" si="106"/>
        <v>0</v>
      </c>
      <c r="J210" s="244">
        <f>J21+J37+J52+J69+J85+J100+J116+J130+J146+J161+J177+J191</f>
        <v>0</v>
      </c>
      <c r="K210" s="244">
        <f>K21+K37+K52+K69+K85+K100+K116+K130+K146+K161+K177+K191</f>
        <v>-13.900000000000013</v>
      </c>
      <c r="L210" s="245"/>
      <c r="M210" s="245"/>
      <c r="N210" s="240"/>
      <c r="O210" s="240"/>
      <c r="P210" s="243" t="e">
        <f t="shared" si="108"/>
        <v>#DIV/0!</v>
      </c>
      <c r="Q210" s="239"/>
      <c r="R210" s="244"/>
    </row>
    <row r="211" spans="1:18" ht="12.75">
      <c r="A211" s="99" t="s">
        <v>206</v>
      </c>
      <c r="B211" s="123"/>
      <c r="C211" s="108" t="s">
        <v>207</v>
      </c>
      <c r="D211" s="246">
        <f aca="true" t="shared" si="110" ref="D211:K211">D212+D213+D214</f>
        <v>2858496.1999999997</v>
      </c>
      <c r="E211" s="246">
        <f t="shared" si="110"/>
        <v>983351.8999999999</v>
      </c>
      <c r="F211" s="246">
        <f t="shared" si="110"/>
        <v>239375.40000000002</v>
      </c>
      <c r="G211" s="246">
        <f t="shared" si="110"/>
        <v>743976.5</v>
      </c>
      <c r="H211" s="246">
        <f t="shared" si="110"/>
        <v>684014.7</v>
      </c>
      <c r="I211" s="246">
        <f t="shared" si="110"/>
        <v>1667366.5999999996</v>
      </c>
      <c r="J211" s="246">
        <f t="shared" si="110"/>
        <v>1191129.6</v>
      </c>
      <c r="K211" s="246">
        <f t="shared" si="110"/>
        <v>1481978.9</v>
      </c>
      <c r="L211" s="239" t="e">
        <f>K211/#REF!*100</f>
        <v>#REF!</v>
      </c>
      <c r="M211" s="239">
        <f>K211/H211*100</f>
        <v>216.6589256049614</v>
      </c>
      <c r="N211" s="240"/>
      <c r="O211" s="240"/>
      <c r="P211" s="247">
        <f t="shared" si="108"/>
        <v>124.41793907228902</v>
      </c>
      <c r="Q211" s="239">
        <f t="shared" si="103"/>
        <v>88.88140736416337</v>
      </c>
      <c r="R211" s="241">
        <f t="shared" si="107"/>
        <v>51.844704218952614</v>
      </c>
    </row>
    <row r="212" spans="1:18" ht="36">
      <c r="A212" s="69" t="s">
        <v>208</v>
      </c>
      <c r="B212" s="122" t="s">
        <v>239</v>
      </c>
      <c r="C212" s="109" t="s">
        <v>209</v>
      </c>
      <c r="D212" s="255">
        <f t="shared" si="104"/>
        <v>2944972.3</v>
      </c>
      <c r="E212" s="242">
        <f t="shared" si="102"/>
        <v>1061423.2</v>
      </c>
      <c r="F212" s="243">
        <f>F23-6274.7-64-111.5</f>
        <v>324432.2</v>
      </c>
      <c r="G212" s="243">
        <f>G23-9412.1-96-50.6-49.8</f>
        <v>736991</v>
      </c>
      <c r="H212" s="243">
        <f>H23-8470.9-86.4-41.5</f>
        <v>698419.4999999999</v>
      </c>
      <c r="I212" s="243">
        <f>E212+H212</f>
        <v>1759842.6999999997</v>
      </c>
      <c r="J212" s="243">
        <f>J23-7215.9-73.6</f>
        <v>1185129.6</v>
      </c>
      <c r="K212" s="243">
        <f>K23-15898.2-0.1</f>
        <v>1650120.7</v>
      </c>
      <c r="L212" s="245" t="e">
        <f>K212/#REF!*100</f>
        <v>#REF!</v>
      </c>
      <c r="M212" s="245">
        <f>K212/H212*100</f>
        <v>236.26498114671773</v>
      </c>
      <c r="N212" s="240"/>
      <c r="O212" s="240"/>
      <c r="P212" s="243">
        <f t="shared" si="108"/>
        <v>139.23546420577125</v>
      </c>
      <c r="Q212" s="239">
        <f t="shared" si="103"/>
        <v>93.76523822271163</v>
      </c>
      <c r="R212" s="244">
        <f t="shared" si="107"/>
        <v>56.03179018016571</v>
      </c>
    </row>
    <row r="213" spans="1:18" ht="36">
      <c r="A213" s="69" t="s">
        <v>210</v>
      </c>
      <c r="B213" s="69" t="s">
        <v>240</v>
      </c>
      <c r="C213" s="110" t="s">
        <v>211</v>
      </c>
      <c r="D213" s="255">
        <f t="shared" si="104"/>
        <v>27009</v>
      </c>
      <c r="E213" s="242">
        <f t="shared" si="102"/>
        <v>14360.7</v>
      </c>
      <c r="F213" s="244">
        <f>F24+F89+F103+F164+F133+F55+F40+F149</f>
        <v>7375.2</v>
      </c>
      <c r="G213" s="244">
        <f>G24+G89+G103+G164+G133+G55+G40+G149</f>
        <v>6985.5</v>
      </c>
      <c r="H213" s="244">
        <f>H24+H89+H103+H164+H133+H55+H40+H149</f>
        <v>6648.3</v>
      </c>
      <c r="I213" s="243">
        <f>E213+H213</f>
        <v>21009</v>
      </c>
      <c r="J213" s="244">
        <f>J24+J89+J103+J164+J133+J55+J40+J149</f>
        <v>6000</v>
      </c>
      <c r="K213" s="244">
        <f>K24+K89+K103+K164+K133+K55+K40+K149</f>
        <v>4308.2</v>
      </c>
      <c r="L213" s="245" t="e">
        <f>K213/#REF!*100</f>
        <v>#REF!</v>
      </c>
      <c r="M213" s="245">
        <f>K213/H213*100</f>
        <v>64.80152821021915</v>
      </c>
      <c r="N213" s="240"/>
      <c r="O213" s="240"/>
      <c r="P213" s="243">
        <f t="shared" si="108"/>
        <v>71.80333333333333</v>
      </c>
      <c r="Q213" s="239">
        <f t="shared" si="103"/>
        <v>20.50644961683088</v>
      </c>
      <c r="R213" s="244">
        <f t="shared" si="107"/>
        <v>15.950979303195231</v>
      </c>
    </row>
    <row r="214" spans="1:18" ht="36">
      <c r="A214" s="69" t="s">
        <v>214</v>
      </c>
      <c r="B214" s="70"/>
      <c r="C214" s="73" t="s">
        <v>215</v>
      </c>
      <c r="D214" s="255">
        <f t="shared" si="104"/>
        <v>-113485.1</v>
      </c>
      <c r="E214" s="242">
        <f t="shared" si="102"/>
        <v>-92432</v>
      </c>
      <c r="F214" s="244">
        <f>F26</f>
        <v>-92432</v>
      </c>
      <c r="G214" s="244">
        <f>G26</f>
        <v>0</v>
      </c>
      <c r="H214" s="244">
        <f>H26</f>
        <v>-21053.1</v>
      </c>
      <c r="I214" s="243">
        <f>E214+H214</f>
        <v>-113485.1</v>
      </c>
      <c r="J214" s="244">
        <f>J26</f>
        <v>0</v>
      </c>
      <c r="K214" s="244">
        <f>K26</f>
        <v>-172450</v>
      </c>
      <c r="L214" s="245" t="e">
        <f>K214/#REF!*100</f>
        <v>#REF!</v>
      </c>
      <c r="M214" s="245"/>
      <c r="N214" s="240"/>
      <c r="O214" s="240"/>
      <c r="P214" s="243" t="e">
        <f t="shared" si="108"/>
        <v>#DIV/0!</v>
      </c>
      <c r="Q214" s="239">
        <f t="shared" si="103"/>
        <v>151.9582746986168</v>
      </c>
      <c r="R214" s="244">
        <f t="shared" si="107"/>
        <v>151.9582746986168</v>
      </c>
    </row>
    <row r="215" spans="1:18" ht="12.75">
      <c r="A215" s="74"/>
      <c r="B215" s="75"/>
      <c r="C215" s="76" t="s">
        <v>216</v>
      </c>
      <c r="D215" s="241">
        <f aca="true" t="shared" si="111" ref="D215:K215">D211+D197</f>
        <v>3865570.3999999994</v>
      </c>
      <c r="E215" s="241">
        <f t="shared" si="111"/>
        <v>1485436.7999999998</v>
      </c>
      <c r="F215" s="241">
        <f t="shared" si="111"/>
        <v>479050.80000000005</v>
      </c>
      <c r="G215" s="241">
        <f t="shared" si="111"/>
        <v>1006386</v>
      </c>
      <c r="H215" s="241">
        <f t="shared" si="111"/>
        <v>920033.5</v>
      </c>
      <c r="I215" s="241">
        <f t="shared" si="111"/>
        <v>2405470.3</v>
      </c>
      <c r="J215" s="241">
        <f t="shared" si="111"/>
        <v>1460100.1</v>
      </c>
      <c r="K215" s="241">
        <f t="shared" si="111"/>
        <v>2088488.1</v>
      </c>
      <c r="L215" s="239" t="e">
        <f>K215/#REF!*100</f>
        <v>#REF!</v>
      </c>
      <c r="M215" s="239">
        <f>K215/H215*100</f>
        <v>227.00131027837577</v>
      </c>
      <c r="N215" s="240"/>
      <c r="O215" s="250" t="e">
        <f>J215+#REF!+#REF!</f>
        <v>#REF!</v>
      </c>
      <c r="P215" s="247">
        <f t="shared" si="108"/>
        <v>143.03732326297353</v>
      </c>
      <c r="Q215" s="239">
        <f t="shared" si="103"/>
        <v>86.8224438273048</v>
      </c>
      <c r="R215" s="241">
        <f t="shared" si="107"/>
        <v>54.02794112868828</v>
      </c>
    </row>
  </sheetData>
  <sheetProtection/>
  <mergeCells count="42">
    <mergeCell ref="A196:R196"/>
    <mergeCell ref="A152:P152"/>
    <mergeCell ref="A166:M166"/>
    <mergeCell ref="A167:P167"/>
    <mergeCell ref="A181:M181"/>
    <mergeCell ref="A182:P182"/>
    <mergeCell ref="A195:M195"/>
    <mergeCell ref="A105:M105"/>
    <mergeCell ref="A106:P106"/>
    <mergeCell ref="A120:M120"/>
    <mergeCell ref="A121:P121"/>
    <mergeCell ref="A135:M135"/>
    <mergeCell ref="A136:P136"/>
    <mergeCell ref="A1:R1"/>
    <mergeCell ref="A2:M2"/>
    <mergeCell ref="R4:R6"/>
    <mergeCell ref="A7:P7"/>
    <mergeCell ref="A28:M28"/>
    <mergeCell ref="A29:P29"/>
    <mergeCell ref="A151:M151"/>
    <mergeCell ref="A74:M74"/>
    <mergeCell ref="A75:P75"/>
    <mergeCell ref="A91:M91"/>
    <mergeCell ref="A92:P92"/>
    <mergeCell ref="M4:M6"/>
    <mergeCell ref="N4:N6"/>
    <mergeCell ref="C42:M42"/>
    <mergeCell ref="A43:P43"/>
    <mergeCell ref="A58:M58"/>
    <mergeCell ref="A59:P59"/>
    <mergeCell ref="L4:L6"/>
    <mergeCell ref="G4:G6"/>
    <mergeCell ref="P4:P6"/>
    <mergeCell ref="Q4:Q6"/>
    <mergeCell ref="H4:H6"/>
    <mergeCell ref="I4:I6"/>
    <mergeCell ref="J4:J6"/>
    <mergeCell ref="K4:K6"/>
    <mergeCell ref="O4:O6"/>
    <mergeCell ref="D4:D6"/>
    <mergeCell ref="E4:E6"/>
    <mergeCell ref="F4:F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PageLayoutView="0" workbookViewId="0" topLeftCell="A112">
      <selection activeCell="A1" sqref="A1:K129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24" t="s">
        <v>317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25" t="s">
        <v>98</v>
      </c>
      <c r="B3" s="227" t="s">
        <v>97</v>
      </c>
      <c r="C3" s="229" t="s">
        <v>113</v>
      </c>
      <c r="D3" s="229"/>
      <c r="E3" s="229"/>
      <c r="F3" s="230" t="s">
        <v>112</v>
      </c>
      <c r="G3" s="230"/>
      <c r="H3" s="230"/>
      <c r="I3" s="231" t="s">
        <v>111</v>
      </c>
      <c r="J3" s="231"/>
      <c r="K3" s="232"/>
    </row>
    <row r="4" spans="1:11" ht="16.5" customHeight="1">
      <c r="A4" s="226"/>
      <c r="B4" s="228"/>
      <c r="C4" s="218" t="s">
        <v>78</v>
      </c>
      <c r="D4" s="218" t="s">
        <v>318</v>
      </c>
      <c r="E4" s="218" t="s">
        <v>77</v>
      </c>
      <c r="F4" s="218" t="s">
        <v>78</v>
      </c>
      <c r="G4" s="221" t="s">
        <v>318</v>
      </c>
      <c r="H4" s="221" t="s">
        <v>77</v>
      </c>
      <c r="I4" s="222" t="s">
        <v>78</v>
      </c>
      <c r="J4" s="233" t="s">
        <v>319</v>
      </c>
      <c r="K4" s="214" t="s">
        <v>77</v>
      </c>
    </row>
    <row r="5" spans="1:11" ht="31.5" customHeight="1">
      <c r="A5" s="226"/>
      <c r="B5" s="228"/>
      <c r="C5" s="220"/>
      <c r="D5" s="218"/>
      <c r="E5" s="219"/>
      <c r="F5" s="220"/>
      <c r="G5" s="221"/>
      <c r="H5" s="220"/>
      <c r="I5" s="223"/>
      <c r="J5" s="233"/>
      <c r="K5" s="215"/>
    </row>
    <row r="6" spans="1:11" ht="12.75" customHeight="1">
      <c r="A6" s="226"/>
      <c r="B6" s="216" t="s">
        <v>0</v>
      </c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2.75" customHeight="1">
      <c r="A7" s="226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 customHeight="1">
      <c r="A8" s="226"/>
      <c r="B8" s="216"/>
      <c r="C8" s="216"/>
      <c r="D8" s="216"/>
      <c r="E8" s="216"/>
      <c r="F8" s="216"/>
      <c r="G8" s="216"/>
      <c r="H8" s="216"/>
      <c r="I8" s="216"/>
      <c r="J8" s="216"/>
      <c r="K8" s="217"/>
    </row>
    <row r="9" spans="1:11" ht="15">
      <c r="A9" s="131" t="s">
        <v>1</v>
      </c>
      <c r="B9" s="132" t="s">
        <v>2</v>
      </c>
      <c r="C9" s="133">
        <f>SUM(C10:C17)</f>
        <v>248463.3</v>
      </c>
      <c r="D9" s="133">
        <f>SUM(D10:D17)</f>
        <v>155669.8</v>
      </c>
      <c r="E9" s="133">
        <f>D9/C9*100</f>
        <v>62.653035679716076</v>
      </c>
      <c r="F9" s="133">
        <f>F10+F11+F12+F13+F14+F16+F17+F15</f>
        <v>183741.69999999998</v>
      </c>
      <c r="G9" s="133">
        <f>SUM(G10:G17)</f>
        <v>107182.79999999999</v>
      </c>
      <c r="H9" s="134">
        <f>G9/F9*100</f>
        <v>58.33341043432165</v>
      </c>
      <c r="I9" s="133">
        <f>SUM(I10:I17)</f>
        <v>431902</v>
      </c>
      <c r="J9" s="133">
        <f>SUM(J10:J17)</f>
        <v>262619.6</v>
      </c>
      <c r="K9" s="135">
        <f>J9/I9*100</f>
        <v>60.80536788438118</v>
      </c>
    </row>
    <row r="10" spans="1:11" ht="30">
      <c r="A10" s="136" t="s">
        <v>3</v>
      </c>
      <c r="B10" s="137" t="s">
        <v>4</v>
      </c>
      <c r="C10" s="129">
        <v>13161.1</v>
      </c>
      <c r="D10" s="129">
        <v>9432.7</v>
      </c>
      <c r="E10" s="129">
        <f>D10/C10*100</f>
        <v>71.67106092955756</v>
      </c>
      <c r="F10" s="138">
        <v>37311.9</v>
      </c>
      <c r="G10" s="138">
        <v>22494.2</v>
      </c>
      <c r="H10" s="138">
        <f>G10/F10*100</f>
        <v>60.28693258719068</v>
      </c>
      <c r="I10" s="139">
        <f aca="true" t="shared" si="0" ref="I10:J81">C10+F10</f>
        <v>50473</v>
      </c>
      <c r="J10" s="130">
        <f t="shared" si="0"/>
        <v>31926.9</v>
      </c>
      <c r="K10" s="140">
        <f aca="true" t="shared" si="1" ref="K10:K83">J10/I10*100</f>
        <v>63.25540387930181</v>
      </c>
    </row>
    <row r="11" spans="1:11" ht="30">
      <c r="A11" s="136" t="s">
        <v>5</v>
      </c>
      <c r="B11" s="137" t="s">
        <v>89</v>
      </c>
      <c r="C11" s="129">
        <v>24830.9</v>
      </c>
      <c r="D11" s="129">
        <v>15547</v>
      </c>
      <c r="E11" s="129">
        <f aca="true" t="shared" si="2" ref="E11:E19">D11/C11*100</f>
        <v>62.61150421450692</v>
      </c>
      <c r="F11" s="138">
        <v>0</v>
      </c>
      <c r="G11" s="138">
        <v>0</v>
      </c>
      <c r="H11" s="138">
        <v>0</v>
      </c>
      <c r="I11" s="139">
        <f t="shared" si="0"/>
        <v>24830.9</v>
      </c>
      <c r="J11" s="130">
        <f t="shared" si="0"/>
        <v>15547</v>
      </c>
      <c r="K11" s="140">
        <f t="shared" si="1"/>
        <v>62.61150421450692</v>
      </c>
    </row>
    <row r="12" spans="1:11" ht="30">
      <c r="A12" s="136" t="s">
        <v>6</v>
      </c>
      <c r="B12" s="137" t="s">
        <v>7</v>
      </c>
      <c r="C12" s="129">
        <v>116656.2</v>
      </c>
      <c r="D12" s="129">
        <v>76970.1</v>
      </c>
      <c r="E12" s="129">
        <f t="shared" si="2"/>
        <v>65.98029080323207</v>
      </c>
      <c r="F12" s="138">
        <v>113236.9</v>
      </c>
      <c r="G12" s="138">
        <v>70150.4</v>
      </c>
      <c r="H12" s="138">
        <f aca="true" t="shared" si="3" ref="H12:H19">G12/F12*100</f>
        <v>61.95012403200724</v>
      </c>
      <c r="I12" s="139">
        <f t="shared" si="0"/>
        <v>229893.09999999998</v>
      </c>
      <c r="J12" s="130">
        <f t="shared" si="0"/>
        <v>147120.5</v>
      </c>
      <c r="K12" s="140">
        <f t="shared" si="1"/>
        <v>63.99517862867569</v>
      </c>
    </row>
    <row r="13" spans="1:11" ht="15">
      <c r="A13" s="136" t="s">
        <v>8</v>
      </c>
      <c r="B13" s="137" t="s">
        <v>9</v>
      </c>
      <c r="C13" s="129">
        <v>6.4</v>
      </c>
      <c r="D13" s="129">
        <v>0</v>
      </c>
      <c r="E13" s="129"/>
      <c r="F13" s="138">
        <v>0</v>
      </c>
      <c r="G13" s="138">
        <v>0</v>
      </c>
      <c r="H13" s="138">
        <v>0</v>
      </c>
      <c r="I13" s="139">
        <f t="shared" si="0"/>
        <v>6.4</v>
      </c>
      <c r="J13" s="130">
        <f t="shared" si="0"/>
        <v>0</v>
      </c>
      <c r="K13" s="140"/>
    </row>
    <row r="14" spans="1:11" ht="30">
      <c r="A14" s="136" t="s">
        <v>10</v>
      </c>
      <c r="B14" s="137" t="s">
        <v>11</v>
      </c>
      <c r="C14" s="129">
        <v>28297.8</v>
      </c>
      <c r="D14" s="129">
        <v>20193.8</v>
      </c>
      <c r="E14" s="129">
        <f t="shared" si="2"/>
        <v>71.36173130066649</v>
      </c>
      <c r="F14" s="138">
        <v>267.8</v>
      </c>
      <c r="G14" s="138">
        <v>267.8</v>
      </c>
      <c r="H14" s="138">
        <f t="shared" si="3"/>
        <v>100</v>
      </c>
      <c r="I14" s="139">
        <f>C14+F14</f>
        <v>28565.6</v>
      </c>
      <c r="J14" s="130">
        <f>D14+G14</f>
        <v>20461.6</v>
      </c>
      <c r="K14" s="140">
        <f t="shared" si="1"/>
        <v>71.63021256336293</v>
      </c>
    </row>
    <row r="15" spans="1:11" ht="30">
      <c r="A15" s="141" t="s">
        <v>12</v>
      </c>
      <c r="B15" s="137" t="s">
        <v>169</v>
      </c>
      <c r="C15" s="129"/>
      <c r="D15" s="129"/>
      <c r="E15" s="129"/>
      <c r="F15" s="138">
        <v>170</v>
      </c>
      <c r="G15" s="138">
        <v>170</v>
      </c>
      <c r="H15" s="138">
        <f t="shared" si="3"/>
        <v>100</v>
      </c>
      <c r="I15" s="139">
        <f>C15+F15</f>
        <v>170</v>
      </c>
      <c r="J15" s="130">
        <f t="shared" si="0"/>
        <v>170</v>
      </c>
      <c r="K15" s="140">
        <f t="shared" si="1"/>
        <v>100</v>
      </c>
    </row>
    <row r="16" spans="1:11" ht="15">
      <c r="A16" s="141" t="s">
        <v>13</v>
      </c>
      <c r="B16" s="137" t="s">
        <v>14</v>
      </c>
      <c r="C16" s="129">
        <v>4036</v>
      </c>
      <c r="D16" s="129">
        <v>0</v>
      </c>
      <c r="E16" s="129">
        <f t="shared" si="2"/>
        <v>0</v>
      </c>
      <c r="F16" s="138">
        <v>996</v>
      </c>
      <c r="G16" s="138">
        <v>0</v>
      </c>
      <c r="H16" s="138">
        <f t="shared" si="3"/>
        <v>0</v>
      </c>
      <c r="I16" s="139">
        <f t="shared" si="0"/>
        <v>5032</v>
      </c>
      <c r="J16" s="130">
        <f t="shared" si="0"/>
        <v>0</v>
      </c>
      <c r="K16" s="140">
        <f t="shared" si="1"/>
        <v>0</v>
      </c>
    </row>
    <row r="17" spans="1:11" ht="15">
      <c r="A17" s="136" t="s">
        <v>80</v>
      </c>
      <c r="B17" s="137" t="s">
        <v>15</v>
      </c>
      <c r="C17" s="129">
        <v>61474.9</v>
      </c>
      <c r="D17" s="129">
        <v>33526.2</v>
      </c>
      <c r="E17" s="129">
        <f t="shared" si="2"/>
        <v>54.53640428857957</v>
      </c>
      <c r="F17" s="138">
        <v>31759.1</v>
      </c>
      <c r="G17" s="138">
        <v>14100.4</v>
      </c>
      <c r="H17" s="138">
        <f t="shared" si="3"/>
        <v>44.39798357006338</v>
      </c>
      <c r="I17" s="139">
        <f>C17+F17-303</f>
        <v>92931</v>
      </c>
      <c r="J17" s="130">
        <f>D17+G17-233</f>
        <v>47393.6</v>
      </c>
      <c r="K17" s="140">
        <f t="shared" si="1"/>
        <v>50.99869795870055</v>
      </c>
    </row>
    <row r="18" spans="1:11" ht="15">
      <c r="A18" s="131" t="s">
        <v>16</v>
      </c>
      <c r="B18" s="132" t="s">
        <v>17</v>
      </c>
      <c r="C18" s="133">
        <f aca="true" t="shared" si="4" ref="C18:J18">C19</f>
        <v>4782</v>
      </c>
      <c r="D18" s="133">
        <f t="shared" si="4"/>
        <v>4782</v>
      </c>
      <c r="E18" s="133">
        <f t="shared" si="4"/>
        <v>100</v>
      </c>
      <c r="F18" s="133">
        <f t="shared" si="4"/>
        <v>4782</v>
      </c>
      <c r="G18" s="133">
        <f t="shared" si="4"/>
        <v>1938.8</v>
      </c>
      <c r="H18" s="142">
        <f t="shared" si="4"/>
        <v>40.54370556252614</v>
      </c>
      <c r="I18" s="133">
        <f t="shared" si="4"/>
        <v>4782</v>
      </c>
      <c r="J18" s="133">
        <f t="shared" si="4"/>
        <v>1938.8000000000002</v>
      </c>
      <c r="K18" s="143">
        <f t="shared" si="1"/>
        <v>40.54370556252614</v>
      </c>
    </row>
    <row r="19" spans="1:11" ht="15">
      <c r="A19" s="136" t="s">
        <v>18</v>
      </c>
      <c r="B19" s="137" t="s">
        <v>19</v>
      </c>
      <c r="C19" s="129">
        <v>4782</v>
      </c>
      <c r="D19" s="129">
        <v>4782</v>
      </c>
      <c r="E19" s="129">
        <f t="shared" si="2"/>
        <v>100</v>
      </c>
      <c r="F19" s="138">
        <v>4782</v>
      </c>
      <c r="G19" s="138">
        <v>1938.8</v>
      </c>
      <c r="H19" s="138">
        <f t="shared" si="3"/>
        <v>40.54370556252614</v>
      </c>
      <c r="I19" s="139">
        <f>C19+F19-4782</f>
        <v>4782</v>
      </c>
      <c r="J19" s="130">
        <f>D19+G19-4782</f>
        <v>1938.8000000000002</v>
      </c>
      <c r="K19" s="140">
        <f t="shared" si="1"/>
        <v>40.54370556252614</v>
      </c>
    </row>
    <row r="20" spans="1:11" ht="12.75" customHeight="1">
      <c r="A20" s="234" t="s">
        <v>20</v>
      </c>
      <c r="B20" s="235" t="s">
        <v>292</v>
      </c>
      <c r="C20" s="267">
        <f>C23+C24+C22</f>
        <v>46652.5</v>
      </c>
      <c r="D20" s="268">
        <f>D23+D24+D22</f>
        <v>14239</v>
      </c>
      <c r="E20" s="267">
        <f>D20/C20*100</f>
        <v>30.52140828465784</v>
      </c>
      <c r="F20" s="267">
        <f>F23+F24+F22</f>
        <v>8556.8</v>
      </c>
      <c r="G20" s="267">
        <f>G23+G24+G22</f>
        <v>3578</v>
      </c>
      <c r="H20" s="267">
        <f>G20/F20*100</f>
        <v>41.8146970830217</v>
      </c>
      <c r="I20" s="267">
        <f>I23+I24+I22</f>
        <v>53586.3</v>
      </c>
      <c r="J20" s="267">
        <f>SUM(J22:J24)</f>
        <v>17056</v>
      </c>
      <c r="K20" s="267">
        <f>J20/I20*100</f>
        <v>31.82903092768114</v>
      </c>
    </row>
    <row r="21" spans="1:11" ht="12.75" customHeight="1">
      <c r="A21" s="234"/>
      <c r="B21" s="235"/>
      <c r="C21" s="267"/>
      <c r="D21" s="269"/>
      <c r="E21" s="267"/>
      <c r="F21" s="267"/>
      <c r="G21" s="267"/>
      <c r="H21" s="267"/>
      <c r="I21" s="267"/>
      <c r="J21" s="267"/>
      <c r="K21" s="267"/>
    </row>
    <row r="22" spans="1:11" ht="15">
      <c r="A22" s="141" t="s">
        <v>116</v>
      </c>
      <c r="B22" s="137" t="s">
        <v>241</v>
      </c>
      <c r="C22" s="129">
        <v>5428.2</v>
      </c>
      <c r="D22" s="129">
        <v>2943.3</v>
      </c>
      <c r="E22" s="129">
        <f aca="true" t="shared" si="5" ref="E22:E100">D22/C22*100</f>
        <v>54.22239416381122</v>
      </c>
      <c r="F22" s="138">
        <v>761</v>
      </c>
      <c r="G22" s="138">
        <v>283.6</v>
      </c>
      <c r="H22" s="138">
        <f>G22/F22*100</f>
        <v>37.26675427069645</v>
      </c>
      <c r="I22" s="139">
        <f>C22+F22-761</f>
        <v>5428.2</v>
      </c>
      <c r="J22" s="130">
        <f>D22+G22-761</f>
        <v>2465.9</v>
      </c>
      <c r="K22" s="140">
        <f>J22/I22*100</f>
        <v>45.42758188718176</v>
      </c>
    </row>
    <row r="23" spans="1:11" ht="30">
      <c r="A23" s="136" t="s">
        <v>21</v>
      </c>
      <c r="B23" s="137" t="s">
        <v>117</v>
      </c>
      <c r="C23" s="129">
        <v>10595.5</v>
      </c>
      <c r="D23" s="129">
        <v>9055.6</v>
      </c>
      <c r="E23" s="129">
        <f t="shared" si="5"/>
        <v>85.4664716153084</v>
      </c>
      <c r="F23" s="138">
        <v>7696.4</v>
      </c>
      <c r="G23" s="138">
        <v>3294.4</v>
      </c>
      <c r="H23" s="138">
        <f>G23/F23*100</f>
        <v>42.80442804428045</v>
      </c>
      <c r="I23" s="139">
        <f>C23+F23-762.6</f>
        <v>17529.300000000003</v>
      </c>
      <c r="J23" s="130">
        <f>D23+G23</f>
        <v>12350</v>
      </c>
      <c r="K23" s="140">
        <f>J23/I23*100</f>
        <v>70.45346933420043</v>
      </c>
    </row>
    <row r="24" spans="1:11" ht="30">
      <c r="A24" s="141" t="s">
        <v>107</v>
      </c>
      <c r="B24" s="137" t="s">
        <v>108</v>
      </c>
      <c r="C24" s="129">
        <v>30628.8</v>
      </c>
      <c r="D24" s="129">
        <v>2240.1</v>
      </c>
      <c r="E24" s="129">
        <f t="shared" si="5"/>
        <v>7.313704748472026</v>
      </c>
      <c r="F24" s="138">
        <v>99.4</v>
      </c>
      <c r="G24" s="138">
        <v>0</v>
      </c>
      <c r="H24" s="138">
        <v>0</v>
      </c>
      <c r="I24" s="139">
        <f>C24+F24-99.4</f>
        <v>30628.8</v>
      </c>
      <c r="J24" s="130">
        <f>D24+G24</f>
        <v>2240.1</v>
      </c>
      <c r="K24" s="140">
        <f>J24/I24*100</f>
        <v>7.313704748472026</v>
      </c>
    </row>
    <row r="25" spans="1:11" ht="15">
      <c r="A25" s="131" t="s">
        <v>22</v>
      </c>
      <c r="B25" s="132" t="s">
        <v>23</v>
      </c>
      <c r="C25" s="133">
        <f>SUM(C26:C47)</f>
        <v>211022.79999999996</v>
      </c>
      <c r="D25" s="133">
        <f>SUM(D26:D47)</f>
        <v>97761.09999999996</v>
      </c>
      <c r="E25" s="133">
        <f>D25/C25*100</f>
        <v>46.327268901748994</v>
      </c>
      <c r="F25" s="133">
        <f>SUM(F26:F46)</f>
        <v>76484.3</v>
      </c>
      <c r="G25" s="133">
        <f>SUM(G26:G46)</f>
        <v>29095.7</v>
      </c>
      <c r="H25" s="134">
        <f>G25/F25*100</f>
        <v>38.04140196092531</v>
      </c>
      <c r="I25" s="133">
        <f>SUM(I26:I47)</f>
        <v>264446.19999999995</v>
      </c>
      <c r="J25" s="133">
        <f>SUM(J26:J47)</f>
        <v>116599.79999999996</v>
      </c>
      <c r="K25" s="135">
        <f t="shared" si="1"/>
        <v>44.09206863248554</v>
      </c>
    </row>
    <row r="26" spans="1:11" ht="45">
      <c r="A26" s="141" t="s">
        <v>24</v>
      </c>
      <c r="B26" s="144" t="s">
        <v>242</v>
      </c>
      <c r="C26" s="129">
        <v>11778.2</v>
      </c>
      <c r="D26" s="129">
        <v>7301.2</v>
      </c>
      <c r="E26" s="129">
        <f t="shared" si="5"/>
        <v>61.98909850401589</v>
      </c>
      <c r="F26" s="129">
        <v>8430.8</v>
      </c>
      <c r="G26" s="138">
        <v>7057.9</v>
      </c>
      <c r="H26" s="138">
        <f>G26/F26*100</f>
        <v>83.71566162167292</v>
      </c>
      <c r="I26" s="139">
        <f>C26+F26-6306.9</f>
        <v>13902.1</v>
      </c>
      <c r="J26" s="139">
        <f>D26+G26-6306.9</f>
        <v>8052.199999999999</v>
      </c>
      <c r="K26" s="140">
        <f t="shared" si="1"/>
        <v>57.920745786607775</v>
      </c>
    </row>
    <row r="27" spans="1:11" ht="15">
      <c r="A27" s="136" t="s">
        <v>25</v>
      </c>
      <c r="B27" s="137" t="s">
        <v>26</v>
      </c>
      <c r="C27" s="129">
        <v>41040.5</v>
      </c>
      <c r="D27" s="129">
        <v>23226</v>
      </c>
      <c r="E27" s="129">
        <f t="shared" si="5"/>
        <v>56.592877767083735</v>
      </c>
      <c r="F27" s="138">
        <v>0</v>
      </c>
      <c r="G27" s="138">
        <v>0</v>
      </c>
      <c r="H27" s="138">
        <v>0</v>
      </c>
      <c r="I27" s="139">
        <f t="shared" si="0"/>
        <v>41040.5</v>
      </c>
      <c r="J27" s="130">
        <f t="shared" si="0"/>
        <v>23226</v>
      </c>
      <c r="K27" s="140">
        <f t="shared" si="1"/>
        <v>56.592877767083735</v>
      </c>
    </row>
    <row r="28" spans="1:11" ht="15">
      <c r="A28" s="136" t="s">
        <v>27</v>
      </c>
      <c r="B28" s="137" t="s">
        <v>243</v>
      </c>
      <c r="C28" s="129">
        <v>9650</v>
      </c>
      <c r="D28" s="129">
        <v>7817</v>
      </c>
      <c r="E28" s="129">
        <f t="shared" si="5"/>
        <v>81.00518134715026</v>
      </c>
      <c r="F28" s="138">
        <v>0</v>
      </c>
      <c r="G28" s="138">
        <v>0</v>
      </c>
      <c r="H28" s="138">
        <v>0</v>
      </c>
      <c r="I28" s="139">
        <f t="shared" si="0"/>
        <v>9650</v>
      </c>
      <c r="J28" s="130">
        <f t="shared" si="0"/>
        <v>7817</v>
      </c>
      <c r="K28" s="140">
        <f t="shared" si="1"/>
        <v>81.00518134715026</v>
      </c>
    </row>
    <row r="29" spans="1:11" ht="15">
      <c r="A29" s="136" t="s">
        <v>27</v>
      </c>
      <c r="B29" s="137" t="s">
        <v>244</v>
      </c>
      <c r="C29" s="129">
        <v>14896</v>
      </c>
      <c r="D29" s="129">
        <v>13260.3</v>
      </c>
      <c r="E29" s="129">
        <f t="shared" si="5"/>
        <v>89.01919978517722</v>
      </c>
      <c r="F29" s="138">
        <v>12392</v>
      </c>
      <c r="G29" s="138">
        <v>4926.1</v>
      </c>
      <c r="H29" s="138">
        <f>G29/F29*100</f>
        <v>39.75225952227244</v>
      </c>
      <c r="I29" s="139">
        <f t="shared" si="0"/>
        <v>27288</v>
      </c>
      <c r="J29" s="130">
        <f t="shared" si="0"/>
        <v>18186.4</v>
      </c>
      <c r="K29" s="140">
        <f t="shared" si="1"/>
        <v>66.64614482556436</v>
      </c>
    </row>
    <row r="30" spans="1:11" ht="15">
      <c r="A30" s="136" t="s">
        <v>27</v>
      </c>
      <c r="B30" s="137" t="s">
        <v>245</v>
      </c>
      <c r="C30" s="129">
        <v>10831</v>
      </c>
      <c r="D30" s="129">
        <v>6033.7</v>
      </c>
      <c r="E30" s="129">
        <f t="shared" si="5"/>
        <v>55.70769088726802</v>
      </c>
      <c r="F30" s="138">
        <v>0</v>
      </c>
      <c r="G30" s="138">
        <v>0</v>
      </c>
      <c r="H30" s="138">
        <v>0</v>
      </c>
      <c r="I30" s="139">
        <f t="shared" si="0"/>
        <v>10831</v>
      </c>
      <c r="J30" s="130">
        <f t="shared" si="0"/>
        <v>6033.7</v>
      </c>
      <c r="K30" s="140">
        <f t="shared" si="1"/>
        <v>55.70769088726802</v>
      </c>
    </row>
    <row r="31" spans="1:11" ht="60">
      <c r="A31" s="136" t="s">
        <v>74</v>
      </c>
      <c r="B31" s="147" t="s">
        <v>246</v>
      </c>
      <c r="C31" s="129">
        <v>1963</v>
      </c>
      <c r="D31" s="129">
        <v>780.1</v>
      </c>
      <c r="E31" s="129">
        <f t="shared" si="5"/>
        <v>39.74019358125319</v>
      </c>
      <c r="F31" s="138">
        <v>0</v>
      </c>
      <c r="G31" s="138">
        <v>0</v>
      </c>
      <c r="H31" s="138">
        <v>0</v>
      </c>
      <c r="I31" s="139">
        <f t="shared" si="0"/>
        <v>1963</v>
      </c>
      <c r="J31" s="130">
        <f t="shared" si="0"/>
        <v>780.1</v>
      </c>
      <c r="K31" s="140">
        <f t="shared" si="1"/>
        <v>39.74019358125319</v>
      </c>
    </row>
    <row r="32" spans="1:11" ht="60">
      <c r="A32" s="141" t="s">
        <v>74</v>
      </c>
      <c r="B32" s="147" t="s">
        <v>293</v>
      </c>
      <c r="C32" s="129">
        <v>77784.6</v>
      </c>
      <c r="D32" s="129">
        <f>14778</f>
        <v>14778</v>
      </c>
      <c r="E32" s="129">
        <f t="shared" si="5"/>
        <v>18.998619263967417</v>
      </c>
      <c r="F32" s="138">
        <v>14254</v>
      </c>
      <c r="G32" s="138">
        <v>200</v>
      </c>
      <c r="H32" s="138">
        <f aca="true" t="shared" si="6" ref="H32:H37">G32/F32*100</f>
        <v>1.4031149151115476</v>
      </c>
      <c r="I32" s="139">
        <f>C32+F32-14254</f>
        <v>77784.6</v>
      </c>
      <c r="J32" s="130">
        <f>D32+G32-1450.1</f>
        <v>13527.9</v>
      </c>
      <c r="K32" s="140">
        <f>J32/I32*100</f>
        <v>17.391488803696358</v>
      </c>
    </row>
    <row r="33" spans="1:11" ht="60">
      <c r="A33" s="141" t="s">
        <v>74</v>
      </c>
      <c r="B33" s="147" t="s">
        <v>294</v>
      </c>
      <c r="C33" s="129">
        <v>3343.9</v>
      </c>
      <c r="D33" s="129">
        <v>701.5</v>
      </c>
      <c r="E33" s="129">
        <f t="shared" si="5"/>
        <v>20.978498160830167</v>
      </c>
      <c r="F33" s="138">
        <v>3022.8</v>
      </c>
      <c r="G33" s="138">
        <v>0</v>
      </c>
      <c r="H33" s="138">
        <f t="shared" si="6"/>
        <v>0</v>
      </c>
      <c r="I33" s="139">
        <f>C33+F33</f>
        <v>6366.700000000001</v>
      </c>
      <c r="J33" s="130">
        <f>D33+G33</f>
        <v>701.5</v>
      </c>
      <c r="K33" s="140">
        <f>J33/I33*100</f>
        <v>11.01826692006848</v>
      </c>
    </row>
    <row r="34" spans="1:11" ht="105">
      <c r="A34" s="141" t="s">
        <v>74</v>
      </c>
      <c r="B34" s="137" t="s">
        <v>295</v>
      </c>
      <c r="C34" s="129">
        <v>2500</v>
      </c>
      <c r="D34" s="129">
        <v>2500</v>
      </c>
      <c r="E34" s="129">
        <f t="shared" si="5"/>
        <v>100</v>
      </c>
      <c r="F34" s="138">
        <v>2500</v>
      </c>
      <c r="G34" s="138">
        <v>2000</v>
      </c>
      <c r="H34" s="138">
        <f t="shared" si="6"/>
        <v>80</v>
      </c>
      <c r="I34" s="139">
        <f>C34+F34-2500</f>
        <v>2500</v>
      </c>
      <c r="J34" s="130">
        <f>D34+G34-2500</f>
        <v>2000</v>
      </c>
      <c r="K34" s="140">
        <f>J34/I34*100</f>
        <v>80</v>
      </c>
    </row>
    <row r="35" spans="1:11" ht="30">
      <c r="A35" s="141" t="s">
        <v>74</v>
      </c>
      <c r="B35" s="137" t="s">
        <v>247</v>
      </c>
      <c r="C35" s="129"/>
      <c r="D35" s="129"/>
      <c r="E35" s="129"/>
      <c r="F35" s="138">
        <v>32434.7</v>
      </c>
      <c r="G35" s="138">
        <v>12901.3</v>
      </c>
      <c r="H35" s="138">
        <f t="shared" si="6"/>
        <v>39.776227312107096</v>
      </c>
      <c r="I35" s="139">
        <f>C35+F35</f>
        <v>32434.7</v>
      </c>
      <c r="J35" s="130">
        <f>D35+G35</f>
        <v>12901.3</v>
      </c>
      <c r="K35" s="140">
        <f>J35/I35*100</f>
        <v>39.776227312107096</v>
      </c>
    </row>
    <row r="36" spans="1:11" ht="15">
      <c r="A36" s="136" t="s">
        <v>67</v>
      </c>
      <c r="B36" s="137" t="s">
        <v>68</v>
      </c>
      <c r="C36" s="129">
        <v>5520.4</v>
      </c>
      <c r="D36" s="129">
        <v>2684.4</v>
      </c>
      <c r="E36" s="129">
        <f t="shared" si="5"/>
        <v>48.62691109339903</v>
      </c>
      <c r="F36" s="138">
        <v>2950</v>
      </c>
      <c r="G36" s="138">
        <v>1964.5</v>
      </c>
      <c r="H36" s="138">
        <f t="shared" si="6"/>
        <v>66.59322033898304</v>
      </c>
      <c r="I36" s="139">
        <f t="shared" si="0"/>
        <v>8470.4</v>
      </c>
      <c r="J36" s="130">
        <f t="shared" si="0"/>
        <v>4648.9</v>
      </c>
      <c r="K36" s="140">
        <f t="shared" si="1"/>
        <v>54.88406686815262</v>
      </c>
    </row>
    <row r="37" spans="1:11" ht="30">
      <c r="A37" s="136" t="s">
        <v>28</v>
      </c>
      <c r="B37" s="137" t="s">
        <v>296</v>
      </c>
      <c r="C37" s="129">
        <v>0</v>
      </c>
      <c r="D37" s="129">
        <v>0</v>
      </c>
      <c r="E37" s="129">
        <v>0</v>
      </c>
      <c r="F37" s="138">
        <v>500</v>
      </c>
      <c r="G37" s="138">
        <v>45.9</v>
      </c>
      <c r="H37" s="138">
        <f t="shared" si="6"/>
        <v>9.18</v>
      </c>
      <c r="I37" s="139">
        <f t="shared" si="0"/>
        <v>500</v>
      </c>
      <c r="J37" s="130">
        <f t="shared" si="0"/>
        <v>45.9</v>
      </c>
      <c r="K37" s="140">
        <f t="shared" si="1"/>
        <v>9.18</v>
      </c>
    </row>
    <row r="38" spans="1:11" ht="60">
      <c r="A38" s="136" t="s">
        <v>28</v>
      </c>
      <c r="B38" s="147" t="s">
        <v>297</v>
      </c>
      <c r="C38" s="129">
        <v>3532</v>
      </c>
      <c r="D38" s="129">
        <v>3253.9</v>
      </c>
      <c r="E38" s="129">
        <f t="shared" si="5"/>
        <v>92.12627406568517</v>
      </c>
      <c r="F38" s="138">
        <v>0</v>
      </c>
      <c r="G38" s="138">
        <v>0</v>
      </c>
      <c r="H38" s="138">
        <v>0</v>
      </c>
      <c r="I38" s="139">
        <f t="shared" si="0"/>
        <v>3532</v>
      </c>
      <c r="J38" s="130">
        <f t="shared" si="0"/>
        <v>3253.9</v>
      </c>
      <c r="K38" s="140">
        <f t="shared" si="1"/>
        <v>92.12627406568517</v>
      </c>
    </row>
    <row r="39" spans="1:11" ht="60">
      <c r="A39" s="136" t="s">
        <v>28</v>
      </c>
      <c r="B39" s="147" t="s">
        <v>248</v>
      </c>
      <c r="C39" s="129">
        <v>4500</v>
      </c>
      <c r="D39" s="138">
        <v>3421.4</v>
      </c>
      <c r="E39" s="129">
        <f t="shared" si="5"/>
        <v>76.03111111111112</v>
      </c>
      <c r="F39" s="138">
        <v>0</v>
      </c>
      <c r="G39" s="138">
        <v>0</v>
      </c>
      <c r="H39" s="138">
        <v>0</v>
      </c>
      <c r="I39" s="139">
        <f t="shared" si="0"/>
        <v>4500</v>
      </c>
      <c r="J39" s="130">
        <f t="shared" si="0"/>
        <v>3421.4</v>
      </c>
      <c r="K39" s="140">
        <f t="shared" si="1"/>
        <v>76.03111111111112</v>
      </c>
    </row>
    <row r="40" spans="1:11" ht="75">
      <c r="A40" s="141" t="s">
        <v>28</v>
      </c>
      <c r="B40" s="147" t="s">
        <v>282</v>
      </c>
      <c r="C40" s="129">
        <v>13799.8</v>
      </c>
      <c r="D40" s="138">
        <v>7719.8</v>
      </c>
      <c r="E40" s="129">
        <f t="shared" si="5"/>
        <v>55.94139045493414</v>
      </c>
      <c r="F40" s="138"/>
      <c r="G40" s="138"/>
      <c r="H40" s="138"/>
      <c r="I40" s="139">
        <f t="shared" si="0"/>
        <v>13799.8</v>
      </c>
      <c r="J40" s="130">
        <f t="shared" si="0"/>
        <v>7719.8</v>
      </c>
      <c r="K40" s="140">
        <f t="shared" si="1"/>
        <v>55.94139045493414</v>
      </c>
    </row>
    <row r="41" spans="1:11" ht="45">
      <c r="A41" s="141" t="s">
        <v>28</v>
      </c>
      <c r="B41" s="147" t="s">
        <v>249</v>
      </c>
      <c r="C41" s="129">
        <v>1416.8</v>
      </c>
      <c r="D41" s="138">
        <v>553.9</v>
      </c>
      <c r="E41" s="129">
        <f t="shared" si="5"/>
        <v>39.095143986448335</v>
      </c>
      <c r="F41" s="138">
        <v>0</v>
      </c>
      <c r="G41" s="138">
        <v>0</v>
      </c>
      <c r="H41" s="138">
        <v>0</v>
      </c>
      <c r="I41" s="139">
        <f t="shared" si="0"/>
        <v>1416.8</v>
      </c>
      <c r="J41" s="130">
        <f t="shared" si="0"/>
        <v>553.9</v>
      </c>
      <c r="K41" s="140">
        <f t="shared" si="1"/>
        <v>39.095143986448335</v>
      </c>
    </row>
    <row r="42" spans="1:11" ht="90">
      <c r="A42" s="141" t="s">
        <v>28</v>
      </c>
      <c r="B42" s="147" t="s">
        <v>302</v>
      </c>
      <c r="C42" s="129">
        <v>1000</v>
      </c>
      <c r="D42" s="138">
        <v>703</v>
      </c>
      <c r="E42" s="129">
        <f t="shared" si="5"/>
        <v>70.3</v>
      </c>
      <c r="F42" s="138">
        <v>0</v>
      </c>
      <c r="G42" s="138">
        <v>0</v>
      </c>
      <c r="H42" s="138"/>
      <c r="I42" s="139">
        <f t="shared" si="0"/>
        <v>1000</v>
      </c>
      <c r="J42" s="130">
        <f t="shared" si="0"/>
        <v>703</v>
      </c>
      <c r="K42" s="140">
        <f t="shared" si="1"/>
        <v>70.3</v>
      </c>
    </row>
    <row r="43" spans="1:11" ht="105">
      <c r="A43" s="141" t="s">
        <v>28</v>
      </c>
      <c r="B43" s="147" t="s">
        <v>303</v>
      </c>
      <c r="C43" s="129">
        <v>61</v>
      </c>
      <c r="D43" s="138">
        <v>61</v>
      </c>
      <c r="E43" s="129">
        <f t="shared" si="5"/>
        <v>100</v>
      </c>
      <c r="F43" s="138"/>
      <c r="G43" s="138"/>
      <c r="H43" s="138"/>
      <c r="I43" s="139">
        <f t="shared" si="0"/>
        <v>61</v>
      </c>
      <c r="J43" s="130">
        <f t="shared" si="0"/>
        <v>61</v>
      </c>
      <c r="K43" s="140">
        <f t="shared" si="1"/>
        <v>100</v>
      </c>
    </row>
    <row r="44" spans="1:11" ht="75">
      <c r="A44" s="141" t="s">
        <v>28</v>
      </c>
      <c r="B44" s="147" t="s">
        <v>250</v>
      </c>
      <c r="C44" s="129">
        <v>5547.5</v>
      </c>
      <c r="D44" s="138">
        <v>2814.9</v>
      </c>
      <c r="E44" s="129">
        <f t="shared" si="5"/>
        <v>50.741775574583144</v>
      </c>
      <c r="F44" s="138"/>
      <c r="G44" s="138"/>
      <c r="H44" s="138"/>
      <c r="I44" s="139">
        <f t="shared" si="0"/>
        <v>5547.5</v>
      </c>
      <c r="J44" s="130">
        <f t="shared" si="0"/>
        <v>2814.9</v>
      </c>
      <c r="K44" s="140">
        <f t="shared" si="1"/>
        <v>50.741775574583144</v>
      </c>
    </row>
    <row r="45" spans="1:11" ht="60">
      <c r="A45" s="141" t="s">
        <v>28</v>
      </c>
      <c r="B45" s="147" t="s">
        <v>304</v>
      </c>
      <c r="C45" s="129">
        <v>245.1</v>
      </c>
      <c r="D45" s="138">
        <v>151</v>
      </c>
      <c r="E45" s="129">
        <f t="shared" si="5"/>
        <v>61.60750713994288</v>
      </c>
      <c r="F45" s="138"/>
      <c r="G45" s="138"/>
      <c r="H45" s="138"/>
      <c r="I45" s="139">
        <f t="shared" si="0"/>
        <v>245.1</v>
      </c>
      <c r="J45" s="130">
        <f t="shared" si="0"/>
        <v>151</v>
      </c>
      <c r="K45" s="140">
        <f t="shared" si="1"/>
        <v>61.60750713994288</v>
      </c>
    </row>
    <row r="46" spans="1:11" ht="75">
      <c r="A46" s="141" t="s">
        <v>28</v>
      </c>
      <c r="B46" s="147" t="s">
        <v>283</v>
      </c>
      <c r="C46" s="129">
        <v>1013</v>
      </c>
      <c r="D46" s="138">
        <v>0</v>
      </c>
      <c r="E46" s="129">
        <f t="shared" si="5"/>
        <v>0</v>
      </c>
      <c r="F46" s="138"/>
      <c r="G46" s="138"/>
      <c r="H46" s="138"/>
      <c r="I46" s="139">
        <f t="shared" si="0"/>
        <v>1013</v>
      </c>
      <c r="J46" s="130">
        <f t="shared" si="0"/>
        <v>0</v>
      </c>
      <c r="K46" s="140">
        <f t="shared" si="1"/>
        <v>0</v>
      </c>
    </row>
    <row r="47" spans="1:11" ht="60">
      <c r="A47" s="141" t="s">
        <v>28</v>
      </c>
      <c r="B47" s="147" t="s">
        <v>305</v>
      </c>
      <c r="C47" s="129">
        <v>600</v>
      </c>
      <c r="D47" s="138">
        <v>0</v>
      </c>
      <c r="E47" s="129">
        <f t="shared" si="5"/>
        <v>0</v>
      </c>
      <c r="F47" s="138"/>
      <c r="G47" s="138"/>
      <c r="H47" s="138"/>
      <c r="I47" s="139">
        <f t="shared" si="0"/>
        <v>600</v>
      </c>
      <c r="J47" s="130">
        <f t="shared" si="0"/>
        <v>0</v>
      </c>
      <c r="K47" s="140">
        <f t="shared" si="1"/>
        <v>0</v>
      </c>
    </row>
    <row r="48" spans="1:11" ht="14.25">
      <c r="A48" s="131" t="s">
        <v>29</v>
      </c>
      <c r="B48" s="132" t="s">
        <v>30</v>
      </c>
      <c r="C48" s="270">
        <f>SUM(C49:C72)</f>
        <v>277939.2</v>
      </c>
      <c r="D48" s="270">
        <f>SUM(D49:D71)</f>
        <v>174263.59999999998</v>
      </c>
      <c r="E48" s="133">
        <f t="shared" si="5"/>
        <v>62.69846067053513</v>
      </c>
      <c r="F48" s="148">
        <f>SUM(F49:F72)</f>
        <v>90905.50000000001</v>
      </c>
      <c r="G48" s="148">
        <f>SUM(G49:G71)</f>
        <v>40056.8</v>
      </c>
      <c r="H48" s="148">
        <f>G48/F48*100</f>
        <v>44.0642205367112</v>
      </c>
      <c r="I48" s="148">
        <f>SUM(I49:I72)</f>
        <v>359980.30000000005</v>
      </c>
      <c r="J48" s="148">
        <f>SUM(J49:J71)</f>
        <v>208441.89999999997</v>
      </c>
      <c r="K48" s="135">
        <f t="shared" si="1"/>
        <v>57.903696396719475</v>
      </c>
    </row>
    <row r="49" spans="1:11" ht="15">
      <c r="A49" s="149" t="s">
        <v>31</v>
      </c>
      <c r="B49" s="150" t="s">
        <v>251</v>
      </c>
      <c r="C49" s="129">
        <v>1121.3</v>
      </c>
      <c r="D49" s="129">
        <v>721.4</v>
      </c>
      <c r="E49" s="145">
        <f t="shared" si="5"/>
        <v>64.33603852671007</v>
      </c>
      <c r="F49" s="138">
        <v>30357.4</v>
      </c>
      <c r="G49" s="138">
        <v>14456.6</v>
      </c>
      <c r="H49" s="138">
        <f>G49/F49*100</f>
        <v>47.6213377957269</v>
      </c>
      <c r="I49" s="139">
        <f t="shared" si="0"/>
        <v>31478.7</v>
      </c>
      <c r="J49" s="130">
        <f t="shared" si="0"/>
        <v>15178</v>
      </c>
      <c r="K49" s="140">
        <f t="shared" si="1"/>
        <v>48.21673067820463</v>
      </c>
    </row>
    <row r="50" spans="1:11" ht="90">
      <c r="A50" s="136" t="s">
        <v>31</v>
      </c>
      <c r="B50" s="137" t="s">
        <v>252</v>
      </c>
      <c r="C50" s="129">
        <v>119108.5</v>
      </c>
      <c r="D50" s="129">
        <v>107814.4</v>
      </c>
      <c r="E50" s="145">
        <f t="shared" si="5"/>
        <v>90.51780519442356</v>
      </c>
      <c r="F50" s="138">
        <v>0</v>
      </c>
      <c r="G50" s="138">
        <v>0</v>
      </c>
      <c r="H50" s="138">
        <v>0</v>
      </c>
      <c r="I50" s="139">
        <f t="shared" si="0"/>
        <v>119108.5</v>
      </c>
      <c r="J50" s="130">
        <f t="shared" si="0"/>
        <v>107814.4</v>
      </c>
      <c r="K50" s="140">
        <f t="shared" si="1"/>
        <v>90.51780519442356</v>
      </c>
    </row>
    <row r="51" spans="1:11" ht="105">
      <c r="A51" s="141" t="s">
        <v>31</v>
      </c>
      <c r="B51" s="137" t="s">
        <v>320</v>
      </c>
      <c r="C51" s="129">
        <v>0</v>
      </c>
      <c r="D51" s="129">
        <v>0</v>
      </c>
      <c r="E51" s="145"/>
      <c r="F51" s="138">
        <v>18.5</v>
      </c>
      <c r="G51" s="138"/>
      <c r="H51" s="138">
        <f>G51/F51*100</f>
        <v>0</v>
      </c>
      <c r="I51" s="139">
        <f t="shared" si="0"/>
        <v>18.5</v>
      </c>
      <c r="J51" s="130">
        <f t="shared" si="0"/>
        <v>0</v>
      </c>
      <c r="K51" s="140">
        <f t="shared" si="1"/>
        <v>0</v>
      </c>
    </row>
    <row r="52" spans="1:11" ht="105">
      <c r="A52" s="141" t="s">
        <v>31</v>
      </c>
      <c r="B52" s="137" t="s">
        <v>321</v>
      </c>
      <c r="C52" s="129">
        <v>0</v>
      </c>
      <c r="D52" s="129">
        <v>0</v>
      </c>
      <c r="E52" s="145"/>
      <c r="F52" s="138">
        <v>39.6</v>
      </c>
      <c r="G52" s="138"/>
      <c r="H52" s="138">
        <f>G52/F52*100</f>
        <v>0</v>
      </c>
      <c r="I52" s="139">
        <f t="shared" si="0"/>
        <v>39.6</v>
      </c>
      <c r="J52" s="130">
        <f t="shared" si="0"/>
        <v>0</v>
      </c>
      <c r="K52" s="140">
        <f t="shared" si="1"/>
        <v>0</v>
      </c>
    </row>
    <row r="53" spans="1:11" ht="40.5" customHeight="1">
      <c r="A53" s="141" t="s">
        <v>31</v>
      </c>
      <c r="B53" s="137" t="s">
        <v>253</v>
      </c>
      <c r="C53" s="129">
        <v>2350</v>
      </c>
      <c r="D53" s="129">
        <v>2350</v>
      </c>
      <c r="E53" s="145">
        <v>0</v>
      </c>
      <c r="F53" s="138">
        <v>2451.1</v>
      </c>
      <c r="G53" s="138">
        <v>766</v>
      </c>
      <c r="H53" s="138">
        <f>G53/F53*100</f>
        <v>31.251274937783037</v>
      </c>
      <c r="I53" s="139">
        <f>C53+F53-2350</f>
        <v>2451.1000000000004</v>
      </c>
      <c r="J53" s="130">
        <f>D53+G53-2350</f>
        <v>766</v>
      </c>
      <c r="K53" s="140">
        <f t="shared" si="1"/>
        <v>31.25127493778303</v>
      </c>
    </row>
    <row r="54" spans="1:11" ht="135">
      <c r="A54" s="136" t="s">
        <v>32</v>
      </c>
      <c r="B54" s="137" t="s">
        <v>284</v>
      </c>
      <c r="C54" s="129">
        <v>8799.6</v>
      </c>
      <c r="D54" s="129">
        <v>2875.5</v>
      </c>
      <c r="E54" s="145">
        <f t="shared" si="5"/>
        <v>32.67762171007773</v>
      </c>
      <c r="F54" s="138"/>
      <c r="G54" s="138"/>
      <c r="H54" s="138"/>
      <c r="I54" s="139">
        <f t="shared" si="0"/>
        <v>8799.6</v>
      </c>
      <c r="J54" s="130">
        <f t="shared" si="0"/>
        <v>2875.5</v>
      </c>
      <c r="K54" s="140">
        <f t="shared" si="1"/>
        <v>32.67762171007773</v>
      </c>
    </row>
    <row r="55" spans="1:11" ht="135">
      <c r="A55" s="136" t="s">
        <v>32</v>
      </c>
      <c r="B55" s="137" t="s">
        <v>285</v>
      </c>
      <c r="C55" s="129">
        <v>6786.2</v>
      </c>
      <c r="D55" s="159">
        <v>5706.3</v>
      </c>
      <c r="E55" s="145">
        <f t="shared" si="5"/>
        <v>84.08682325896673</v>
      </c>
      <c r="F55" s="138"/>
      <c r="G55" s="138"/>
      <c r="H55" s="138"/>
      <c r="I55" s="139">
        <f t="shared" si="0"/>
        <v>6786.2</v>
      </c>
      <c r="J55" s="130">
        <f t="shared" si="0"/>
        <v>5706.3</v>
      </c>
      <c r="K55" s="140">
        <f t="shared" si="1"/>
        <v>84.08682325896673</v>
      </c>
    </row>
    <row r="56" spans="1:11" ht="135">
      <c r="A56" s="136" t="s">
        <v>32</v>
      </c>
      <c r="B56" s="137" t="s">
        <v>322</v>
      </c>
      <c r="C56" s="129">
        <v>9131.1</v>
      </c>
      <c r="D56" s="159">
        <v>3078.9</v>
      </c>
      <c r="E56" s="145">
        <f>D56/C56*100</f>
        <v>33.71882905674015</v>
      </c>
      <c r="F56" s="138"/>
      <c r="G56" s="138"/>
      <c r="H56" s="138"/>
      <c r="I56" s="139">
        <f>C56+F56</f>
        <v>9131.1</v>
      </c>
      <c r="J56" s="130">
        <f>D56+G56</f>
        <v>3078.9</v>
      </c>
      <c r="K56" s="140">
        <f>J56/I56*100</f>
        <v>33.71882905674015</v>
      </c>
    </row>
    <row r="57" spans="1:11" ht="135">
      <c r="A57" s="136" t="s">
        <v>32</v>
      </c>
      <c r="B57" s="137" t="s">
        <v>286</v>
      </c>
      <c r="C57" s="129">
        <v>3928.5</v>
      </c>
      <c r="D57" s="159">
        <v>2052.6</v>
      </c>
      <c r="E57" s="145">
        <f>D57/C57*100</f>
        <v>52.24894998090874</v>
      </c>
      <c r="F57" s="138"/>
      <c r="G57" s="138"/>
      <c r="H57" s="138"/>
      <c r="I57" s="139">
        <f>C57+F57</f>
        <v>3928.5</v>
      </c>
      <c r="J57" s="130">
        <f>D57+G57</f>
        <v>2052.6</v>
      </c>
      <c r="K57" s="140">
        <f>J57/I57*100</f>
        <v>52.24894998090874</v>
      </c>
    </row>
    <row r="58" spans="1:11" ht="120">
      <c r="A58" s="136" t="s">
        <v>32</v>
      </c>
      <c r="B58" s="137" t="s">
        <v>306</v>
      </c>
      <c r="C58" s="129">
        <v>23795.6</v>
      </c>
      <c r="D58" s="159">
        <v>3137.2</v>
      </c>
      <c r="E58" s="145">
        <f t="shared" si="5"/>
        <v>13.183949973944763</v>
      </c>
      <c r="F58" s="138"/>
      <c r="G58" s="138"/>
      <c r="H58" s="138">
        <v>0</v>
      </c>
      <c r="I58" s="139">
        <f t="shared" si="0"/>
        <v>23795.6</v>
      </c>
      <c r="J58" s="130">
        <f t="shared" si="0"/>
        <v>3137.2</v>
      </c>
      <c r="K58" s="140">
        <f t="shared" si="1"/>
        <v>13.183949973944763</v>
      </c>
    </row>
    <row r="59" spans="1:11" ht="120">
      <c r="A59" s="136" t="s">
        <v>32</v>
      </c>
      <c r="B59" s="137" t="s">
        <v>307</v>
      </c>
      <c r="C59" s="129">
        <v>4791.8</v>
      </c>
      <c r="D59" s="159">
        <v>1056</v>
      </c>
      <c r="E59" s="145">
        <f t="shared" si="5"/>
        <v>22.037647648065445</v>
      </c>
      <c r="F59" s="138"/>
      <c r="G59" s="138"/>
      <c r="H59" s="138"/>
      <c r="I59" s="139">
        <f t="shared" si="0"/>
        <v>4791.8</v>
      </c>
      <c r="J59" s="130">
        <f t="shared" si="0"/>
        <v>1056</v>
      </c>
      <c r="K59" s="140">
        <f t="shared" si="1"/>
        <v>22.037647648065445</v>
      </c>
    </row>
    <row r="60" spans="1:11" ht="105">
      <c r="A60" s="136" t="s">
        <v>32</v>
      </c>
      <c r="B60" s="147" t="s">
        <v>308</v>
      </c>
      <c r="C60" s="129">
        <v>28417.1</v>
      </c>
      <c r="D60" s="129">
        <v>10191.8</v>
      </c>
      <c r="E60" s="145">
        <f t="shared" si="5"/>
        <v>35.86502493217112</v>
      </c>
      <c r="F60" s="138"/>
      <c r="G60" s="138"/>
      <c r="H60" s="138">
        <v>0</v>
      </c>
      <c r="I60" s="139">
        <f t="shared" si="0"/>
        <v>28417.1</v>
      </c>
      <c r="J60" s="130">
        <f t="shared" si="0"/>
        <v>10191.8</v>
      </c>
      <c r="K60" s="140">
        <f t="shared" si="1"/>
        <v>35.86502493217112</v>
      </c>
    </row>
    <row r="61" spans="1:11" ht="120">
      <c r="A61" s="141" t="s">
        <v>32</v>
      </c>
      <c r="B61" s="147" t="s">
        <v>323</v>
      </c>
      <c r="C61" s="129">
        <v>33079.4</v>
      </c>
      <c r="D61" s="159">
        <v>15535.1</v>
      </c>
      <c r="E61" s="145">
        <f t="shared" si="5"/>
        <v>46.96306462632333</v>
      </c>
      <c r="F61" s="138"/>
      <c r="G61" s="138"/>
      <c r="H61" s="138">
        <v>0</v>
      </c>
      <c r="I61" s="139">
        <f t="shared" si="0"/>
        <v>33079.4</v>
      </c>
      <c r="J61" s="130">
        <f t="shared" si="0"/>
        <v>15535.1</v>
      </c>
      <c r="K61" s="140">
        <f t="shared" si="1"/>
        <v>46.96306462632333</v>
      </c>
    </row>
    <row r="62" spans="1:11" ht="120">
      <c r="A62" s="141" t="s">
        <v>32</v>
      </c>
      <c r="B62" s="147" t="s">
        <v>287</v>
      </c>
      <c r="C62" s="129">
        <v>14684.6</v>
      </c>
      <c r="D62" s="159">
        <v>6412.7</v>
      </c>
      <c r="E62" s="145">
        <f t="shared" si="5"/>
        <v>43.669558585184475</v>
      </c>
      <c r="F62" s="138"/>
      <c r="G62" s="138"/>
      <c r="H62" s="138"/>
      <c r="I62" s="139">
        <f t="shared" si="0"/>
        <v>14684.6</v>
      </c>
      <c r="J62" s="130">
        <f t="shared" si="0"/>
        <v>6412.7</v>
      </c>
      <c r="K62" s="140">
        <f t="shared" si="1"/>
        <v>43.669558585184475</v>
      </c>
    </row>
    <row r="63" spans="1:11" ht="120">
      <c r="A63" s="141" t="s">
        <v>32</v>
      </c>
      <c r="B63" s="147" t="s">
        <v>309</v>
      </c>
      <c r="C63" s="129">
        <v>3500</v>
      </c>
      <c r="D63" s="159">
        <v>3500</v>
      </c>
      <c r="E63" s="145">
        <f t="shared" si="5"/>
        <v>100</v>
      </c>
      <c r="F63" s="138"/>
      <c r="G63" s="138"/>
      <c r="H63" s="138"/>
      <c r="I63" s="139">
        <f t="shared" si="0"/>
        <v>3500</v>
      </c>
      <c r="J63" s="130">
        <f t="shared" si="0"/>
        <v>3500</v>
      </c>
      <c r="K63" s="140">
        <f t="shared" si="1"/>
        <v>100</v>
      </c>
    </row>
    <row r="64" spans="1:11" ht="120">
      <c r="A64" s="141" t="s">
        <v>32</v>
      </c>
      <c r="B64" s="147" t="s">
        <v>310</v>
      </c>
      <c r="C64" s="129">
        <v>1504.3</v>
      </c>
      <c r="D64" s="159">
        <v>752.3</v>
      </c>
      <c r="E64" s="145">
        <f t="shared" si="5"/>
        <v>50.00997141527621</v>
      </c>
      <c r="F64" s="138">
        <v>1543.9</v>
      </c>
      <c r="G64" s="138">
        <v>791.6</v>
      </c>
      <c r="H64" s="138">
        <f>G64/F64*100</f>
        <v>51.272750825830684</v>
      </c>
      <c r="I64" s="139">
        <f>C64+F64-1504.3</f>
        <v>1543.8999999999999</v>
      </c>
      <c r="J64" s="130">
        <f>D64+G64-752.3</f>
        <v>791.6000000000001</v>
      </c>
      <c r="K64" s="140">
        <f t="shared" si="1"/>
        <v>51.272750825830705</v>
      </c>
    </row>
    <row r="65" spans="1:11" ht="60">
      <c r="A65" s="141" t="s">
        <v>32</v>
      </c>
      <c r="B65" s="147" t="s">
        <v>324</v>
      </c>
      <c r="C65" s="129"/>
      <c r="D65" s="159"/>
      <c r="E65" s="145"/>
      <c r="F65" s="138">
        <v>3907</v>
      </c>
      <c r="G65" s="138">
        <v>3524.8</v>
      </c>
      <c r="H65" s="138">
        <f>G65/F65*100</f>
        <v>90.21755822882007</v>
      </c>
      <c r="I65" s="139">
        <f t="shared" si="0"/>
        <v>3907</v>
      </c>
      <c r="J65" s="130">
        <f>D65+G65</f>
        <v>3524.8</v>
      </c>
      <c r="K65" s="140">
        <f t="shared" si="1"/>
        <v>90.21755822882007</v>
      </c>
    </row>
    <row r="66" spans="1:11" ht="30">
      <c r="A66" s="141" t="s">
        <v>32</v>
      </c>
      <c r="B66" s="147" t="s">
        <v>288</v>
      </c>
      <c r="C66" s="129"/>
      <c r="D66" s="159"/>
      <c r="E66" s="145"/>
      <c r="F66" s="138">
        <v>14262.3</v>
      </c>
      <c r="G66" s="138">
        <v>3935.3</v>
      </c>
      <c r="H66" s="138">
        <f>G66/F66*100</f>
        <v>27.59232381873892</v>
      </c>
      <c r="I66" s="139">
        <f t="shared" si="0"/>
        <v>14262.3</v>
      </c>
      <c r="J66" s="130">
        <f>D66+G66</f>
        <v>3935.3</v>
      </c>
      <c r="K66" s="140">
        <f t="shared" si="1"/>
        <v>27.59232381873892</v>
      </c>
    </row>
    <row r="67" spans="1:11" ht="60">
      <c r="A67" s="141" t="s">
        <v>33</v>
      </c>
      <c r="B67" s="147" t="s">
        <v>254</v>
      </c>
      <c r="C67" s="129">
        <v>11344</v>
      </c>
      <c r="D67" s="159">
        <v>5770.3</v>
      </c>
      <c r="E67" s="145">
        <f>D67/C67*100</f>
        <v>50.86653737658674</v>
      </c>
      <c r="F67" s="138"/>
      <c r="G67" s="138"/>
      <c r="H67" s="138"/>
      <c r="I67" s="139">
        <f t="shared" si="0"/>
        <v>11344</v>
      </c>
      <c r="J67" s="130">
        <f>D67+G67</f>
        <v>5770.3</v>
      </c>
      <c r="K67" s="140">
        <f t="shared" si="1"/>
        <v>50.86653737658674</v>
      </c>
    </row>
    <row r="68" spans="1:11" ht="45">
      <c r="A68" s="141" t="s">
        <v>33</v>
      </c>
      <c r="B68" s="147" t="s">
        <v>255</v>
      </c>
      <c r="C68" s="129">
        <v>3153.8</v>
      </c>
      <c r="D68" s="159">
        <v>2776.2</v>
      </c>
      <c r="E68" s="145">
        <f>D68/C68*100</f>
        <v>88.02714186061257</v>
      </c>
      <c r="F68" s="138">
        <v>3153.8</v>
      </c>
      <c r="G68" s="138"/>
      <c r="H68" s="138"/>
      <c r="I68" s="139">
        <f>C68+F68-3153.8</f>
        <v>3153.8</v>
      </c>
      <c r="J68" s="130">
        <f>D68+G68-2776.2</f>
        <v>0</v>
      </c>
      <c r="K68" s="140">
        <f t="shared" si="1"/>
        <v>0</v>
      </c>
    </row>
    <row r="69" spans="1:11" ht="150">
      <c r="A69" s="136" t="s">
        <v>33</v>
      </c>
      <c r="B69" s="137" t="s">
        <v>256</v>
      </c>
      <c r="C69" s="129">
        <v>0</v>
      </c>
      <c r="D69" s="129">
        <v>0</v>
      </c>
      <c r="E69" s="145">
        <v>0</v>
      </c>
      <c r="F69" s="129">
        <v>1919.2</v>
      </c>
      <c r="G69" s="138"/>
      <c r="H69" s="138">
        <v>0</v>
      </c>
      <c r="I69" s="139">
        <f t="shared" si="0"/>
        <v>1919.2</v>
      </c>
      <c r="J69" s="130">
        <f t="shared" si="0"/>
        <v>0</v>
      </c>
      <c r="K69" s="140">
        <f t="shared" si="1"/>
        <v>0</v>
      </c>
    </row>
    <row r="70" spans="1:11" ht="75">
      <c r="A70" s="141" t="s">
        <v>33</v>
      </c>
      <c r="B70" s="137" t="s">
        <v>257</v>
      </c>
      <c r="C70" s="129">
        <v>1500</v>
      </c>
      <c r="D70" s="129">
        <v>0</v>
      </c>
      <c r="E70" s="145">
        <f>D70/C70*100</f>
        <v>0</v>
      </c>
      <c r="F70" s="129">
        <v>1500</v>
      </c>
      <c r="G70" s="138"/>
      <c r="H70" s="138">
        <f>G70/F70*100</f>
        <v>0</v>
      </c>
      <c r="I70" s="139">
        <f>C70+F70-1500</f>
        <v>1500</v>
      </c>
      <c r="J70" s="130">
        <f>D70+G70</f>
        <v>0</v>
      </c>
      <c r="K70" s="140">
        <f t="shared" si="1"/>
        <v>0</v>
      </c>
    </row>
    <row r="71" spans="1:11" ht="15">
      <c r="A71" s="136" t="s">
        <v>33</v>
      </c>
      <c r="B71" s="137" t="s">
        <v>258</v>
      </c>
      <c r="C71" s="129">
        <v>532.9</v>
      </c>
      <c r="D71" s="129">
        <v>532.9</v>
      </c>
      <c r="E71" s="145">
        <f>D71/C71*100</f>
        <v>100</v>
      </c>
      <c r="F71" s="129">
        <v>31396.4</v>
      </c>
      <c r="G71" s="138">
        <v>16582.5</v>
      </c>
      <c r="H71" s="138">
        <f>G71/F71*100</f>
        <v>52.81656495649183</v>
      </c>
      <c r="I71" s="139">
        <f>C71+F71</f>
        <v>31929.300000000003</v>
      </c>
      <c r="J71" s="130">
        <f>D71+G71</f>
        <v>17115.4</v>
      </c>
      <c r="K71" s="140">
        <f t="shared" si="1"/>
        <v>53.60405646224628</v>
      </c>
    </row>
    <row r="72" spans="1:11" ht="45">
      <c r="A72" s="141" t="s">
        <v>138</v>
      </c>
      <c r="B72" s="137" t="s">
        <v>325</v>
      </c>
      <c r="C72" s="129">
        <v>410.5</v>
      </c>
      <c r="D72" s="129"/>
      <c r="E72" s="145">
        <f>D72/C72*100</f>
        <v>0</v>
      </c>
      <c r="F72" s="129">
        <v>356.3</v>
      </c>
      <c r="G72" s="138"/>
      <c r="H72" s="138"/>
      <c r="I72" s="139">
        <f>C72+F72-356.3</f>
        <v>410.49999999999994</v>
      </c>
      <c r="J72" s="130">
        <f>D72+G72</f>
        <v>0</v>
      </c>
      <c r="K72" s="140">
        <f t="shared" si="1"/>
        <v>0</v>
      </c>
    </row>
    <row r="73" spans="1:11" ht="15">
      <c r="A73" s="151" t="s">
        <v>34</v>
      </c>
      <c r="B73" s="152" t="s">
        <v>35</v>
      </c>
      <c r="C73" s="148">
        <f aca="true" t="shared" si="7" ref="C73:H73">C74</f>
        <v>0</v>
      </c>
      <c r="D73" s="148">
        <f t="shared" si="7"/>
        <v>0</v>
      </c>
      <c r="E73" s="133">
        <v>0</v>
      </c>
      <c r="F73" s="148">
        <f t="shared" si="7"/>
        <v>0</v>
      </c>
      <c r="G73" s="148">
        <f t="shared" si="7"/>
        <v>0</v>
      </c>
      <c r="H73" s="134">
        <f t="shared" si="7"/>
        <v>0</v>
      </c>
      <c r="I73" s="148">
        <f t="shared" si="0"/>
        <v>0</v>
      </c>
      <c r="J73" s="148">
        <f t="shared" si="0"/>
        <v>0</v>
      </c>
      <c r="K73" s="135">
        <v>0</v>
      </c>
    </row>
    <row r="74" spans="1:11" ht="30">
      <c r="A74" s="141" t="s">
        <v>36</v>
      </c>
      <c r="B74" s="153" t="s">
        <v>37</v>
      </c>
      <c r="C74" s="146">
        <v>0</v>
      </c>
      <c r="D74" s="138">
        <v>0</v>
      </c>
      <c r="E74" s="129">
        <v>0</v>
      </c>
      <c r="F74" s="138">
        <v>0</v>
      </c>
      <c r="G74" s="138">
        <v>0</v>
      </c>
      <c r="H74" s="138">
        <v>0</v>
      </c>
      <c r="I74" s="139">
        <f t="shared" si="0"/>
        <v>0</v>
      </c>
      <c r="J74" s="130">
        <f t="shared" si="0"/>
        <v>0</v>
      </c>
      <c r="K74" s="140">
        <v>0</v>
      </c>
    </row>
    <row r="75" spans="1:11" ht="15">
      <c r="A75" s="131" t="s">
        <v>38</v>
      </c>
      <c r="B75" s="132" t="s">
        <v>39</v>
      </c>
      <c r="C75" s="133">
        <f>SUM(C76:C81)</f>
        <v>2472110.6</v>
      </c>
      <c r="D75" s="133">
        <f>SUM(D76:D81)</f>
        <v>1258013.6</v>
      </c>
      <c r="E75" s="133">
        <f>D75/C75*100</f>
        <v>50.88824100345673</v>
      </c>
      <c r="F75" s="148">
        <f>F76+F77+F78+F80+F81</f>
        <v>0</v>
      </c>
      <c r="G75" s="148">
        <f>SUM(G76:G81)</f>
        <v>0</v>
      </c>
      <c r="H75" s="134">
        <v>0</v>
      </c>
      <c r="I75" s="133">
        <f>SUM(I76:I81)</f>
        <v>2472110.6</v>
      </c>
      <c r="J75" s="133">
        <f>SUM(J76:J81)</f>
        <v>1258013.6</v>
      </c>
      <c r="K75" s="135">
        <f t="shared" si="1"/>
        <v>50.88824100345673</v>
      </c>
    </row>
    <row r="76" spans="1:11" ht="15">
      <c r="A76" s="136" t="s">
        <v>40</v>
      </c>
      <c r="B76" s="137" t="s">
        <v>41</v>
      </c>
      <c r="C76" s="129">
        <v>528704.5</v>
      </c>
      <c r="D76" s="129">
        <v>241530.3</v>
      </c>
      <c r="E76" s="129">
        <f t="shared" si="5"/>
        <v>45.683420511836005</v>
      </c>
      <c r="F76" s="138">
        <v>0</v>
      </c>
      <c r="G76" s="138">
        <v>0</v>
      </c>
      <c r="H76" s="138">
        <v>0</v>
      </c>
      <c r="I76" s="139">
        <f t="shared" si="0"/>
        <v>528704.5</v>
      </c>
      <c r="J76" s="130">
        <f t="shared" si="0"/>
        <v>241530.3</v>
      </c>
      <c r="K76" s="140">
        <f t="shared" si="1"/>
        <v>45.683420511836005</v>
      </c>
    </row>
    <row r="77" spans="1:11" ht="15">
      <c r="A77" s="136" t="s">
        <v>42</v>
      </c>
      <c r="B77" s="137" t="s">
        <v>43</v>
      </c>
      <c r="C77" s="129">
        <f>1869992.5-C78-C79</f>
        <v>1096151.9</v>
      </c>
      <c r="D77" s="129">
        <f>967563.4-D78-D79</f>
        <v>616798.8</v>
      </c>
      <c r="E77" s="129">
        <f t="shared" si="5"/>
        <v>56.26946411350472</v>
      </c>
      <c r="F77" s="138">
        <v>0</v>
      </c>
      <c r="G77" s="138">
        <v>0</v>
      </c>
      <c r="H77" s="138">
        <v>0</v>
      </c>
      <c r="I77" s="139">
        <f t="shared" si="0"/>
        <v>1096151.9</v>
      </c>
      <c r="J77" s="130">
        <f t="shared" si="0"/>
        <v>616798.8</v>
      </c>
      <c r="K77" s="140">
        <f t="shared" si="1"/>
        <v>56.26946411350472</v>
      </c>
    </row>
    <row r="78" spans="1:11" ht="15">
      <c r="A78" s="136" t="s">
        <v>42</v>
      </c>
      <c r="B78" s="137" t="s">
        <v>259</v>
      </c>
      <c r="C78" s="129">
        <v>43771</v>
      </c>
      <c r="D78" s="129">
        <v>17612.2</v>
      </c>
      <c r="E78" s="129">
        <f t="shared" si="5"/>
        <v>40.237143314066394</v>
      </c>
      <c r="F78" s="138">
        <v>0</v>
      </c>
      <c r="G78" s="138">
        <v>0</v>
      </c>
      <c r="H78" s="138">
        <v>0</v>
      </c>
      <c r="I78" s="139">
        <f t="shared" si="0"/>
        <v>43771</v>
      </c>
      <c r="J78" s="130">
        <f t="shared" si="0"/>
        <v>17612.2</v>
      </c>
      <c r="K78" s="140">
        <f t="shared" si="1"/>
        <v>40.237143314066394</v>
      </c>
    </row>
    <row r="79" spans="1:11" ht="105">
      <c r="A79" s="136" t="s">
        <v>42</v>
      </c>
      <c r="B79" s="137" t="s">
        <v>326</v>
      </c>
      <c r="C79" s="129">
        <v>730069.6</v>
      </c>
      <c r="D79" s="129">
        <v>333152.4</v>
      </c>
      <c r="E79" s="129">
        <f t="shared" si="5"/>
        <v>45.63296430915628</v>
      </c>
      <c r="F79" s="138">
        <v>0</v>
      </c>
      <c r="G79" s="138">
        <v>0</v>
      </c>
      <c r="H79" s="138">
        <v>0</v>
      </c>
      <c r="I79" s="139">
        <f t="shared" si="0"/>
        <v>730069.6</v>
      </c>
      <c r="J79" s="130">
        <f t="shared" si="0"/>
        <v>333152.4</v>
      </c>
      <c r="K79" s="140">
        <f t="shared" si="1"/>
        <v>45.63296430915628</v>
      </c>
    </row>
    <row r="80" spans="1:11" ht="15">
      <c r="A80" s="136" t="s">
        <v>44</v>
      </c>
      <c r="B80" s="137" t="s">
        <v>45</v>
      </c>
      <c r="C80" s="129">
        <v>22288.1</v>
      </c>
      <c r="D80" s="129">
        <v>17394.5</v>
      </c>
      <c r="E80" s="129">
        <f t="shared" si="5"/>
        <v>78.04388889138151</v>
      </c>
      <c r="F80" s="138">
        <v>0</v>
      </c>
      <c r="G80" s="138">
        <v>0</v>
      </c>
      <c r="H80" s="138">
        <v>0</v>
      </c>
      <c r="I80" s="139">
        <f t="shared" si="0"/>
        <v>22288.1</v>
      </c>
      <c r="J80" s="130">
        <f t="shared" si="0"/>
        <v>17394.5</v>
      </c>
      <c r="K80" s="140">
        <f t="shared" si="1"/>
        <v>78.04388889138151</v>
      </c>
    </row>
    <row r="81" spans="1:11" ht="15">
      <c r="A81" s="136" t="s">
        <v>46</v>
      </c>
      <c r="B81" s="137" t="s">
        <v>47</v>
      </c>
      <c r="C81" s="129">
        <v>51125.5</v>
      </c>
      <c r="D81" s="129">
        <v>31525.4</v>
      </c>
      <c r="E81" s="129">
        <f t="shared" si="5"/>
        <v>61.662771024244265</v>
      </c>
      <c r="F81" s="138">
        <v>0</v>
      </c>
      <c r="G81" s="138">
        <v>0</v>
      </c>
      <c r="H81" s="138">
        <v>0</v>
      </c>
      <c r="I81" s="139">
        <f t="shared" si="0"/>
        <v>51125.5</v>
      </c>
      <c r="J81" s="130">
        <f t="shared" si="0"/>
        <v>31525.4</v>
      </c>
      <c r="K81" s="140">
        <f t="shared" si="1"/>
        <v>61.662771024244265</v>
      </c>
    </row>
    <row r="82" spans="1:11" ht="15">
      <c r="A82" s="131" t="s">
        <v>48</v>
      </c>
      <c r="B82" s="132" t="s">
        <v>49</v>
      </c>
      <c r="C82" s="133">
        <f>SUM(C83:C88)</f>
        <v>251916.69999999998</v>
      </c>
      <c r="D82" s="133">
        <f>SUM(D83:D88)</f>
        <v>117880</v>
      </c>
      <c r="E82" s="133">
        <f>D82/C82*100</f>
        <v>46.79324554505517</v>
      </c>
      <c r="F82" s="148">
        <f>SUM(F83:F88)</f>
        <v>87463</v>
      </c>
      <c r="G82" s="148">
        <f>SUM(G83:G88)</f>
        <v>44958.7</v>
      </c>
      <c r="H82" s="134">
        <f>G82/F82*100</f>
        <v>51.403107599785045</v>
      </c>
      <c r="I82" s="148">
        <f>SUM(I83:I88)</f>
        <v>337514.89999999997</v>
      </c>
      <c r="J82" s="148">
        <f>SUM(J83:J88)</f>
        <v>161385.5</v>
      </c>
      <c r="K82" s="135">
        <f t="shared" si="1"/>
        <v>47.81581494624386</v>
      </c>
    </row>
    <row r="83" spans="1:11" ht="15">
      <c r="A83" s="136" t="s">
        <v>50</v>
      </c>
      <c r="B83" s="137" t="s">
        <v>90</v>
      </c>
      <c r="C83" s="129">
        <f>243389.4-C84-C85</f>
        <v>66103.1</v>
      </c>
      <c r="D83" s="129">
        <f>112983.2-D84-D85</f>
        <v>27870.199999999993</v>
      </c>
      <c r="E83" s="129">
        <f t="shared" si="5"/>
        <v>42.16171404971929</v>
      </c>
      <c r="F83" s="138">
        <f>86170-F85-F86</f>
        <v>84368.5</v>
      </c>
      <c r="G83" s="138">
        <f>44808.5-G84-G85-G86</f>
        <v>44692.7</v>
      </c>
      <c r="H83" s="138">
        <f>G83/F83*100</f>
        <v>52.973206824822064</v>
      </c>
      <c r="I83" s="139">
        <f>C83+F83-348.3</f>
        <v>150123.30000000002</v>
      </c>
      <c r="J83" s="130">
        <f>D83+G83</f>
        <v>72562.9</v>
      </c>
      <c r="K83" s="140">
        <f t="shared" si="1"/>
        <v>48.33553485701419</v>
      </c>
    </row>
    <row r="84" spans="1:11" ht="75">
      <c r="A84" s="154" t="s">
        <v>50</v>
      </c>
      <c r="B84" s="155" t="s">
        <v>298</v>
      </c>
      <c r="C84" s="129">
        <v>176304.8</v>
      </c>
      <c r="D84" s="129">
        <v>84191.8</v>
      </c>
      <c r="E84" s="129">
        <f t="shared" si="5"/>
        <v>47.75354953466951</v>
      </c>
      <c r="F84" s="138">
        <v>0</v>
      </c>
      <c r="G84" s="138">
        <v>0</v>
      </c>
      <c r="H84" s="138">
        <v>0</v>
      </c>
      <c r="I84" s="139">
        <f aca="true" t="shared" si="8" ref="I84:J103">C84+F84</f>
        <v>176304.8</v>
      </c>
      <c r="J84" s="130">
        <f t="shared" si="8"/>
        <v>84191.8</v>
      </c>
      <c r="K84" s="140">
        <f>J84/I84*100</f>
        <v>47.75354953466951</v>
      </c>
    </row>
    <row r="85" spans="1:11" ht="15">
      <c r="A85" s="154" t="s">
        <v>50</v>
      </c>
      <c r="B85" s="155" t="s">
        <v>311</v>
      </c>
      <c r="C85" s="129">
        <v>981.5</v>
      </c>
      <c r="D85" s="129">
        <v>921.2</v>
      </c>
      <c r="E85" s="129">
        <f t="shared" si="5"/>
        <v>93.85634233316354</v>
      </c>
      <c r="F85" s="138">
        <v>981.5</v>
      </c>
      <c r="G85" s="138">
        <v>115.8</v>
      </c>
      <c r="H85" s="138">
        <f>G85/F85*100</f>
        <v>11.798267957208354</v>
      </c>
      <c r="I85" s="139">
        <f>C85+F85-981.5</f>
        <v>981.5</v>
      </c>
      <c r="J85" s="130">
        <f>D85+G85-921.2</f>
        <v>115.79999999999995</v>
      </c>
      <c r="K85" s="140">
        <f>J85/I85*100</f>
        <v>11.798267957208349</v>
      </c>
    </row>
    <row r="86" spans="1:11" ht="150">
      <c r="A86" s="154" t="s">
        <v>50</v>
      </c>
      <c r="B86" s="137" t="s">
        <v>289</v>
      </c>
      <c r="C86" s="129">
        <v>0</v>
      </c>
      <c r="D86" s="129">
        <v>0</v>
      </c>
      <c r="E86" s="129">
        <v>0</v>
      </c>
      <c r="F86" s="138">
        <v>820</v>
      </c>
      <c r="G86" s="138">
        <v>0</v>
      </c>
      <c r="H86" s="138">
        <f>G86/F86*100</f>
        <v>0</v>
      </c>
      <c r="I86" s="139">
        <f t="shared" si="8"/>
        <v>820</v>
      </c>
      <c r="J86" s="130">
        <f t="shared" si="8"/>
        <v>0</v>
      </c>
      <c r="K86" s="140">
        <v>0</v>
      </c>
    </row>
    <row r="87" spans="1:11" ht="15">
      <c r="A87" s="136" t="s">
        <v>51</v>
      </c>
      <c r="B87" s="137" t="s">
        <v>52</v>
      </c>
      <c r="C87" s="129">
        <v>350</v>
      </c>
      <c r="D87" s="129">
        <v>270</v>
      </c>
      <c r="E87" s="129">
        <f t="shared" si="5"/>
        <v>77.14285714285715</v>
      </c>
      <c r="F87" s="138">
        <v>768</v>
      </c>
      <c r="G87" s="138">
        <v>117.2</v>
      </c>
      <c r="H87" s="138">
        <f>G87/F87*100</f>
        <v>15.260416666666668</v>
      </c>
      <c r="I87" s="139">
        <f t="shared" si="8"/>
        <v>1118</v>
      </c>
      <c r="J87" s="130">
        <f t="shared" si="8"/>
        <v>387.2</v>
      </c>
      <c r="K87" s="140">
        <f aca="true" t="shared" si="9" ref="K87:K118">J87/I87*100</f>
        <v>34.63327370304115</v>
      </c>
    </row>
    <row r="88" spans="1:11" ht="30">
      <c r="A88" s="136" t="s">
        <v>53</v>
      </c>
      <c r="B88" s="137" t="s">
        <v>91</v>
      </c>
      <c r="C88" s="129">
        <v>8177.3</v>
      </c>
      <c r="D88" s="129">
        <v>4626.8</v>
      </c>
      <c r="E88" s="129">
        <f t="shared" si="5"/>
        <v>56.581023076076455</v>
      </c>
      <c r="F88" s="138">
        <v>525</v>
      </c>
      <c r="G88" s="138">
        <v>33</v>
      </c>
      <c r="H88" s="138"/>
      <c r="I88" s="139">
        <f>C88+F88-535</f>
        <v>8167.299999999999</v>
      </c>
      <c r="J88" s="130">
        <f>D88+G88-532</f>
        <v>4127.8</v>
      </c>
      <c r="K88" s="140">
        <f t="shared" si="9"/>
        <v>50.540570323117805</v>
      </c>
    </row>
    <row r="89" spans="1:11" ht="15">
      <c r="A89" s="131" t="s">
        <v>54</v>
      </c>
      <c r="B89" s="132" t="s">
        <v>92</v>
      </c>
      <c r="C89" s="133">
        <f>C90+C91</f>
        <v>113266.09999999999</v>
      </c>
      <c r="D89" s="133">
        <f>D90+D91</f>
        <v>113.5</v>
      </c>
      <c r="E89" s="133">
        <f>D89/C89*100</f>
        <v>0.1002065048589119</v>
      </c>
      <c r="F89" s="148">
        <v>0</v>
      </c>
      <c r="G89" s="148">
        <v>0</v>
      </c>
      <c r="H89" s="134"/>
      <c r="I89" s="148">
        <f>C89+F89</f>
        <v>113266.09999999999</v>
      </c>
      <c r="J89" s="148">
        <f t="shared" si="8"/>
        <v>113.5</v>
      </c>
      <c r="K89" s="135">
        <f t="shared" si="9"/>
        <v>0.1002065048589119</v>
      </c>
    </row>
    <row r="90" spans="1:11" ht="15">
      <c r="A90" s="141" t="s">
        <v>104</v>
      </c>
      <c r="B90" s="137" t="s">
        <v>260</v>
      </c>
      <c r="C90" s="129">
        <v>166.7</v>
      </c>
      <c r="D90" s="129">
        <v>113.5</v>
      </c>
      <c r="E90" s="129">
        <f t="shared" si="5"/>
        <v>68.08638272345532</v>
      </c>
      <c r="F90" s="139"/>
      <c r="G90" s="139"/>
      <c r="H90" s="138"/>
      <c r="I90" s="139">
        <v>166.7</v>
      </c>
      <c r="J90" s="130">
        <f t="shared" si="8"/>
        <v>113.5</v>
      </c>
      <c r="K90" s="140">
        <f t="shared" si="9"/>
        <v>68.08638272345532</v>
      </c>
    </row>
    <row r="91" spans="1:11" ht="45">
      <c r="A91" s="141" t="s">
        <v>104</v>
      </c>
      <c r="B91" s="155" t="s">
        <v>132</v>
      </c>
      <c r="C91" s="129">
        <v>113099.4</v>
      </c>
      <c r="D91" s="138">
        <v>0</v>
      </c>
      <c r="E91" s="129">
        <f t="shared" si="5"/>
        <v>0</v>
      </c>
      <c r="F91" s="138">
        <v>0</v>
      </c>
      <c r="G91" s="138">
        <v>0</v>
      </c>
      <c r="H91" s="138">
        <v>0</v>
      </c>
      <c r="I91" s="139">
        <f t="shared" si="8"/>
        <v>113099.4</v>
      </c>
      <c r="J91" s="130">
        <f t="shared" si="8"/>
        <v>0</v>
      </c>
      <c r="K91" s="140">
        <f t="shared" si="9"/>
        <v>0</v>
      </c>
    </row>
    <row r="92" spans="1:11" ht="15">
      <c r="A92" s="131">
        <v>10</v>
      </c>
      <c r="B92" s="132" t="s">
        <v>60</v>
      </c>
      <c r="C92" s="133">
        <f>SUM(C93:C105)</f>
        <v>159945.7</v>
      </c>
      <c r="D92" s="133">
        <f>SUM(D93:D105)</f>
        <v>89942.59999999999</v>
      </c>
      <c r="E92" s="133">
        <f>D92/C92*100</f>
        <v>56.23320914535369</v>
      </c>
      <c r="F92" s="133">
        <f>SUM(F93:F103)</f>
        <v>266.4</v>
      </c>
      <c r="G92" s="133">
        <f>SUM(G93:G103)</f>
        <v>146.4</v>
      </c>
      <c r="H92" s="134">
        <f>G92/F92*100</f>
        <v>54.95495495495496</v>
      </c>
      <c r="I92" s="133">
        <f>SUM(I93:I105)</f>
        <v>160212.1</v>
      </c>
      <c r="J92" s="133">
        <f>SUM(J93:J105)</f>
        <v>90089</v>
      </c>
      <c r="K92" s="135">
        <f t="shared" si="9"/>
        <v>56.23108366971034</v>
      </c>
    </row>
    <row r="93" spans="1:11" ht="15">
      <c r="A93" s="141">
        <v>1001</v>
      </c>
      <c r="B93" s="137" t="s">
        <v>61</v>
      </c>
      <c r="C93" s="129">
        <v>3425</v>
      </c>
      <c r="D93" s="129">
        <v>1955.6</v>
      </c>
      <c r="E93" s="129">
        <f t="shared" si="5"/>
        <v>57.0978102189781</v>
      </c>
      <c r="F93" s="138">
        <v>266.4</v>
      </c>
      <c r="G93" s="138">
        <v>146.4</v>
      </c>
      <c r="H93" s="138">
        <f>G93/F93*100</f>
        <v>54.95495495495496</v>
      </c>
      <c r="I93" s="139">
        <f t="shared" si="8"/>
        <v>3691.4</v>
      </c>
      <c r="J93" s="130">
        <f t="shared" si="8"/>
        <v>2102</v>
      </c>
      <c r="K93" s="140">
        <f t="shared" si="9"/>
        <v>56.943165194777045</v>
      </c>
    </row>
    <row r="94" spans="1:11" ht="60">
      <c r="A94" s="141">
        <v>1003</v>
      </c>
      <c r="B94" s="137" t="s">
        <v>261</v>
      </c>
      <c r="C94" s="129">
        <v>1414.8</v>
      </c>
      <c r="D94" s="129">
        <v>0</v>
      </c>
      <c r="E94" s="129">
        <f t="shared" si="5"/>
        <v>0</v>
      </c>
      <c r="F94" s="138">
        <v>0</v>
      </c>
      <c r="G94" s="138">
        <v>0</v>
      </c>
      <c r="H94" s="138">
        <v>0</v>
      </c>
      <c r="I94" s="139">
        <f t="shared" si="8"/>
        <v>1414.8</v>
      </c>
      <c r="J94" s="130">
        <f t="shared" si="8"/>
        <v>0</v>
      </c>
      <c r="K94" s="140">
        <f t="shared" si="9"/>
        <v>0</v>
      </c>
    </row>
    <row r="95" spans="1:11" ht="135">
      <c r="A95" s="141">
        <v>1003</v>
      </c>
      <c r="B95" s="137" t="s">
        <v>299</v>
      </c>
      <c r="C95" s="129">
        <v>471.3</v>
      </c>
      <c r="D95" s="129">
        <v>0</v>
      </c>
      <c r="E95" s="129">
        <f t="shared" si="5"/>
        <v>0</v>
      </c>
      <c r="F95" s="138">
        <v>0</v>
      </c>
      <c r="G95" s="138">
        <v>0</v>
      </c>
      <c r="H95" s="138">
        <v>0</v>
      </c>
      <c r="I95" s="139">
        <f t="shared" si="8"/>
        <v>471.3</v>
      </c>
      <c r="J95" s="130">
        <f t="shared" si="8"/>
        <v>0</v>
      </c>
      <c r="K95" s="140">
        <f t="shared" si="9"/>
        <v>0</v>
      </c>
    </row>
    <row r="96" spans="1:11" ht="150">
      <c r="A96" s="141">
        <v>1003</v>
      </c>
      <c r="B96" s="137" t="s">
        <v>290</v>
      </c>
      <c r="C96" s="129">
        <v>115.2</v>
      </c>
      <c r="D96" s="129">
        <v>115.2</v>
      </c>
      <c r="E96" s="129">
        <f t="shared" si="5"/>
        <v>100</v>
      </c>
      <c r="F96" s="138"/>
      <c r="G96" s="138"/>
      <c r="H96" s="138"/>
      <c r="I96" s="139">
        <f t="shared" si="8"/>
        <v>115.2</v>
      </c>
      <c r="J96" s="130">
        <f t="shared" si="8"/>
        <v>115.2</v>
      </c>
      <c r="K96" s="140">
        <f t="shared" si="9"/>
        <v>100</v>
      </c>
    </row>
    <row r="97" spans="1:11" ht="60">
      <c r="A97" s="141">
        <v>1003</v>
      </c>
      <c r="B97" s="137" t="s">
        <v>262</v>
      </c>
      <c r="C97" s="129">
        <v>5141.2</v>
      </c>
      <c r="D97" s="129">
        <v>2922.2</v>
      </c>
      <c r="E97" s="129">
        <f t="shared" si="5"/>
        <v>56.83887030265308</v>
      </c>
      <c r="F97" s="138">
        <v>0</v>
      </c>
      <c r="G97" s="138">
        <v>0</v>
      </c>
      <c r="H97" s="138">
        <v>0</v>
      </c>
      <c r="I97" s="139">
        <f t="shared" si="8"/>
        <v>5141.2</v>
      </c>
      <c r="J97" s="130">
        <f t="shared" si="8"/>
        <v>2922.2</v>
      </c>
      <c r="K97" s="140">
        <f t="shared" si="9"/>
        <v>56.83887030265308</v>
      </c>
    </row>
    <row r="98" spans="1:11" ht="60">
      <c r="A98" s="141" t="s">
        <v>168</v>
      </c>
      <c r="B98" s="137" t="s">
        <v>291</v>
      </c>
      <c r="C98" s="129">
        <v>1036.5</v>
      </c>
      <c r="D98" s="129">
        <v>1036.5</v>
      </c>
      <c r="E98" s="129">
        <f t="shared" si="5"/>
        <v>100</v>
      </c>
      <c r="F98" s="138"/>
      <c r="G98" s="138"/>
      <c r="H98" s="138"/>
      <c r="I98" s="139">
        <f t="shared" si="8"/>
        <v>1036.5</v>
      </c>
      <c r="J98" s="130">
        <f t="shared" si="8"/>
        <v>1036.5</v>
      </c>
      <c r="K98" s="140">
        <f t="shared" si="9"/>
        <v>100</v>
      </c>
    </row>
    <row r="99" spans="1:11" ht="165">
      <c r="A99" s="141" t="s">
        <v>168</v>
      </c>
      <c r="B99" s="137" t="s">
        <v>263</v>
      </c>
      <c r="C99" s="129">
        <v>790</v>
      </c>
      <c r="D99" s="129"/>
      <c r="E99" s="129">
        <f t="shared" si="5"/>
        <v>0</v>
      </c>
      <c r="F99" s="138"/>
      <c r="G99" s="138"/>
      <c r="H99" s="138"/>
      <c r="I99" s="139">
        <f t="shared" si="8"/>
        <v>790</v>
      </c>
      <c r="J99" s="130">
        <f t="shared" si="8"/>
        <v>0</v>
      </c>
      <c r="K99" s="140">
        <f t="shared" si="9"/>
        <v>0</v>
      </c>
    </row>
    <row r="100" spans="1:11" ht="75">
      <c r="A100" s="141">
        <v>1004</v>
      </c>
      <c r="B100" s="137" t="s">
        <v>264</v>
      </c>
      <c r="C100" s="129">
        <v>16641</v>
      </c>
      <c r="D100" s="129">
        <v>8143.9</v>
      </c>
      <c r="E100" s="129">
        <f t="shared" si="5"/>
        <v>48.93876569917673</v>
      </c>
      <c r="F100" s="138">
        <v>0</v>
      </c>
      <c r="G100" s="138">
        <v>0</v>
      </c>
      <c r="H100" s="138">
        <v>0</v>
      </c>
      <c r="I100" s="139">
        <f t="shared" si="8"/>
        <v>16641</v>
      </c>
      <c r="J100" s="130">
        <f t="shared" si="8"/>
        <v>8143.9</v>
      </c>
      <c r="K100" s="140">
        <f t="shared" si="9"/>
        <v>48.93876569917673</v>
      </c>
    </row>
    <row r="101" spans="1:11" ht="45">
      <c r="A101" s="141">
        <v>1004</v>
      </c>
      <c r="B101" s="137" t="s">
        <v>265</v>
      </c>
      <c r="C101" s="129">
        <v>656</v>
      </c>
      <c r="D101" s="129">
        <v>656</v>
      </c>
      <c r="E101" s="129">
        <f aca="true" t="shared" si="10" ref="E101:E117">D101/C101*100</f>
        <v>100</v>
      </c>
      <c r="F101" s="138">
        <v>0</v>
      </c>
      <c r="G101" s="138">
        <v>0</v>
      </c>
      <c r="H101" s="138">
        <v>0</v>
      </c>
      <c r="I101" s="139">
        <f t="shared" si="8"/>
        <v>656</v>
      </c>
      <c r="J101" s="139">
        <f t="shared" si="8"/>
        <v>656</v>
      </c>
      <c r="K101" s="140">
        <f t="shared" si="9"/>
        <v>100</v>
      </c>
    </row>
    <row r="102" spans="1:11" ht="165">
      <c r="A102" s="141">
        <v>1004</v>
      </c>
      <c r="B102" s="137" t="s">
        <v>266</v>
      </c>
      <c r="C102" s="129">
        <v>82270</v>
      </c>
      <c r="D102" s="129">
        <v>59838.2</v>
      </c>
      <c r="E102" s="129">
        <f t="shared" si="10"/>
        <v>72.73392488148778</v>
      </c>
      <c r="F102" s="138">
        <v>0</v>
      </c>
      <c r="G102" s="138">
        <v>0</v>
      </c>
      <c r="H102" s="138">
        <v>0</v>
      </c>
      <c r="I102" s="139">
        <f t="shared" si="8"/>
        <v>82270</v>
      </c>
      <c r="J102" s="130">
        <f t="shared" si="8"/>
        <v>59838.2</v>
      </c>
      <c r="K102" s="140">
        <f t="shared" si="9"/>
        <v>72.73392488148778</v>
      </c>
    </row>
    <row r="103" spans="1:11" ht="120">
      <c r="A103" s="141">
        <v>1004</v>
      </c>
      <c r="B103" s="137" t="s">
        <v>267</v>
      </c>
      <c r="C103" s="129">
        <v>636.6</v>
      </c>
      <c r="D103" s="129">
        <v>0</v>
      </c>
      <c r="E103" s="129">
        <f t="shared" si="10"/>
        <v>0</v>
      </c>
      <c r="F103" s="138">
        <v>0</v>
      </c>
      <c r="G103" s="138">
        <v>0</v>
      </c>
      <c r="H103" s="138">
        <v>0</v>
      </c>
      <c r="I103" s="139">
        <f t="shared" si="8"/>
        <v>636.6</v>
      </c>
      <c r="J103" s="130">
        <f t="shared" si="8"/>
        <v>0</v>
      </c>
      <c r="K103" s="140">
        <f t="shared" si="9"/>
        <v>0</v>
      </c>
    </row>
    <row r="104" spans="1:11" ht="150">
      <c r="A104" s="141" t="s">
        <v>110</v>
      </c>
      <c r="B104" s="137" t="s">
        <v>300</v>
      </c>
      <c r="C104" s="129">
        <v>32664.2</v>
      </c>
      <c r="D104" s="129">
        <v>8727.7</v>
      </c>
      <c r="E104" s="129">
        <f>D104/C104*100</f>
        <v>26.71946657196564</v>
      </c>
      <c r="F104" s="138">
        <v>0</v>
      </c>
      <c r="G104" s="138">
        <v>0</v>
      </c>
      <c r="H104" s="138">
        <v>0</v>
      </c>
      <c r="I104" s="139">
        <f>C104+F104</f>
        <v>32664.2</v>
      </c>
      <c r="J104" s="130">
        <f>D104+G104</f>
        <v>8727.7</v>
      </c>
      <c r="K104" s="140">
        <f>J104/I104*100</f>
        <v>26.71946657196564</v>
      </c>
    </row>
    <row r="105" spans="1:11" ht="30">
      <c r="A105" s="141">
        <v>1006</v>
      </c>
      <c r="B105" s="137" t="s">
        <v>63</v>
      </c>
      <c r="C105" s="129">
        <v>14683.9</v>
      </c>
      <c r="D105" s="129">
        <v>6547.3</v>
      </c>
      <c r="E105" s="129">
        <f t="shared" si="10"/>
        <v>44.58829057675413</v>
      </c>
      <c r="F105" s="138">
        <v>0</v>
      </c>
      <c r="G105" s="138">
        <v>0</v>
      </c>
      <c r="H105" s="138">
        <v>0</v>
      </c>
      <c r="I105" s="139">
        <f>C105+F105</f>
        <v>14683.9</v>
      </c>
      <c r="J105" s="130">
        <f>D105+G105</f>
        <v>6547.3</v>
      </c>
      <c r="K105" s="140">
        <f t="shared" si="9"/>
        <v>44.58829057675413</v>
      </c>
    </row>
    <row r="106" spans="1:11" ht="39" customHeight="1">
      <c r="A106" s="151">
        <v>1100</v>
      </c>
      <c r="B106" s="132" t="s">
        <v>59</v>
      </c>
      <c r="C106" s="133">
        <f>SUM(C107:C108)</f>
        <v>85361.4</v>
      </c>
      <c r="D106" s="133">
        <f>SUM(D107:D108)</f>
        <v>9287.2</v>
      </c>
      <c r="E106" s="133">
        <f>D106/C106*100</f>
        <v>10.879859046360535</v>
      </c>
      <c r="F106" s="148">
        <f>F107+F108</f>
        <v>19064.6</v>
      </c>
      <c r="G106" s="148">
        <f>G107+G108</f>
        <v>8413.2</v>
      </c>
      <c r="H106" s="134">
        <f>G106/F106*100</f>
        <v>44.129958142316134</v>
      </c>
      <c r="I106" s="148">
        <f>SUM(I107:I108)</f>
        <v>104201</v>
      </c>
      <c r="J106" s="148">
        <f>SUM(J107:J108)</f>
        <v>17595.4</v>
      </c>
      <c r="K106" s="135">
        <f t="shared" si="9"/>
        <v>16.886018368345795</v>
      </c>
    </row>
    <row r="107" spans="1:11" ht="15">
      <c r="A107" s="141">
        <v>1101</v>
      </c>
      <c r="B107" s="137" t="s">
        <v>83</v>
      </c>
      <c r="C107" s="129">
        <v>12073</v>
      </c>
      <c r="D107" s="129">
        <v>6715.4</v>
      </c>
      <c r="E107" s="129">
        <f t="shared" si="10"/>
        <v>55.62329164250808</v>
      </c>
      <c r="F107" s="138">
        <v>17416.6</v>
      </c>
      <c r="G107" s="138">
        <v>8383.2</v>
      </c>
      <c r="H107" s="138">
        <f>G107/F107*100</f>
        <v>48.133389984267886</v>
      </c>
      <c r="I107" s="139">
        <f>C107+F107-225</f>
        <v>29264.6</v>
      </c>
      <c r="J107" s="139">
        <f>D107+G107-105</f>
        <v>14993.6</v>
      </c>
      <c r="K107" s="140">
        <f t="shared" si="9"/>
        <v>51.234597431709304</v>
      </c>
    </row>
    <row r="108" spans="1:11" ht="13.5" customHeight="1">
      <c r="A108" s="141">
        <v>1102</v>
      </c>
      <c r="B108" s="137" t="s">
        <v>84</v>
      </c>
      <c r="C108" s="129">
        <v>73288.4</v>
      </c>
      <c r="D108" s="129">
        <v>2571.8</v>
      </c>
      <c r="E108" s="129">
        <f t="shared" si="10"/>
        <v>3.5091501520022272</v>
      </c>
      <c r="F108" s="138">
        <v>1648</v>
      </c>
      <c r="G108" s="138">
        <v>30</v>
      </c>
      <c r="H108" s="138">
        <f>G108/F108*100</f>
        <v>1.820388349514563</v>
      </c>
      <c r="I108" s="139">
        <f>C108+F108</f>
        <v>74936.4</v>
      </c>
      <c r="J108" s="139">
        <f>D108+G108</f>
        <v>2601.8</v>
      </c>
      <c r="K108" s="140">
        <f t="shared" si="9"/>
        <v>3.4720109319369494</v>
      </c>
    </row>
    <row r="109" spans="1:11" ht="15">
      <c r="A109" s="151">
        <v>1200</v>
      </c>
      <c r="B109" s="132" t="s">
        <v>85</v>
      </c>
      <c r="C109" s="133">
        <f>C111+C110</f>
        <v>9403</v>
      </c>
      <c r="D109" s="133">
        <f>D111+D110</f>
        <v>6204.6</v>
      </c>
      <c r="E109" s="133">
        <f>E111</f>
        <v>63.18421052631579</v>
      </c>
      <c r="F109" s="133">
        <f>F111+F110</f>
        <v>0</v>
      </c>
      <c r="G109" s="133">
        <f>G111+G110</f>
        <v>0</v>
      </c>
      <c r="H109" s="142">
        <f>H111</f>
        <v>0</v>
      </c>
      <c r="I109" s="133">
        <f aca="true" t="shared" si="11" ref="I109:J113">C109+F109</f>
        <v>9403</v>
      </c>
      <c r="J109" s="133">
        <f t="shared" si="11"/>
        <v>6204.6</v>
      </c>
      <c r="K109" s="143">
        <f t="shared" si="9"/>
        <v>65.98532383281932</v>
      </c>
    </row>
    <row r="110" spans="1:11" ht="15">
      <c r="A110" s="141" t="s">
        <v>114</v>
      </c>
      <c r="B110" s="137" t="s">
        <v>115</v>
      </c>
      <c r="C110" s="129">
        <v>3703</v>
      </c>
      <c r="D110" s="129">
        <v>2603.1</v>
      </c>
      <c r="E110" s="129">
        <f>D110/C110*100</f>
        <v>70.29705644072374</v>
      </c>
      <c r="F110" s="138">
        <v>0</v>
      </c>
      <c r="G110" s="138">
        <v>0</v>
      </c>
      <c r="H110" s="138">
        <v>0</v>
      </c>
      <c r="I110" s="139">
        <f t="shared" si="11"/>
        <v>3703</v>
      </c>
      <c r="J110" s="139">
        <f t="shared" si="11"/>
        <v>2603.1</v>
      </c>
      <c r="K110" s="140">
        <f>J110/I110*100</f>
        <v>70.29705644072374</v>
      </c>
    </row>
    <row r="111" spans="1:11" ht="15">
      <c r="A111" s="141">
        <v>1202</v>
      </c>
      <c r="B111" s="137" t="s">
        <v>101</v>
      </c>
      <c r="C111" s="129">
        <v>5700</v>
      </c>
      <c r="D111" s="129">
        <v>3601.5</v>
      </c>
      <c r="E111" s="129">
        <f t="shared" si="10"/>
        <v>63.18421052631579</v>
      </c>
      <c r="F111" s="138">
        <v>0</v>
      </c>
      <c r="G111" s="138">
        <v>0</v>
      </c>
      <c r="H111" s="138">
        <v>0</v>
      </c>
      <c r="I111" s="139">
        <f t="shared" si="11"/>
        <v>5700</v>
      </c>
      <c r="J111" s="139">
        <f t="shared" si="11"/>
        <v>3601.5</v>
      </c>
      <c r="K111" s="140">
        <f t="shared" si="9"/>
        <v>63.18421052631579</v>
      </c>
    </row>
    <row r="112" spans="1:11" ht="12.75" customHeight="1">
      <c r="A112" s="151">
        <v>1300</v>
      </c>
      <c r="B112" s="132" t="s">
        <v>86</v>
      </c>
      <c r="C112" s="133">
        <f aca="true" t="shared" si="12" ref="C112:H112">C113</f>
        <v>370</v>
      </c>
      <c r="D112" s="133">
        <f t="shared" si="12"/>
        <v>93.7</v>
      </c>
      <c r="E112" s="133">
        <f t="shared" si="12"/>
        <v>25.324324324324326</v>
      </c>
      <c r="F112" s="133">
        <f t="shared" si="12"/>
        <v>0</v>
      </c>
      <c r="G112" s="133">
        <f t="shared" si="12"/>
        <v>0</v>
      </c>
      <c r="H112" s="142">
        <f t="shared" si="12"/>
        <v>0</v>
      </c>
      <c r="I112" s="133">
        <f t="shared" si="11"/>
        <v>370</v>
      </c>
      <c r="J112" s="133">
        <f t="shared" si="11"/>
        <v>93.7</v>
      </c>
      <c r="K112" s="143">
        <f t="shared" si="9"/>
        <v>25.324324324324326</v>
      </c>
    </row>
    <row r="113" spans="1:11" ht="12.75" customHeight="1">
      <c r="A113" s="141">
        <v>1301</v>
      </c>
      <c r="B113" s="137" t="s">
        <v>87</v>
      </c>
      <c r="C113" s="129">
        <v>370</v>
      </c>
      <c r="D113" s="129">
        <v>93.7</v>
      </c>
      <c r="E113" s="129">
        <f t="shared" si="10"/>
        <v>25.324324324324326</v>
      </c>
      <c r="F113" s="138"/>
      <c r="G113" s="138">
        <v>0</v>
      </c>
      <c r="H113" s="138">
        <v>0</v>
      </c>
      <c r="I113" s="139">
        <f t="shared" si="11"/>
        <v>370</v>
      </c>
      <c r="J113" s="139">
        <f t="shared" si="11"/>
        <v>93.7</v>
      </c>
      <c r="K113" s="140">
        <f t="shared" si="9"/>
        <v>25.324324324324326</v>
      </c>
    </row>
    <row r="114" spans="1:11" ht="15" customHeight="1">
      <c r="A114" s="151">
        <v>1400</v>
      </c>
      <c r="B114" s="132" t="s">
        <v>64</v>
      </c>
      <c r="C114" s="133">
        <f>SUM(C115:C117)</f>
        <v>306609.3</v>
      </c>
      <c r="D114" s="133">
        <f>SUM(D115:D117)</f>
        <v>179522.59999999998</v>
      </c>
      <c r="E114" s="133">
        <f>D114/C114*100</f>
        <v>58.5509311035249</v>
      </c>
      <c r="F114" s="148">
        <f>F115+F116+F117</f>
        <v>31947</v>
      </c>
      <c r="G114" s="148">
        <f>SUM(G115:G117)</f>
        <v>15898.5</v>
      </c>
      <c r="H114" s="148">
        <f>G114/F114*100</f>
        <v>49.76523617241055</v>
      </c>
      <c r="I114" s="148">
        <v>0</v>
      </c>
      <c r="J114" s="148">
        <v>0</v>
      </c>
      <c r="K114" s="135">
        <v>0</v>
      </c>
    </row>
    <row r="115" spans="1:11" ht="12.75" customHeight="1">
      <c r="A115" s="141">
        <v>1401</v>
      </c>
      <c r="B115" s="137" t="s">
        <v>81</v>
      </c>
      <c r="C115" s="129">
        <v>118984.4</v>
      </c>
      <c r="D115" s="129">
        <v>71390.7</v>
      </c>
      <c r="E115" s="129">
        <f t="shared" si="10"/>
        <v>60.00005042677864</v>
      </c>
      <c r="F115" s="138">
        <v>0</v>
      </c>
      <c r="G115" s="138">
        <v>0</v>
      </c>
      <c r="H115" s="138">
        <v>0</v>
      </c>
      <c r="I115" s="139">
        <v>0</v>
      </c>
      <c r="J115" s="130">
        <v>0</v>
      </c>
      <c r="K115" s="140">
        <v>0</v>
      </c>
    </row>
    <row r="116" spans="1:11" ht="15" customHeight="1">
      <c r="A116" s="141">
        <v>1402</v>
      </c>
      <c r="B116" s="137" t="s">
        <v>82</v>
      </c>
      <c r="C116" s="129">
        <v>184924.9</v>
      </c>
      <c r="D116" s="129">
        <v>105431.9</v>
      </c>
      <c r="E116" s="129">
        <f t="shared" si="10"/>
        <v>57.01336055879982</v>
      </c>
      <c r="F116" s="138">
        <v>0</v>
      </c>
      <c r="G116" s="138">
        <v>0</v>
      </c>
      <c r="H116" s="138">
        <v>0</v>
      </c>
      <c r="I116" s="139">
        <v>0</v>
      </c>
      <c r="J116" s="130">
        <v>0</v>
      </c>
      <c r="K116" s="140">
        <v>0</v>
      </c>
    </row>
    <row r="117" spans="1:11" ht="12.75" customHeight="1">
      <c r="A117" s="141">
        <v>1403</v>
      </c>
      <c r="B117" s="137" t="s">
        <v>95</v>
      </c>
      <c r="C117" s="129">
        <v>2700</v>
      </c>
      <c r="D117" s="129">
        <v>2700</v>
      </c>
      <c r="E117" s="129">
        <f t="shared" si="10"/>
        <v>100</v>
      </c>
      <c r="F117" s="138">
        <v>31947</v>
      </c>
      <c r="G117" s="138">
        <v>15898.5</v>
      </c>
      <c r="H117" s="138">
        <f>G117/F117*100</f>
        <v>49.76523617241055</v>
      </c>
      <c r="I117" s="139">
        <v>0</v>
      </c>
      <c r="J117" s="130">
        <v>0</v>
      </c>
      <c r="K117" s="140">
        <v>0</v>
      </c>
    </row>
    <row r="118" spans="1:11" ht="12.75" customHeight="1" thickBot="1">
      <c r="A118" s="211" t="s">
        <v>65</v>
      </c>
      <c r="B118" s="212"/>
      <c r="C118" s="156">
        <f>C9+C18+C20+C25+C48+C73+C75+C82+C89+C92+C106+C109+C112+C114</f>
        <v>4187842.6000000006</v>
      </c>
      <c r="D118" s="156">
        <f>D114+D112+D109+D106+D92+D89+D82+D75+D73+D48+D25+D20+D18+D9</f>
        <v>2107773.3</v>
      </c>
      <c r="E118" s="156">
        <f>D118/C118*100</f>
        <v>50.33076696817592</v>
      </c>
      <c r="F118" s="156">
        <f>F9+F18+F20+F25+F48+F73+F75+F82+F89+F92+F106+F109+F112+F114</f>
        <v>503211.3</v>
      </c>
      <c r="G118" s="156">
        <f>G114+G112+G109+G92+G89+G82+G75+G48+G25+G21+G18+G9+G20+G106</f>
        <v>251268.9</v>
      </c>
      <c r="H118" s="157">
        <f>G118/F118*100</f>
        <v>49.93307980166582</v>
      </c>
      <c r="I118" s="156">
        <f>I114+I112+I109+I106+I92+I89+I82+I75+I73+I48+I25+I20+I18+I9</f>
        <v>4311774.5</v>
      </c>
      <c r="J118" s="156">
        <f>J114+J112+J109+J106+J92+J89+J82+J75+J73+J48+J25+J20+J18+J9</f>
        <v>2140151.4</v>
      </c>
      <c r="K118" s="158">
        <f t="shared" si="9"/>
        <v>49.63504932829859</v>
      </c>
    </row>
    <row r="119" spans="1:11" ht="12.75" customHeight="1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 customHeight="1">
      <c r="A120" s="10"/>
      <c r="B120" s="6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 customHeight="1">
      <c r="A122" s="209" t="s">
        <v>124</v>
      </c>
      <c r="B122" s="209"/>
      <c r="C122" s="209"/>
      <c r="D122" s="78"/>
      <c r="E122" s="79"/>
      <c r="F122" s="79"/>
      <c r="G122" s="33"/>
      <c r="H122" s="33"/>
      <c r="I122" s="45"/>
      <c r="J122" s="45"/>
      <c r="K122" s="45"/>
    </row>
    <row r="123" spans="1:11" ht="12.75" customHeight="1">
      <c r="A123" s="209" t="s">
        <v>125</v>
      </c>
      <c r="B123" s="209"/>
      <c r="C123" s="209"/>
      <c r="D123" s="80"/>
      <c r="E123" s="213" t="s">
        <v>66</v>
      </c>
      <c r="F123" s="213"/>
      <c r="G123" s="33"/>
      <c r="H123" s="33"/>
      <c r="I123" s="44"/>
      <c r="J123" s="45"/>
      <c r="K123" s="45"/>
    </row>
    <row r="124" spans="1:11" ht="12.75" customHeight="1">
      <c r="A124" s="81"/>
      <c r="B124" s="82"/>
      <c r="C124" s="83"/>
      <c r="D124" s="84"/>
      <c r="E124" s="85"/>
      <c r="F124" s="86"/>
      <c r="G124" s="33"/>
      <c r="H124" s="33"/>
      <c r="I124" s="44"/>
      <c r="J124" s="45"/>
      <c r="K124" s="45"/>
    </row>
    <row r="125" spans="1:11" ht="12.75" customHeight="1">
      <c r="A125" s="209" t="s">
        <v>327</v>
      </c>
      <c r="B125" s="209"/>
      <c r="C125" s="209"/>
      <c r="D125" s="87"/>
      <c r="E125" s="213" t="s">
        <v>328</v>
      </c>
      <c r="F125" s="213"/>
      <c r="G125" s="33"/>
      <c r="H125" s="33"/>
      <c r="I125" s="44"/>
      <c r="J125" s="45"/>
      <c r="K125" s="45"/>
    </row>
    <row r="126" spans="1:11" ht="12.75" customHeight="1">
      <c r="A126" s="81"/>
      <c r="B126" s="88"/>
      <c r="C126" s="89"/>
      <c r="D126" s="90"/>
      <c r="E126" s="85"/>
      <c r="F126" s="86"/>
      <c r="G126" s="33"/>
      <c r="H126" s="33"/>
      <c r="I126" s="44"/>
      <c r="J126" s="45"/>
      <c r="K126" s="45"/>
    </row>
    <row r="127" spans="1:11" ht="12.75">
      <c r="A127" s="209" t="s">
        <v>154</v>
      </c>
      <c r="B127" s="209"/>
      <c r="C127" s="209"/>
      <c r="D127" s="87"/>
      <c r="E127" s="210" t="s">
        <v>312</v>
      </c>
      <c r="F127" s="210"/>
      <c r="G127" s="33"/>
      <c r="H127" s="33"/>
      <c r="I127" s="44"/>
      <c r="J127" s="45"/>
      <c r="K127" s="45"/>
    </row>
    <row r="128" spans="1:11" ht="12.75">
      <c r="A128" s="91"/>
      <c r="B128" s="92"/>
      <c r="C128" s="93"/>
      <c r="D128" s="78"/>
      <c r="E128" s="78"/>
      <c r="F128" s="79"/>
      <c r="G128" s="33"/>
      <c r="H128" s="33"/>
      <c r="I128" s="45"/>
      <c r="J128" s="45"/>
      <c r="K128" s="45"/>
    </row>
    <row r="129" spans="1:6" ht="12.75">
      <c r="A129" s="94"/>
      <c r="B129" s="94"/>
      <c r="C129" s="95" t="s">
        <v>329</v>
      </c>
      <c r="D129" s="94" t="s">
        <v>157</v>
      </c>
      <c r="E129" s="96" t="s">
        <v>330</v>
      </c>
      <c r="F129" s="94"/>
    </row>
  </sheetData>
  <sheetProtection/>
  <mergeCells count="35">
    <mergeCell ref="A125:C125"/>
    <mergeCell ref="E125:F125"/>
    <mergeCell ref="A127:C127"/>
    <mergeCell ref="E127:F127"/>
    <mergeCell ref="I3:K3"/>
    <mergeCell ref="G4:G5"/>
    <mergeCell ref="J4:J5"/>
    <mergeCell ref="K20:K21"/>
    <mergeCell ref="A20:A21"/>
    <mergeCell ref="B20:B21"/>
    <mergeCell ref="C20:C21"/>
    <mergeCell ref="D20:D21"/>
    <mergeCell ref="G20:G21"/>
    <mergeCell ref="H20:H21"/>
    <mergeCell ref="E20:E21"/>
    <mergeCell ref="F20:F21"/>
    <mergeCell ref="J20:J21"/>
    <mergeCell ref="A1:K1"/>
    <mergeCell ref="A3:A8"/>
    <mergeCell ref="B3:B5"/>
    <mergeCell ref="C3:E3"/>
    <mergeCell ref="F3:H3"/>
    <mergeCell ref="K4:K5"/>
    <mergeCell ref="B6:K8"/>
    <mergeCell ref="E4:E5"/>
    <mergeCell ref="F4:F5"/>
    <mergeCell ref="I20:I21"/>
    <mergeCell ref="H4:H5"/>
    <mergeCell ref="I4:I5"/>
    <mergeCell ref="C4:C5"/>
    <mergeCell ref="D4:D5"/>
    <mergeCell ref="A122:C122"/>
    <mergeCell ref="A118:B118"/>
    <mergeCell ref="A123:C123"/>
    <mergeCell ref="E123:F12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2014-09-24T10:46:43Z</dcterms:modified>
  <cp:category/>
  <cp:version/>
  <cp:contentType/>
  <cp:contentStatus/>
</cp:coreProperties>
</file>