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180" windowHeight="8805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<sst xmlns="http://schemas.openxmlformats.org/spreadsheetml/2006/main" count="593" uniqueCount="226">
  <si>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</si>
  <si>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</si>
  <si>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</si>
  <si>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</si>
  <si>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</si>
  <si>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</si>
  <si>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</si>
  <si>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</si>
  <si>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</si>
  <si>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</si>
  <si>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</si>
  <si>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</si>
  <si>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</si>
  <si>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</si>
  <si>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</si>
  <si>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</si>
  <si>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</si>
  <si>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</si>
  <si>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</si>
  <si>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</si>
  <si>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</si>
  <si>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</si>
  <si>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</si>
  <si>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</si>
  <si>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</si>
  <si>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</si>
  <si>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</si>
  <si>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</si>
  <si>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</si>
  <si>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</si>
  <si>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</si>
  <si>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</si>
  <si>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</si>
  <si>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</si>
  <si>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</si>
  <si>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</si>
  <si>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</si>
  <si>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</si>
  <si>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</si>
  <si>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</si>
  <si>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</si>
  <si>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</si>
  <si>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</si>
  <si>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</si>
  <si>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</si>
  <si>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</si>
  <si>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</si>
  <si>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00011500000000000000</t>
  </si>
  <si>
    <t>Административные платежи и сборы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</si>
  <si>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</si>
  <si>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</si>
  <si>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</si>
  <si>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</si>
  <si>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</si>
  <si>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</si>
  <si>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</si>
  <si>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</si>
  <si>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</si>
  <si>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 xml:space="preserve">% исп-ия к плану на 2016 год </t>
  </si>
  <si>
    <t>План на 2016 год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</si>
  <si>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</si>
  <si>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</si>
  <si>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</si>
  <si>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</si>
  <si>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</si>
  <si>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</si>
  <si>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% исполнения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</si>
  <si>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</si>
  <si>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</si>
  <si>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</si>
  <si>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</si>
  <si>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</si>
  <si>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</si>
  <si>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</si>
  <si>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</si>
  <si>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</si>
  <si>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</si>
  <si>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</si>
  <si>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</si>
  <si>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</si>
  <si>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</si>
  <si>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</si>
  <si>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</si>
  <si>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</si>
  <si>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</si>
  <si>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</si>
  <si>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</si>
  <si>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</si>
  <si>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</si>
  <si>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</si>
  <si>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</si>
  <si>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</si>
  <si>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</si>
  <si>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</si>
  <si>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</si>
  <si>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</si>
  <si>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</si>
  <si>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</si>
  <si>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</si>
  <si>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</si>
  <si>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</si>
  <si>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</si>
  <si>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</si>
  <si>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</si>
  <si>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</si>
  <si>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</si>
  <si>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</si>
  <si>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</si>
  <si>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</si>
  <si>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 на 2014-2016  годы" (11101S2390)</t>
  </si>
  <si>
    <t>Муниципальная  программа" Развитие транспортной  системы муниципального  образования Октябрьский  район на 2014-2016  годы"  (1110182390) окружные,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</si>
  <si>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(1500299990)</t>
  </si>
  <si>
    <t>Содержание автомобильных дорог общего пользования (1110199990) т.с.01.03.01 (дорожный фонд)</t>
  </si>
  <si>
    <t>Содержание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</si>
  <si>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</si>
  <si>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</si>
  <si>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</si>
  <si>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 на 2014 – 2020 годы" земля (1800299990)</t>
  </si>
  <si>
    <t>Реализация мероприятий муниципальной программы "Поддержка малого и среднего предпринимательства в Октябрьском районе на 2014-2020 годы" (0800299990, 0800199990) местный бюджет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</si>
  <si>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(1700182370, 17001S2370)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</si>
  <si>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(0800282380, 0800182380)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</si>
  <si>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годы"(0910299990) местный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</si>
  <si>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</si>
  <si>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</si>
  <si>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Реализация мероприятий в рамках непрограммного направления деятельности (4030099990) земельные отношения; (4050099990)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</si>
  <si>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 (1500199990)</t>
  </si>
  <si>
    <t>05</t>
  </si>
  <si>
    <t>Жилищно-коммунальное хозяйство</t>
  </si>
  <si>
    <t>0501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</si>
  <si>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(0910382173, 09103S2173)</t>
  </si>
  <si>
    <t xml:space="preserve">Расходы на развитие общественной инфраструктуры и реализацию приоритетных направлений развития муниципальных образований (1010182430, 10101S2430) </t>
  </si>
  <si>
    <t>Иные межбюджетные трансферты на финансирование наказов избирателей депутатам Думы ХМАО-Югры  (4120085160)</t>
  </si>
  <si>
    <t>Расходы на развитие общественной инфраструктуры и реализацию приоритетных направлений развития муниципальных образований (капитальный ремонт жилого фонда 4060082430) окружной бюджет</t>
  </si>
  <si>
    <t>Капитальный ремонт жилого фонда (40600S2420,  40600S2430, 4060099990) средства поселений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</si>
  <si>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</si>
  <si>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</si>
  <si>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</si>
  <si>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</si>
  <si>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</si>
  <si>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</si>
  <si>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(1010182190) ОЗП доля поселения 10101S2190</t>
  </si>
  <si>
    <t>Строительство и реконструкция  объектов  муниципальной  собственности (1010142110) местный бюджет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</si>
  <si>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</si>
  <si>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</si>
  <si>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Проектирование и строительство систем инженерной инфракструктуры в целях обеспечения инженерной подготовки земельных участков для жилищного строительства (0910442110)</t>
  </si>
  <si>
    <t>0503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</si>
  <si>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(0600099990)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</si>
  <si>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(150019990)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</si>
  <si>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</si>
  <si>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Внешнее благоустройство (4060099990)</t>
  </si>
  <si>
    <t>0505</t>
  </si>
  <si>
    <t>Другие вопросы в области жилищно-коммунального хозяйства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</si>
  <si>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</si>
  <si>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</si>
  <si>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</si>
  <si>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</si>
  <si>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</si>
  <si>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</si>
  <si>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</si>
  <si>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</si>
  <si>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(0140482030, 01404S2030) 01.40.18 и местн.</t>
  </si>
  <si>
    <t>0702</t>
  </si>
  <si>
    <t>Общее образование</t>
  </si>
  <si>
    <t>Бесплатное питание (0140284030, 0140282460)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</si>
  <si>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(0140482030) 01.40.18 и местн.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</si>
  <si>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</si>
  <si>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</si>
  <si>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</si>
  <si>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</si>
  <si>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</si>
  <si>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0801</t>
  </si>
  <si>
    <t>Культура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</si>
  <si>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(0360182100) строительство объектов</t>
  </si>
  <si>
    <t>Подпрограмма "Библиотечное дело" (0310182070)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</si>
  <si>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</si>
  <si>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</si>
  <si>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</si>
  <si>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</si>
  <si>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</si>
  <si>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</si>
  <si>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</si>
  <si>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(1800582010)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</si>
  <si>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</si>
  <si>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</si>
  <si>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</si>
  <si>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</si>
  <si>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(09201R0200 о/б, 0920150200 ф/б, 09201S0200 доля)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</si>
  <si>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</si>
  <si>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</si>
  <si>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</si>
  <si>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(13101R0820)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</si>
  <si>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</si>
  <si>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</si>
  <si>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</si>
  <si>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</si>
  <si>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</si>
  <si>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</si>
  <si>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</si>
  <si>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</si>
  <si>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</si>
  <si>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</si>
  <si>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</si>
  <si>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</si>
  <si>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</si>
  <si>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</si>
  <si>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</si>
  <si>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</si>
  <si>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</si>
  <si>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Заворотынская Н.А.</t>
  </si>
  <si>
    <t>Заведующий бюджетным отделом</t>
  </si>
  <si>
    <t>Агеева Н.В.</t>
  </si>
  <si>
    <t>Заведующий отделом доходов</t>
  </si>
  <si>
    <t>Мартюшова О.Г.</t>
  </si>
  <si>
    <t>Иные межбюджетные трансферты на благоустройство населенных пунктов (1040182200)</t>
  </si>
  <si>
    <t>Заведующий отделом учета исполнения бюджета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</si>
  <si>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(0910182172, 09101S2172) 01.40.36 и 01.02.00</t>
  </si>
  <si>
    <t>Иные межбюджетные трансферты  для компенсации дополнительных расходов, возникших в результате решений, принятых органами власти другого уровня (1020185150)</t>
  </si>
  <si>
    <t>Первонач. план на 2016 год</t>
  </si>
  <si>
    <t xml:space="preserve">% исп-ия к первонач. плану на  2016 год </t>
  </si>
  <si>
    <t>Отчет  об  исполнении  консолидированного  бюджета  района  по  расходам на 1 января 2017 года</t>
  </si>
  <si>
    <t>исполнение на 01.01.2017</t>
  </si>
  <si>
    <t>исполнения на 01.01.2017</t>
  </si>
  <si>
    <t>Культура и кинематография</t>
  </si>
  <si>
    <t>Отчет об исполнении консолидированного бюджета Октябрьского района по состоянию на 01.01.2017</t>
  </si>
  <si>
    <t>Исполнение на 01.01.2017</t>
  </si>
  <si>
    <t xml:space="preserve">Сверхплановые доходы (+), недополученные (-)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</si>
</sst>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_-* #,##0.0_р_._-;\-* #,##0.0_р_._-;_-* &quot;-&quot;?_р_._-;_-@_-"/>
  </numFmts>
  <fonts count="60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3" tint="-0.24997000396251678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68" fontId="5" fillId="0" borderId="16" xfId="0" applyNumberFormat="1" applyFont="1" applyFill="1" applyBorder="1" applyAlignment="1">
      <alignment horizontal="right" vertical="top"/>
    </xf>
    <xf numFmtId="168" fontId="5" fillId="0" borderId="16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vertical="top" wrapText="1" shrinkToFit="1"/>
    </xf>
    <xf numFmtId="168" fontId="5" fillId="0" borderId="14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68" fontId="4" fillId="0" borderId="16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/>
    </xf>
    <xf numFmtId="168" fontId="4" fillId="0" borderId="14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168" fontId="1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/>
    </xf>
    <xf numFmtId="49" fontId="1" fillId="0" borderId="16" xfId="0" applyNumberFormat="1" applyFont="1" applyFill="1" applyBorder="1" applyAlignment="1">
      <alignment horizontal="center" vertical="top" wrapText="1"/>
    </xf>
    <xf numFmtId="168" fontId="4" fillId="0" borderId="16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168" fontId="5" fillId="0" borderId="14" xfId="0" applyNumberFormat="1" applyFont="1" applyFill="1" applyBorder="1" applyAlignment="1">
      <alignment vertical="top"/>
    </xf>
    <xf numFmtId="168" fontId="2" fillId="0" borderId="16" xfId="0" applyNumberFormat="1" applyFont="1" applyFill="1" applyBorder="1" applyAlignment="1">
      <alignment horizontal="right" vertical="top" wrapText="1"/>
    </xf>
    <xf numFmtId="168" fontId="4" fillId="0" borderId="12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horizontal="left" vertical="top"/>
    </xf>
    <xf numFmtId="0" fontId="0" fillId="33" borderId="0" xfId="0" applyFill="1" applyAlignment="1">
      <alignment horizontal="right"/>
    </xf>
    <xf numFmtId="168" fontId="2" fillId="0" borderId="16" xfId="0" applyNumberFormat="1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vertical="top"/>
    </xf>
    <xf numFmtId="168" fontId="2" fillId="0" borderId="14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8" fillId="0" borderId="0" xfId="53" applyNumberFormat="1" applyFont="1" applyAlignment="1">
      <alignment horizontal="center" vertical="center" wrapText="1"/>
      <protection/>
    </xf>
    <xf numFmtId="0" fontId="8" fillId="0" borderId="0" xfId="53" applyNumberFormat="1" applyFont="1" applyAlignment="1">
      <alignment horizontal="left" vertical="center" wrapText="1"/>
      <protection/>
    </xf>
    <xf numFmtId="171" fontId="57" fillId="0" borderId="0" xfId="53" applyNumberFormat="1" applyFont="1" applyFill="1" applyAlignment="1">
      <alignment horizontal="center" vertical="center" wrapText="1"/>
      <protection/>
    </xf>
    <xf numFmtId="171" fontId="9" fillId="0" borderId="0" xfId="53" applyNumberFormat="1" applyFont="1" applyFill="1" applyBorder="1" applyAlignment="1">
      <alignment horizontal="center" vertical="center" wrapText="1"/>
      <protection/>
    </xf>
    <xf numFmtId="171" fontId="9" fillId="0" borderId="0" xfId="53" applyNumberFormat="1" applyFont="1" applyFill="1" applyAlignment="1">
      <alignment horizontal="center" vertical="center" wrapText="1"/>
      <protection/>
    </xf>
    <xf numFmtId="171" fontId="9" fillId="0" borderId="0" xfId="0" applyNumberFormat="1" applyFont="1" applyFill="1" applyAlignment="1">
      <alignment horizontal="center" vertical="center" wrapText="1"/>
    </xf>
    <xf numFmtId="171" fontId="9" fillId="0" borderId="0" xfId="0" applyNumberFormat="1" applyFont="1" applyAlignment="1">
      <alignment horizontal="center" vertical="center" wrapText="1"/>
    </xf>
    <xf numFmtId="171" fontId="10" fillId="0" borderId="0" xfId="0" applyNumberFormat="1" applyFont="1" applyFill="1" applyAlignment="1">
      <alignment horizontal="center" vertical="center" wrapText="1"/>
    </xf>
    <xf numFmtId="171" fontId="10" fillId="0" borderId="0" xfId="0" applyNumberFormat="1" applyFont="1" applyAlignment="1">
      <alignment horizontal="center" vertical="center" wrapText="1"/>
    </xf>
    <xf numFmtId="171" fontId="12" fillId="0" borderId="16" xfId="53" applyNumberFormat="1" applyFont="1" applyFill="1" applyBorder="1" applyAlignment="1">
      <alignment horizontal="center" vertical="center" wrapText="1"/>
      <protection/>
    </xf>
    <xf numFmtId="171" fontId="13" fillId="0" borderId="16" xfId="0" applyNumberFormat="1" applyFont="1" applyBorder="1" applyAlignment="1">
      <alignment horizontal="center" vertical="center" wrapText="1"/>
    </xf>
    <xf numFmtId="49" fontId="15" fillId="34" borderId="17" xfId="53" applyNumberFormat="1" applyFont="1" applyFill="1" applyBorder="1" applyAlignment="1" quotePrefix="1">
      <alignment horizontal="center" vertical="center" wrapText="1"/>
      <protection/>
    </xf>
    <xf numFmtId="0" fontId="15" fillId="34" borderId="16" xfId="53" applyNumberFormat="1" applyFont="1" applyFill="1" applyBorder="1" applyAlignment="1">
      <alignment horizontal="left" vertical="center" wrapText="1"/>
      <protection/>
    </xf>
    <xf numFmtId="171" fontId="13" fillId="34" borderId="16" xfId="53" applyNumberFormat="1" applyFont="1" applyFill="1" applyBorder="1" applyAlignment="1">
      <alignment horizontal="center" vertical="center" wrapText="1"/>
      <protection/>
    </xf>
    <xf numFmtId="171" fontId="12" fillId="34" borderId="16" xfId="0" applyNumberFormat="1" applyFont="1" applyFill="1" applyBorder="1" applyAlignment="1">
      <alignment horizontal="center" vertical="center" wrapText="1"/>
    </xf>
    <xf numFmtId="171" fontId="13" fillId="34" borderId="18" xfId="0" applyNumberFormat="1" applyFont="1" applyFill="1" applyBorder="1" applyAlignment="1">
      <alignment horizontal="center" vertical="center" wrapText="1"/>
    </xf>
    <xf numFmtId="49" fontId="11" fillId="0" borderId="17" xfId="53" applyNumberFormat="1" applyFont="1" applyFill="1" applyBorder="1" applyAlignment="1" quotePrefix="1">
      <alignment horizontal="center" vertical="center" wrapText="1"/>
      <protection/>
    </xf>
    <xf numFmtId="0" fontId="11" fillId="0" borderId="16" xfId="53" applyNumberFormat="1" applyFont="1" applyFill="1" applyBorder="1" applyAlignment="1">
      <alignment horizontal="left" vertical="center" wrapText="1"/>
      <protection/>
    </xf>
    <xf numFmtId="171" fontId="12" fillId="0" borderId="16" xfId="0" applyNumberFormat="1" applyFont="1" applyFill="1" applyBorder="1" applyAlignment="1">
      <alignment horizontal="center" vertical="center" wrapText="1"/>
    </xf>
    <xf numFmtId="171" fontId="13" fillId="0" borderId="16" xfId="0" applyNumberFormat="1" applyFont="1" applyFill="1" applyBorder="1" applyAlignment="1">
      <alignment horizontal="center" vertical="center" wrapText="1"/>
    </xf>
    <xf numFmtId="171" fontId="13" fillId="0" borderId="18" xfId="0" applyNumberFormat="1" applyFont="1" applyFill="1" applyBorder="1" applyAlignment="1">
      <alignment horizontal="center" vertical="center" wrapText="1"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171" fontId="12" fillId="34" borderId="16" xfId="53" applyNumberFormat="1" applyFont="1" applyFill="1" applyBorder="1" applyAlignment="1">
      <alignment horizontal="center" vertical="center" wrapText="1"/>
      <protection/>
    </xf>
    <xf numFmtId="171" fontId="13" fillId="34" borderId="18" xfId="53" applyNumberFormat="1" applyFont="1" applyFill="1" applyBorder="1" applyAlignment="1">
      <alignment horizontal="center" vertical="center" wrapText="1"/>
      <protection/>
    </xf>
    <xf numFmtId="0" fontId="11" fillId="35" borderId="16" xfId="53" applyNumberFormat="1" applyFont="1" applyFill="1" applyBorder="1" applyAlignment="1">
      <alignment horizontal="left" vertical="center" wrapText="1"/>
      <protection/>
    </xf>
    <xf numFmtId="0" fontId="12" fillId="0" borderId="16" xfId="52" applyNumberFormat="1" applyFont="1" applyFill="1" applyBorder="1" applyAlignment="1" applyProtection="1">
      <alignment horizontal="left" vertical="center" wrapText="1"/>
      <protection hidden="1"/>
    </xf>
    <xf numFmtId="171" fontId="12" fillId="33" borderId="16" xfId="53" applyNumberFormat="1" applyFont="1" applyFill="1" applyBorder="1" applyAlignment="1">
      <alignment horizontal="center" vertical="center" wrapText="1"/>
      <protection/>
    </xf>
    <xf numFmtId="171" fontId="12" fillId="33" borderId="16" xfId="0" applyNumberFormat="1" applyFont="1" applyFill="1" applyBorder="1" applyAlignment="1">
      <alignment horizontal="center" vertical="center" wrapText="1"/>
    </xf>
    <xf numFmtId="171" fontId="13" fillId="34" borderId="16" xfId="0" applyNumberFormat="1" applyFont="1" applyFill="1" applyBorder="1" applyAlignment="1">
      <alignment horizontal="center" vertical="center" wrapText="1"/>
    </xf>
    <xf numFmtId="171" fontId="58" fillId="0" borderId="16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left" vertical="center" wrapText="1"/>
      <protection/>
    </xf>
    <xf numFmtId="49" fontId="15" fillId="34" borderId="17" xfId="53" applyNumberFormat="1" applyFont="1" applyFill="1" applyBorder="1" applyAlignment="1">
      <alignment horizontal="center" vertical="center" wrapText="1"/>
      <protection/>
    </xf>
    <xf numFmtId="0" fontId="15" fillId="34" borderId="16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49" fontId="12" fillId="0" borderId="17" xfId="53" applyNumberFormat="1" applyFont="1" applyFill="1" applyBorder="1" applyAlignment="1">
      <alignment horizontal="center" vertical="center" wrapText="1"/>
      <protection/>
    </xf>
    <xf numFmtId="0" fontId="12" fillId="0" borderId="16" xfId="53" applyNumberFormat="1" applyFont="1" applyFill="1" applyBorder="1" applyAlignment="1">
      <alignment horizontal="left" vertical="center" wrapText="1"/>
      <protection/>
    </xf>
    <xf numFmtId="171" fontId="12" fillId="36" borderId="16" xfId="53" applyNumberFormat="1" applyFont="1" applyFill="1" applyBorder="1" applyAlignment="1">
      <alignment horizontal="center" vertical="center" wrapText="1"/>
      <protection/>
    </xf>
    <xf numFmtId="171" fontId="12" fillId="36" borderId="16" xfId="0" applyNumberFormat="1" applyFont="1" applyFill="1" applyBorder="1" applyAlignment="1">
      <alignment horizontal="center" vertical="center" wrapText="1"/>
    </xf>
    <xf numFmtId="171" fontId="13" fillId="6" borderId="19" xfId="53" applyNumberFormat="1" applyFont="1" applyFill="1" applyBorder="1" applyAlignment="1">
      <alignment horizontal="center" vertical="center" wrapText="1"/>
      <protection/>
    </xf>
    <xf numFmtId="171" fontId="13" fillId="6" borderId="19" xfId="0" applyNumberFormat="1" applyFont="1" applyFill="1" applyBorder="1" applyAlignment="1">
      <alignment horizontal="center" vertical="center" wrapText="1"/>
    </xf>
    <xf numFmtId="171" fontId="13" fillId="6" borderId="20" xfId="0" applyNumberFormat="1" applyFont="1" applyFill="1" applyBorder="1" applyAlignment="1">
      <alignment horizontal="center" vertical="center" wrapText="1"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53" applyNumberFormat="1" applyFont="1" applyFill="1" applyBorder="1" applyAlignment="1">
      <alignment horizontal="left" vertical="center" wrapText="1"/>
      <protection/>
    </xf>
    <xf numFmtId="171" fontId="57" fillId="0" borderId="0" xfId="53" applyNumberFormat="1" applyFont="1" applyFill="1" applyBorder="1" applyAlignment="1">
      <alignment horizontal="center" vertical="center" wrapText="1"/>
      <protection/>
    </xf>
    <xf numFmtId="171" fontId="10" fillId="0" borderId="0" xfId="53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171" fontId="57" fillId="0" borderId="0" xfId="0" applyNumberFormat="1" applyFont="1" applyFill="1" applyBorder="1" applyAlignment="1">
      <alignment horizontal="center" vertical="center" wrapText="1"/>
    </xf>
    <xf numFmtId="171" fontId="9" fillId="0" borderId="0" xfId="0" applyNumberFormat="1" applyFont="1" applyFill="1" applyBorder="1" applyAlignment="1">
      <alignment horizontal="center" vertical="center" wrapText="1"/>
    </xf>
    <xf numFmtId="171" fontId="19" fillId="0" borderId="0" xfId="0" applyNumberFormat="1" applyFont="1" applyFill="1" applyAlignment="1">
      <alignment horizontal="center" vertical="center" wrapText="1"/>
    </xf>
    <xf numFmtId="171" fontId="19" fillId="0" borderId="0" xfId="0" applyNumberFormat="1" applyFont="1" applyAlignment="1">
      <alignment horizontal="center" vertical="center" wrapText="1"/>
    </xf>
    <xf numFmtId="171" fontId="19" fillId="0" borderId="15" xfId="53" applyNumberFormat="1" applyFont="1" applyFill="1" applyBorder="1" applyAlignment="1">
      <alignment horizontal="center" vertical="center" wrapText="1"/>
      <protection/>
    </xf>
    <xf numFmtId="49" fontId="17" fillId="0" borderId="0" xfId="0" applyNumberFormat="1" applyFont="1" applyFill="1" applyBorder="1" applyAlignment="1">
      <alignment horizontal="right" vertical="center" wrapText="1"/>
    </xf>
    <xf numFmtId="0" fontId="17" fillId="0" borderId="0" xfId="53" applyNumberFormat="1" applyFont="1" applyFill="1" applyBorder="1" applyAlignment="1">
      <alignment horizontal="left" vertical="center" wrapText="1"/>
      <protection/>
    </xf>
    <xf numFmtId="171" fontId="59" fillId="0" borderId="0" xfId="53" applyNumberFormat="1" applyFont="1" applyFill="1" applyBorder="1" applyAlignment="1">
      <alignment horizontal="center" vertical="center" wrapText="1"/>
      <protection/>
    </xf>
    <xf numFmtId="171" fontId="19" fillId="0" borderId="0" xfId="53" applyNumberFormat="1" applyFont="1" applyFill="1" applyBorder="1" applyAlignment="1">
      <alignment horizontal="center" vertical="center" wrapText="1"/>
      <protection/>
    </xf>
    <xf numFmtId="171" fontId="19" fillId="0" borderId="0" xfId="0" applyNumberFormat="1" applyFont="1" applyFill="1" applyBorder="1" applyAlignment="1">
      <alignment horizontal="left" vertical="center" wrapText="1"/>
    </xf>
    <xf numFmtId="171" fontId="19" fillId="0" borderId="0" xfId="0" applyNumberFormat="1" applyFont="1" applyFill="1" applyAlignment="1">
      <alignment horizontal="left" vertical="center" wrapText="1"/>
    </xf>
    <xf numFmtId="171" fontId="19" fillId="0" borderId="15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171" fontId="59" fillId="0" borderId="0" xfId="0" applyNumberFormat="1" applyFont="1" applyFill="1" applyBorder="1" applyAlignment="1">
      <alignment horizontal="center" vertical="center" wrapText="1"/>
    </xf>
    <xf numFmtId="171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171" fontId="59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5" xfId="0" applyFont="1" applyBorder="1" applyAlignment="1">
      <alignment/>
    </xf>
    <xf numFmtId="168" fontId="5" fillId="33" borderId="16" xfId="0" applyNumberFormat="1" applyFont="1" applyFill="1" applyBorder="1" applyAlignment="1">
      <alignment vertical="top"/>
    </xf>
    <xf numFmtId="169" fontId="5" fillId="33" borderId="16" xfId="0" applyNumberFormat="1" applyFont="1" applyFill="1" applyBorder="1" applyAlignment="1">
      <alignment vertical="top"/>
    </xf>
    <xf numFmtId="168" fontId="2" fillId="33" borderId="16" xfId="0" applyNumberFormat="1" applyFont="1" applyFill="1" applyBorder="1" applyAlignment="1">
      <alignment horizontal="right" vertical="top" wrapText="1"/>
    </xf>
    <xf numFmtId="0" fontId="13" fillId="0" borderId="18" xfId="0" applyNumberFormat="1" applyFont="1" applyFill="1" applyBorder="1" applyAlignment="1">
      <alignment horizontal="center" vertical="center" wrapText="1"/>
    </xf>
    <xf numFmtId="169" fontId="13" fillId="0" borderId="18" xfId="0" applyNumberFormat="1" applyFont="1" applyFill="1" applyBorder="1" applyAlignment="1">
      <alignment horizontal="center" vertical="center" wrapText="1"/>
    </xf>
    <xf numFmtId="171" fontId="13" fillId="36" borderId="16" xfId="53" applyNumberFormat="1" applyFont="1" applyFill="1" applyBorder="1" applyAlignment="1">
      <alignment horizontal="center" vertical="center" wrapText="1"/>
      <protection/>
    </xf>
    <xf numFmtId="168" fontId="2" fillId="0" borderId="15" xfId="0" applyNumberFormat="1" applyFont="1" applyFill="1" applyBorder="1" applyAlignment="1">
      <alignment vertical="top" wrapText="1"/>
    </xf>
    <xf numFmtId="168" fontId="2" fillId="0" borderId="15" xfId="0" applyNumberFormat="1" applyFont="1" applyFill="1" applyBorder="1" applyAlignment="1">
      <alignment vertical="top" wrapText="1" shrinkToFit="1"/>
    </xf>
    <xf numFmtId="171" fontId="58" fillId="33" borderId="16" xfId="53" applyNumberFormat="1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/>
    </xf>
    <xf numFmtId="0" fontId="4" fillId="0" borderId="21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168" fontId="4" fillId="0" borderId="24" xfId="0" applyNumberFormat="1" applyFont="1" applyFill="1" applyBorder="1" applyAlignment="1">
      <alignment horizontal="center" vertical="top"/>
    </xf>
    <xf numFmtId="44" fontId="2" fillId="0" borderId="10" xfId="42" applyFont="1" applyFill="1" applyBorder="1" applyAlignment="1">
      <alignment horizontal="center" vertical="top" wrapText="1"/>
    </xf>
    <xf numFmtId="44" fontId="2" fillId="0" borderId="24" xfId="42" applyFont="1" applyFill="1" applyBorder="1" applyAlignment="1">
      <alignment horizontal="center" vertical="top" wrapText="1"/>
    </xf>
    <xf numFmtId="171" fontId="19" fillId="0" borderId="0" xfId="53" applyNumberFormat="1" applyFont="1" applyFill="1" applyBorder="1" applyAlignment="1">
      <alignment horizontal="left" vertical="center" wrapText="1"/>
      <protection/>
    </xf>
    <xf numFmtId="0" fontId="17" fillId="0" borderId="0" xfId="53" applyNumberFormat="1" applyFont="1" applyFill="1" applyBorder="1" applyAlignment="1">
      <alignment horizontal="right" vertical="center" wrapText="1"/>
      <protection/>
    </xf>
    <xf numFmtId="171" fontId="19" fillId="0" borderId="0" xfId="0" applyNumberFormat="1" applyFont="1" applyFill="1" applyBorder="1" applyAlignment="1">
      <alignment horizontal="left" vertical="center" wrapText="1"/>
    </xf>
    <xf numFmtId="171" fontId="13" fillId="36" borderId="16" xfId="53" applyNumberFormat="1" applyFont="1" applyFill="1" applyBorder="1" applyAlignment="1">
      <alignment horizontal="center" vertical="center" wrapText="1"/>
      <protection/>
    </xf>
    <xf numFmtId="171" fontId="13" fillId="0" borderId="18" xfId="53" applyNumberFormat="1" applyFont="1" applyBorder="1" applyAlignment="1">
      <alignment horizontal="center" vertical="center" wrapText="1"/>
      <protection/>
    </xf>
    <xf numFmtId="171" fontId="13" fillId="0" borderId="18" xfId="0" applyNumberFormat="1" applyFont="1" applyBorder="1" applyAlignment="1">
      <alignment horizontal="center" vertical="center" wrapText="1"/>
    </xf>
    <xf numFmtId="0" fontId="15" fillId="0" borderId="16" xfId="53" applyNumberFormat="1" applyFont="1" applyFill="1" applyBorder="1" applyAlignment="1">
      <alignment horizontal="center" vertical="center" wrapText="1"/>
      <protection/>
    </xf>
    <xf numFmtId="0" fontId="15" fillId="0" borderId="18" xfId="53" applyNumberFormat="1" applyFont="1" applyFill="1" applyBorder="1" applyAlignment="1">
      <alignment horizontal="center" vertical="center" wrapText="1"/>
      <protection/>
    </xf>
    <xf numFmtId="0" fontId="7" fillId="0" borderId="0" xfId="53" applyNumberFormat="1" applyFont="1" applyAlignment="1">
      <alignment horizontal="center" vertical="center" wrapText="1"/>
      <protection/>
    </xf>
    <xf numFmtId="49" fontId="11" fillId="0" borderId="25" xfId="53" applyNumberFormat="1" applyFont="1" applyBorder="1" applyAlignment="1">
      <alignment horizontal="center" vertical="center" wrapText="1"/>
      <protection/>
    </xf>
    <xf numFmtId="49" fontId="11" fillId="0" borderId="17" xfId="53" applyNumberFormat="1" applyFont="1" applyBorder="1" applyAlignment="1">
      <alignment horizontal="center" vertical="center" wrapText="1"/>
      <protection/>
    </xf>
    <xf numFmtId="0" fontId="11" fillId="0" borderId="26" xfId="53" applyNumberFormat="1" applyFont="1" applyBorder="1" applyAlignment="1">
      <alignment horizontal="center" vertical="center" wrapText="1"/>
      <protection/>
    </xf>
    <xf numFmtId="0" fontId="11" fillId="0" borderId="16" xfId="53" applyNumberFormat="1" applyFont="1" applyBorder="1" applyAlignment="1">
      <alignment horizontal="center" vertical="center" wrapText="1"/>
      <protection/>
    </xf>
    <xf numFmtId="171" fontId="12" fillId="0" borderId="26" xfId="53" applyNumberFormat="1" applyFont="1" applyFill="1" applyBorder="1" applyAlignment="1">
      <alignment horizontal="center" vertical="center" wrapText="1"/>
      <protection/>
    </xf>
    <xf numFmtId="171" fontId="12" fillId="0" borderId="26" xfId="0" applyNumberFormat="1" applyFont="1" applyBorder="1" applyAlignment="1">
      <alignment horizontal="center" vertical="center" wrapText="1"/>
    </xf>
    <xf numFmtId="0" fontId="18" fillId="37" borderId="27" xfId="53" applyNumberFormat="1" applyFont="1" applyFill="1" applyBorder="1" applyAlignment="1">
      <alignment horizontal="center" vertical="center" wrapText="1"/>
      <protection/>
    </xf>
    <xf numFmtId="0" fontId="18" fillId="37" borderId="19" xfId="53" applyNumberFormat="1" applyFont="1" applyFill="1" applyBorder="1" applyAlignment="1">
      <alignment horizontal="center" vertical="center" wrapText="1"/>
      <protection/>
    </xf>
    <xf numFmtId="171" fontId="13" fillId="0" borderId="26" xfId="0" applyNumberFormat="1" applyFont="1" applyFill="1" applyBorder="1" applyAlignment="1">
      <alignment horizontal="center" vertical="center" wrapText="1"/>
    </xf>
    <xf numFmtId="171" fontId="13" fillId="0" borderId="28" xfId="0" applyNumberFormat="1" applyFont="1" applyFill="1" applyBorder="1" applyAlignment="1">
      <alignment horizontal="center" vertical="center" wrapText="1"/>
    </xf>
    <xf numFmtId="171" fontId="12" fillId="0" borderId="16" xfId="53" applyNumberFormat="1" applyFont="1" applyFill="1" applyBorder="1" applyAlignment="1">
      <alignment horizontal="center" vertical="center" wrapText="1"/>
      <protection/>
    </xf>
    <xf numFmtId="171" fontId="12" fillId="0" borderId="16" xfId="0" applyNumberFormat="1" applyFont="1" applyBorder="1" applyAlignment="1">
      <alignment horizontal="center" vertical="center" wrapText="1"/>
    </xf>
    <xf numFmtId="171" fontId="12" fillId="0" borderId="16" xfId="53" applyNumberFormat="1" applyFont="1" applyBorder="1" applyAlignment="1">
      <alignment horizontal="center" vertical="center" wrapText="1"/>
      <protection/>
    </xf>
    <xf numFmtId="171" fontId="13" fillId="0" borderId="16" xfId="53" applyNumberFormat="1" applyFont="1" applyFill="1" applyBorder="1" applyAlignment="1">
      <alignment horizontal="center" vertical="center" wrapText="1"/>
      <protection/>
    </xf>
    <xf numFmtId="171" fontId="13" fillId="0" borderId="16" xfId="0" applyNumberFormat="1" applyFont="1" applyBorder="1" applyAlignment="1">
      <alignment horizontal="center" vertical="center" wrapText="1"/>
    </xf>
    <xf numFmtId="171" fontId="13" fillId="0" borderId="16" xfId="53" applyNumberFormat="1" applyFont="1" applyBorder="1" applyAlignment="1">
      <alignment horizontal="center" vertical="center" wrapText="1"/>
      <protection/>
    </xf>
    <xf numFmtId="171" fontId="14" fillId="0" borderId="16" xfId="0" applyNumberFormat="1" applyFont="1" applyBorder="1" applyAlignment="1">
      <alignment horizontal="center" vertical="center"/>
    </xf>
    <xf numFmtId="49" fontId="15" fillId="34" borderId="17" xfId="53" applyNumberFormat="1" applyFont="1" applyFill="1" applyBorder="1" applyAlignment="1" quotePrefix="1">
      <alignment horizontal="center" vertical="center" wrapText="1"/>
      <protection/>
    </xf>
    <xf numFmtId="0" fontId="15" fillId="34" borderId="16" xfId="53" applyNumberFormat="1" applyFont="1" applyFill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9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1" sqref="C11"/>
    </sheetView>
  </sheetViews>
  <sheetFormatPr defaultColWidth="9.00390625" defaultRowHeight="12.75" outlineLevelCol="1"/>
  <cols>
    <col min="1" max="1" width="21.25390625" style="1" customWidth="1"/>
    <col min="2" max="2" width="59.25390625" style="1" customWidth="1"/>
    <col min="3" max="3" width="16.00390625" style="1" customWidth="1"/>
    <col min="4" max="4" width="11.125" style="1" customWidth="1"/>
    <col min="5" max="5" width="10.125" style="1" customWidth="1"/>
    <col min="6" max="6" width="8.00390625" style="1" customWidth="1"/>
    <col min="7" max="7" width="8.375" style="1" customWidth="1"/>
    <col min="8" max="8" width="11.125" style="1" customWidth="1"/>
    <col min="9" max="9" width="8.875" style="1" customWidth="1" outlineLevel="1"/>
    <col min="10" max="10" width="11.00390625" style="1" customWidth="1"/>
    <col min="11" max="11" width="10.25390625" style="1" hidden="1" customWidth="1"/>
    <col min="12" max="12" width="7.00390625" style="1" hidden="1" customWidth="1"/>
    <col min="13" max="13" width="9.125" style="1" hidden="1" customWidth="1"/>
    <col min="14" max="14" width="14.25390625" style="1" hidden="1" customWidth="1"/>
    <col min="15" max="15" width="7.25390625" style="1" hidden="1" customWidth="1"/>
    <col min="16" max="16" width="8.25390625" style="1" customWidth="1"/>
    <col min="17" max="17" width="8.00390625" style="1" customWidth="1"/>
    <col min="18" max="16384" width="9.125" style="1" customWidth="1"/>
  </cols>
  <sheetData>
    <row r="1" spans="1:8" ht="12.75">
      <c r="A1" s="130" t="s">
        <v>223</v>
      </c>
      <c r="B1" s="130"/>
      <c r="C1" s="130"/>
      <c r="D1" s="130"/>
      <c r="E1" s="130"/>
      <c r="F1" s="130"/>
      <c r="G1" s="130"/>
      <c r="H1" s="130"/>
    </row>
    <row r="2" spans="1:5" ht="12.75">
      <c r="A2" s="131"/>
      <c r="B2" s="131"/>
      <c r="C2" s="131"/>
      <c r="D2" s="131"/>
      <c r="E2" s="131"/>
    </row>
    <row r="3" spans="1:5" ht="12.75">
      <c r="A3" s="2"/>
      <c r="B3" s="3"/>
      <c r="C3" s="3"/>
      <c r="D3" s="3"/>
      <c r="E3" s="40" t="s">
        <v>55</v>
      </c>
    </row>
    <row r="4" spans="1:8" ht="12.75">
      <c r="A4" s="4" t="s">
        <v>41</v>
      </c>
      <c r="B4" s="5"/>
      <c r="C4" s="132" t="s">
        <v>217</v>
      </c>
      <c r="D4" s="132" t="s">
        <v>59</v>
      </c>
      <c r="E4" s="132" t="s">
        <v>224</v>
      </c>
      <c r="F4" s="132" t="s">
        <v>218</v>
      </c>
      <c r="G4" s="132" t="s">
        <v>58</v>
      </c>
      <c r="H4" s="132" t="s">
        <v>225</v>
      </c>
    </row>
    <row r="5" spans="1:8" ht="12.75">
      <c r="A5" s="6" t="s">
        <v>46</v>
      </c>
      <c r="B5" s="7" t="s">
        <v>16</v>
      </c>
      <c r="C5" s="133"/>
      <c r="D5" s="133"/>
      <c r="E5" s="133"/>
      <c r="F5" s="133"/>
      <c r="G5" s="133"/>
      <c r="H5" s="133"/>
    </row>
    <row r="6" spans="1:8" ht="12.75">
      <c r="A6" s="6"/>
      <c r="B6" s="7"/>
      <c r="C6" s="134"/>
      <c r="D6" s="134"/>
      <c r="E6" s="134"/>
      <c r="F6" s="134"/>
      <c r="G6" s="134"/>
      <c r="H6" s="134"/>
    </row>
    <row r="7" spans="1:5" ht="12.75">
      <c r="A7" s="135" t="s">
        <v>24</v>
      </c>
      <c r="B7" s="135"/>
      <c r="C7" s="135"/>
      <c r="D7" s="135"/>
      <c r="E7" s="135"/>
    </row>
    <row r="8" spans="1:8" ht="12.75">
      <c r="A8" s="30" t="s">
        <v>3</v>
      </c>
      <c r="B8" s="39" t="s">
        <v>54</v>
      </c>
      <c r="C8" s="31">
        <f>C9+C11+C12+C13+C15+C16+C18+C20+C14+C21+C17+C19+C10</f>
        <v>673855</v>
      </c>
      <c r="D8" s="31">
        <f>D9+D11+D12+D13+D15+D16+D18+D20+D14+D21+D17+D19+D10</f>
        <v>820697.7999999999</v>
      </c>
      <c r="E8" s="31">
        <f>E9+E11+E12+E13+E15+E16+E18+E20+E14+E21+E17+E19+E10</f>
        <v>834347.3</v>
      </c>
      <c r="F8" s="21">
        <f aca="true" t="shared" si="0" ref="F8:F20">E8*100/C8</f>
        <v>123.81703779002902</v>
      </c>
      <c r="G8" s="18">
        <f aca="true" t="shared" si="1" ref="G8:G13">E8*100/D8</f>
        <v>101.66315786395431</v>
      </c>
      <c r="H8" s="18">
        <f>E8-C8</f>
        <v>160492.30000000005</v>
      </c>
    </row>
    <row r="9" spans="1:8" ht="12.75">
      <c r="A9" s="8" t="s">
        <v>23</v>
      </c>
      <c r="B9" s="32" t="s">
        <v>22</v>
      </c>
      <c r="C9" s="43">
        <v>483100</v>
      </c>
      <c r="D9" s="43">
        <v>498346</v>
      </c>
      <c r="E9" s="33">
        <v>496963.2</v>
      </c>
      <c r="F9" s="15">
        <f t="shared" si="0"/>
        <v>102.86963361622853</v>
      </c>
      <c r="G9" s="33">
        <f t="shared" si="1"/>
        <v>99.72252210311711</v>
      </c>
      <c r="H9" s="13">
        <f aca="true" t="shared" si="2" ref="H9:H27">E9-C9</f>
        <v>13863.200000000012</v>
      </c>
    </row>
    <row r="10" spans="1:8" ht="12.75">
      <c r="A10" s="8" t="s">
        <v>56</v>
      </c>
      <c r="B10" s="22" t="s">
        <v>57</v>
      </c>
      <c r="C10" s="41">
        <v>34880</v>
      </c>
      <c r="D10" s="41">
        <v>46680.2</v>
      </c>
      <c r="E10" s="13">
        <v>51547.9</v>
      </c>
      <c r="F10" s="15">
        <f t="shared" si="0"/>
        <v>147.78641055045873</v>
      </c>
      <c r="G10" s="13">
        <f t="shared" si="1"/>
        <v>110.42776166340333</v>
      </c>
      <c r="H10" s="13">
        <f t="shared" si="2"/>
        <v>16667.9</v>
      </c>
    </row>
    <row r="11" spans="1:8" ht="12.75">
      <c r="A11" s="8" t="s">
        <v>8</v>
      </c>
      <c r="B11" s="22" t="s">
        <v>5</v>
      </c>
      <c r="C11" s="41">
        <v>36142</v>
      </c>
      <c r="D11" s="41">
        <v>44265</v>
      </c>
      <c r="E11" s="13">
        <v>45494.2</v>
      </c>
      <c r="F11" s="15">
        <f t="shared" si="0"/>
        <v>125.87626584029661</v>
      </c>
      <c r="G11" s="13">
        <f t="shared" si="1"/>
        <v>102.77691178131707</v>
      </c>
      <c r="H11" s="13">
        <f t="shared" si="2"/>
        <v>9352.199999999997</v>
      </c>
    </row>
    <row r="12" spans="1:8" ht="12.75">
      <c r="A12" s="8" t="s">
        <v>9</v>
      </c>
      <c r="B12" s="22" t="s">
        <v>6</v>
      </c>
      <c r="C12" s="41">
        <v>3200</v>
      </c>
      <c r="D12" s="41">
        <v>4500</v>
      </c>
      <c r="E12" s="13">
        <v>4511.4</v>
      </c>
      <c r="F12" s="15">
        <f t="shared" si="0"/>
        <v>140.98125</v>
      </c>
      <c r="G12" s="13">
        <f t="shared" si="1"/>
        <v>100.25333333333332</v>
      </c>
      <c r="H12" s="13">
        <f t="shared" si="2"/>
        <v>1311.3999999999996</v>
      </c>
    </row>
    <row r="13" spans="1:8" ht="12.75">
      <c r="A13" s="8" t="s">
        <v>10</v>
      </c>
      <c r="B13" s="22" t="s">
        <v>21</v>
      </c>
      <c r="C13" s="41">
        <v>3311</v>
      </c>
      <c r="D13" s="41">
        <v>3721.6</v>
      </c>
      <c r="E13" s="13">
        <v>3811.5</v>
      </c>
      <c r="F13" s="15">
        <f t="shared" si="0"/>
        <v>115.11627906976744</v>
      </c>
      <c r="G13" s="13">
        <f t="shared" si="1"/>
        <v>102.41562768701634</v>
      </c>
      <c r="H13" s="13">
        <f t="shared" si="2"/>
        <v>500.5</v>
      </c>
    </row>
    <row r="14" spans="1:8" ht="24">
      <c r="A14" s="8" t="s">
        <v>37</v>
      </c>
      <c r="B14" s="22" t="s">
        <v>38</v>
      </c>
      <c r="C14" s="41"/>
      <c r="D14" s="41"/>
      <c r="E14" s="13"/>
      <c r="F14" s="15" t="e">
        <f t="shared" si="0"/>
        <v>#DIV/0!</v>
      </c>
      <c r="G14" s="13"/>
      <c r="H14" s="13">
        <f t="shared" si="2"/>
        <v>0</v>
      </c>
    </row>
    <row r="15" spans="1:8" ht="24">
      <c r="A15" s="9" t="s">
        <v>11</v>
      </c>
      <c r="B15" s="22" t="s">
        <v>17</v>
      </c>
      <c r="C15" s="41">
        <v>83466</v>
      </c>
      <c r="D15" s="41">
        <v>121667.7</v>
      </c>
      <c r="E15" s="13">
        <v>126053.6</v>
      </c>
      <c r="F15" s="15">
        <f t="shared" si="0"/>
        <v>151.02388996717227</v>
      </c>
      <c r="G15" s="13">
        <f aca="true" t="shared" si="3" ref="G15:G20">E15*100/D15</f>
        <v>103.60481869880009</v>
      </c>
      <c r="H15" s="13">
        <f t="shared" si="2"/>
        <v>42587.600000000006</v>
      </c>
    </row>
    <row r="16" spans="1:8" ht="12.75">
      <c r="A16" s="23" t="s">
        <v>14</v>
      </c>
      <c r="B16" s="22" t="s">
        <v>13</v>
      </c>
      <c r="C16" s="41">
        <v>6290.5</v>
      </c>
      <c r="D16" s="41">
        <v>19805.3</v>
      </c>
      <c r="E16" s="13">
        <v>19809.8</v>
      </c>
      <c r="F16" s="15">
        <f t="shared" si="0"/>
        <v>314.9161433908274</v>
      </c>
      <c r="G16" s="13">
        <f t="shared" si="3"/>
        <v>100.02272119079237</v>
      </c>
      <c r="H16" s="13">
        <f t="shared" si="2"/>
        <v>13519.3</v>
      </c>
    </row>
    <row r="17" spans="1:8" ht="12.75">
      <c r="A17" s="24" t="s">
        <v>42</v>
      </c>
      <c r="B17" s="22" t="s">
        <v>43</v>
      </c>
      <c r="C17" s="41">
        <v>6756</v>
      </c>
      <c r="D17" s="41">
        <v>13049.5</v>
      </c>
      <c r="E17" s="13">
        <v>13927.2</v>
      </c>
      <c r="F17" s="15">
        <f t="shared" si="0"/>
        <v>206.145648312611</v>
      </c>
      <c r="G17" s="13">
        <f t="shared" si="3"/>
        <v>106.72592819648263</v>
      </c>
      <c r="H17" s="13">
        <f t="shared" si="2"/>
        <v>7171.200000000001</v>
      </c>
    </row>
    <row r="18" spans="1:8" ht="12.75">
      <c r="A18" s="24" t="s">
        <v>18</v>
      </c>
      <c r="B18" s="22" t="s">
        <v>15</v>
      </c>
      <c r="C18" s="41">
        <v>15624</v>
      </c>
      <c r="D18" s="41">
        <v>53900</v>
      </c>
      <c r="E18" s="13">
        <v>54228.8</v>
      </c>
      <c r="F18" s="15">
        <f t="shared" si="0"/>
        <v>347.08653353814645</v>
      </c>
      <c r="G18" s="13">
        <f t="shared" si="3"/>
        <v>100.6100185528757</v>
      </c>
      <c r="H18" s="13">
        <f t="shared" si="2"/>
        <v>38604.8</v>
      </c>
    </row>
    <row r="19" spans="1:8" ht="12.75">
      <c r="A19" s="24" t="s">
        <v>47</v>
      </c>
      <c r="B19" s="22" t="s">
        <v>48</v>
      </c>
      <c r="C19" s="41">
        <v>3</v>
      </c>
      <c r="D19" s="41">
        <v>21.3</v>
      </c>
      <c r="E19" s="13">
        <v>22.3</v>
      </c>
      <c r="F19" s="15">
        <f t="shared" si="0"/>
        <v>743.3333333333334</v>
      </c>
      <c r="G19" s="13">
        <f t="shared" si="3"/>
        <v>104.69483568075117</v>
      </c>
      <c r="H19" s="13">
        <f t="shared" si="2"/>
        <v>19.3</v>
      </c>
    </row>
    <row r="20" spans="1:8" ht="12.75">
      <c r="A20" s="16" t="s">
        <v>12</v>
      </c>
      <c r="B20" s="22" t="s">
        <v>7</v>
      </c>
      <c r="C20" s="41">
        <v>1082.5</v>
      </c>
      <c r="D20" s="41">
        <v>14741.2</v>
      </c>
      <c r="E20" s="13">
        <v>17994.2</v>
      </c>
      <c r="F20" s="15">
        <f t="shared" si="0"/>
        <v>1662.2817551963049</v>
      </c>
      <c r="G20" s="13">
        <f t="shared" si="3"/>
        <v>122.06740292513499</v>
      </c>
      <c r="H20" s="13">
        <f t="shared" si="2"/>
        <v>16911.7</v>
      </c>
    </row>
    <row r="21" spans="1:8" ht="12.75">
      <c r="A21" s="25" t="s">
        <v>39</v>
      </c>
      <c r="B21" s="11" t="s">
        <v>40</v>
      </c>
      <c r="C21" s="120">
        <v>0</v>
      </c>
      <c r="D21" s="41">
        <v>0</v>
      </c>
      <c r="E21" s="13">
        <v>-16.8</v>
      </c>
      <c r="F21" s="15"/>
      <c r="G21" s="13"/>
      <c r="H21" s="13">
        <f t="shared" si="2"/>
        <v>-16.8</v>
      </c>
    </row>
    <row r="22" spans="1:8" ht="12.75">
      <c r="A22" s="19" t="s">
        <v>1</v>
      </c>
      <c r="B22" s="26" t="s">
        <v>0</v>
      </c>
      <c r="C22" s="27">
        <f>C23+C24+C26+C25</f>
        <v>3092869.5</v>
      </c>
      <c r="D22" s="27">
        <f>D23+D24+D26+D25</f>
        <v>3551958</v>
      </c>
      <c r="E22" s="27">
        <f>E23+E24+E26+E25</f>
        <v>3542657.8000000003</v>
      </c>
      <c r="F22" s="21">
        <f>E22*100/C22</f>
        <v>114.54275067215089</v>
      </c>
      <c r="G22" s="18">
        <f aca="true" t="shared" si="4" ref="G22:G27">E22*100/D22</f>
        <v>99.73816694904613</v>
      </c>
      <c r="H22" s="18">
        <f t="shared" si="2"/>
        <v>449788.3000000003</v>
      </c>
    </row>
    <row r="23" spans="1:8" ht="24">
      <c r="A23" s="10" t="s">
        <v>53</v>
      </c>
      <c r="B23" s="28" t="s">
        <v>20</v>
      </c>
      <c r="C23" s="34">
        <v>3072869.5</v>
      </c>
      <c r="D23" s="41">
        <v>3529075.8</v>
      </c>
      <c r="E23" s="13">
        <v>3512841.1</v>
      </c>
      <c r="F23" s="15">
        <f>E23*100/C23</f>
        <v>114.3179396326463</v>
      </c>
      <c r="G23" s="13">
        <f t="shared" si="4"/>
        <v>99.53997304336734</v>
      </c>
      <c r="H23" s="13">
        <f t="shared" si="2"/>
        <v>439971.6000000001</v>
      </c>
    </row>
    <row r="24" spans="1:8" ht="12.75">
      <c r="A24" s="10" t="s">
        <v>2</v>
      </c>
      <c r="B24" s="29" t="s">
        <v>19</v>
      </c>
      <c r="C24" s="42">
        <v>20000</v>
      </c>
      <c r="D24" s="41">
        <v>62300</v>
      </c>
      <c r="E24" s="13">
        <v>69234.5</v>
      </c>
      <c r="F24" s="15">
        <f>E24*100/C24</f>
        <v>346.1725</v>
      </c>
      <c r="G24" s="13">
        <f t="shared" si="4"/>
        <v>111.13081861958267</v>
      </c>
      <c r="H24" s="13">
        <f t="shared" si="2"/>
        <v>49234.5</v>
      </c>
    </row>
    <row r="25" spans="1:8" ht="48">
      <c r="A25" s="10" t="s">
        <v>51</v>
      </c>
      <c r="B25" s="11" t="s">
        <v>50</v>
      </c>
      <c r="C25" s="120"/>
      <c r="D25" s="41"/>
      <c r="E25" s="13"/>
      <c r="F25" s="15" t="e">
        <f>E25*100/C25</f>
        <v>#DIV/0!</v>
      </c>
      <c r="G25" s="13" t="e">
        <f t="shared" si="4"/>
        <v>#DIV/0!</v>
      </c>
      <c r="H25" s="13">
        <f t="shared" si="2"/>
        <v>0</v>
      </c>
    </row>
    <row r="26" spans="1:8" ht="24">
      <c r="A26" s="10" t="s">
        <v>52</v>
      </c>
      <c r="B26" s="14" t="s">
        <v>49</v>
      </c>
      <c r="C26" s="121">
        <v>0</v>
      </c>
      <c r="D26" s="41">
        <v>-39417.8</v>
      </c>
      <c r="E26" s="13">
        <v>-39417.8</v>
      </c>
      <c r="F26" s="15"/>
      <c r="G26" s="13">
        <f t="shared" si="4"/>
        <v>100</v>
      </c>
      <c r="H26" s="13">
        <f t="shared" si="2"/>
        <v>-39417.8</v>
      </c>
    </row>
    <row r="27" spans="1:8" ht="12.75">
      <c r="A27" s="16"/>
      <c r="B27" s="17" t="s">
        <v>4</v>
      </c>
      <c r="C27" s="18">
        <f>C22+C8</f>
        <v>3766724.5</v>
      </c>
      <c r="D27" s="18">
        <f>D22+D8</f>
        <v>4372655.8</v>
      </c>
      <c r="E27" s="18">
        <f>E22+E8</f>
        <v>4377005.100000001</v>
      </c>
      <c r="F27" s="21">
        <f>E27*100/C27</f>
        <v>116.2018910594603</v>
      </c>
      <c r="G27" s="18">
        <f t="shared" si="4"/>
        <v>100.09946586694522</v>
      </c>
      <c r="H27" s="18">
        <f t="shared" si="2"/>
        <v>610280.6000000006</v>
      </c>
    </row>
    <row r="28" spans="1:8" ht="12.75">
      <c r="A28" s="128"/>
      <c r="B28" s="129"/>
      <c r="C28" s="129"/>
      <c r="D28" s="129"/>
      <c r="E28" s="129"/>
      <c r="F28" s="21"/>
      <c r="G28" s="18"/>
      <c r="H28" s="123"/>
    </row>
    <row r="29" spans="1:8" ht="12.75">
      <c r="A29" s="127" t="s">
        <v>25</v>
      </c>
      <c r="B29" s="127"/>
      <c r="C29" s="127"/>
      <c r="D29" s="127"/>
      <c r="E29" s="127"/>
      <c r="F29" s="21"/>
      <c r="G29" s="18"/>
      <c r="H29" s="123"/>
    </row>
    <row r="30" spans="1:8" ht="12.75">
      <c r="A30" s="19" t="s">
        <v>3</v>
      </c>
      <c r="B30" s="20" t="s">
        <v>54</v>
      </c>
      <c r="C30" s="21">
        <f>C31+C32+C34+C36+C33+C35+C38+C37</f>
        <v>13371</v>
      </c>
      <c r="D30" s="21">
        <f>D31+D32+D34+D36+D33+D35+D38+D37</f>
        <v>16380.7</v>
      </c>
      <c r="E30" s="21">
        <f>E31+E32+E34+E36+E33+E35+E38+E37</f>
        <v>16430.899999999998</v>
      </c>
      <c r="F30" s="21">
        <f>E30*100/C30</f>
        <v>122.88460100216885</v>
      </c>
      <c r="G30" s="18">
        <f aca="true" t="shared" si="5" ref="G30:G37">E30*100/D30</f>
        <v>100.30645820996659</v>
      </c>
      <c r="H30" s="18">
        <f>E30-C30</f>
        <v>3059.899999999998</v>
      </c>
    </row>
    <row r="31" spans="1:8" ht="12.75">
      <c r="A31" s="8" t="s">
        <v>23</v>
      </c>
      <c r="B31" s="32" t="s">
        <v>22</v>
      </c>
      <c r="C31" s="43">
        <v>11220</v>
      </c>
      <c r="D31" s="41">
        <v>12377.9</v>
      </c>
      <c r="E31" s="33">
        <v>12426.6</v>
      </c>
      <c r="F31" s="15">
        <f>E31*100/C31</f>
        <v>110.75401069518716</v>
      </c>
      <c r="G31" s="13">
        <f t="shared" si="5"/>
        <v>100.39344315271573</v>
      </c>
      <c r="H31" s="13">
        <f aca="true" t="shared" si="6" ref="H31:H42">E31-C31</f>
        <v>1206.6000000000004</v>
      </c>
    </row>
    <row r="32" spans="1:8" ht="12.75">
      <c r="A32" s="8" t="s">
        <v>9</v>
      </c>
      <c r="B32" s="22" t="s">
        <v>6</v>
      </c>
      <c r="C32" s="41">
        <v>307</v>
      </c>
      <c r="D32" s="41">
        <v>723.5</v>
      </c>
      <c r="E32" s="13">
        <v>724.8</v>
      </c>
      <c r="F32" s="15">
        <f>E32*100/C32</f>
        <v>236.0912052117264</v>
      </c>
      <c r="G32" s="13">
        <f t="shared" si="5"/>
        <v>100.1796821008984</v>
      </c>
      <c r="H32" s="13">
        <f t="shared" si="6"/>
        <v>417.79999999999995</v>
      </c>
    </row>
    <row r="33" spans="1:8" ht="12.75">
      <c r="A33" s="8" t="s">
        <v>10</v>
      </c>
      <c r="B33" s="22" t="s">
        <v>21</v>
      </c>
      <c r="C33" s="41">
        <v>24</v>
      </c>
      <c r="D33" s="41">
        <v>20.7</v>
      </c>
      <c r="E33" s="13">
        <v>20.8</v>
      </c>
      <c r="F33" s="15">
        <f>E33*100/C33</f>
        <v>86.66666666666667</v>
      </c>
      <c r="G33" s="13">
        <f t="shared" si="5"/>
        <v>100.48309178743962</v>
      </c>
      <c r="H33" s="13">
        <f t="shared" si="6"/>
        <v>-3.1999999999999993</v>
      </c>
    </row>
    <row r="34" spans="1:8" ht="24">
      <c r="A34" s="9" t="s">
        <v>11</v>
      </c>
      <c r="B34" s="22" t="s">
        <v>17</v>
      </c>
      <c r="C34" s="41">
        <v>1755</v>
      </c>
      <c r="D34" s="41">
        <v>2080.6</v>
      </c>
      <c r="E34" s="13">
        <v>2080.6</v>
      </c>
      <c r="F34" s="15">
        <f>E34*100/C34</f>
        <v>118.55270655270655</v>
      </c>
      <c r="G34" s="13">
        <f t="shared" si="5"/>
        <v>100</v>
      </c>
      <c r="H34" s="13">
        <f t="shared" si="6"/>
        <v>325.5999999999999</v>
      </c>
    </row>
    <row r="35" spans="1:8" ht="12.75">
      <c r="A35" s="24" t="s">
        <v>42</v>
      </c>
      <c r="B35" s="22" t="s">
        <v>43</v>
      </c>
      <c r="C35" s="41">
        <v>0</v>
      </c>
      <c r="D35" s="41">
        <v>873.6</v>
      </c>
      <c r="E35" s="13">
        <v>803.6</v>
      </c>
      <c r="F35" s="15"/>
      <c r="G35" s="13">
        <f t="shared" si="5"/>
        <v>91.98717948717949</v>
      </c>
      <c r="H35" s="13">
        <f t="shared" si="6"/>
        <v>803.6</v>
      </c>
    </row>
    <row r="36" spans="1:8" ht="12.75">
      <c r="A36" s="23" t="s">
        <v>18</v>
      </c>
      <c r="B36" s="22" t="s">
        <v>15</v>
      </c>
      <c r="C36" s="41">
        <v>65</v>
      </c>
      <c r="D36" s="41">
        <v>276.1</v>
      </c>
      <c r="E36" s="13">
        <v>276.1</v>
      </c>
      <c r="F36" s="15">
        <f>E36*100/C36</f>
        <v>424.76923076923083</v>
      </c>
      <c r="G36" s="13">
        <f t="shared" si="5"/>
        <v>100</v>
      </c>
      <c r="H36" s="13">
        <f t="shared" si="6"/>
        <v>211.10000000000002</v>
      </c>
    </row>
    <row r="37" spans="1:8" ht="12.75">
      <c r="A37" s="16" t="s">
        <v>12</v>
      </c>
      <c r="B37" s="22" t="s">
        <v>7</v>
      </c>
      <c r="C37" s="41">
        <v>0</v>
      </c>
      <c r="D37" s="41">
        <v>28.3</v>
      </c>
      <c r="E37" s="13">
        <v>28.3</v>
      </c>
      <c r="F37" s="15"/>
      <c r="G37" s="13">
        <f t="shared" si="5"/>
        <v>100</v>
      </c>
      <c r="H37" s="13">
        <f t="shared" si="6"/>
        <v>28.3</v>
      </c>
    </row>
    <row r="38" spans="1:8" ht="12.75">
      <c r="A38" s="25" t="s">
        <v>39</v>
      </c>
      <c r="B38" s="11" t="s">
        <v>40</v>
      </c>
      <c r="C38" s="120"/>
      <c r="D38" s="22"/>
      <c r="E38" s="13">
        <v>70.1</v>
      </c>
      <c r="F38" s="15"/>
      <c r="G38" s="18"/>
      <c r="H38" s="13">
        <f t="shared" si="6"/>
        <v>70.1</v>
      </c>
    </row>
    <row r="39" spans="1:8" ht="12.75">
      <c r="A39" s="19" t="s">
        <v>1</v>
      </c>
      <c r="B39" s="26" t="s">
        <v>0</v>
      </c>
      <c r="C39" s="27">
        <f>C40+C41</f>
        <v>23326.7</v>
      </c>
      <c r="D39" s="27">
        <f>D40+D41</f>
        <v>26071.8</v>
      </c>
      <c r="E39" s="27">
        <f>E40+E41</f>
        <v>26069.6</v>
      </c>
      <c r="F39" s="21">
        <f>E39*100/C39</f>
        <v>111.7586285243948</v>
      </c>
      <c r="G39" s="18">
        <f>E39*100/D39</f>
        <v>99.99156176405158</v>
      </c>
      <c r="H39" s="18">
        <f t="shared" si="6"/>
        <v>2742.899999999998</v>
      </c>
    </row>
    <row r="40" spans="1:8" ht="24">
      <c r="A40" s="10" t="s">
        <v>53</v>
      </c>
      <c r="B40" s="28" t="s">
        <v>20</v>
      </c>
      <c r="C40" s="34">
        <v>23326.7</v>
      </c>
      <c r="D40" s="41">
        <v>26071.8</v>
      </c>
      <c r="E40" s="13">
        <v>26069.6</v>
      </c>
      <c r="F40" s="15">
        <f>E40*100/C40</f>
        <v>111.7586285243948</v>
      </c>
      <c r="G40" s="13">
        <f>E40*100/D40</f>
        <v>99.99156176405158</v>
      </c>
      <c r="H40" s="13">
        <f t="shared" si="6"/>
        <v>2742.899999999998</v>
      </c>
    </row>
    <row r="41" spans="1:8" ht="12.75">
      <c r="A41" s="10" t="s">
        <v>2</v>
      </c>
      <c r="B41" s="29" t="s">
        <v>19</v>
      </c>
      <c r="C41" s="42"/>
      <c r="D41" s="41"/>
      <c r="E41" s="13"/>
      <c r="F41" s="15" t="e">
        <f>E41*100/C41</f>
        <v>#DIV/0!</v>
      </c>
      <c r="G41" s="13"/>
      <c r="H41" s="13">
        <f t="shared" si="6"/>
        <v>0</v>
      </c>
    </row>
    <row r="42" spans="1:8" ht="12.75">
      <c r="A42" s="16"/>
      <c r="B42" s="17" t="s">
        <v>4</v>
      </c>
      <c r="C42" s="18">
        <f>C39+C30</f>
        <v>36697.7</v>
      </c>
      <c r="D42" s="18">
        <f>D39+D30</f>
        <v>42452.5</v>
      </c>
      <c r="E42" s="18">
        <f>E39+E30</f>
        <v>42500.5</v>
      </c>
      <c r="F42" s="21">
        <f>E42*100/C42</f>
        <v>115.81243511173726</v>
      </c>
      <c r="G42" s="18">
        <f>E42*100/D42</f>
        <v>100.11306754608091</v>
      </c>
      <c r="H42" s="18">
        <f t="shared" si="6"/>
        <v>5802.800000000003</v>
      </c>
    </row>
    <row r="43" spans="1:8" ht="12.75">
      <c r="A43" s="35"/>
      <c r="B43" s="136"/>
      <c r="C43" s="136"/>
      <c r="D43" s="136"/>
      <c r="E43" s="136"/>
      <c r="F43" s="21"/>
      <c r="G43" s="18"/>
      <c r="H43" s="123"/>
    </row>
    <row r="44" spans="1:8" ht="12.75">
      <c r="A44" s="127" t="s">
        <v>26</v>
      </c>
      <c r="B44" s="127"/>
      <c r="C44" s="127"/>
      <c r="D44" s="127"/>
      <c r="E44" s="127"/>
      <c r="F44" s="21"/>
      <c r="G44" s="18"/>
      <c r="H44" s="123"/>
    </row>
    <row r="45" spans="1:8" ht="12.75">
      <c r="A45" s="19" t="s">
        <v>3</v>
      </c>
      <c r="B45" s="20" t="s">
        <v>54</v>
      </c>
      <c r="C45" s="21">
        <f>C46+C48+C50+C51+C52+C53+C49+C47</f>
        <v>15778.3</v>
      </c>
      <c r="D45" s="21">
        <f>D46+D48+D50+D51+D52+D53+D49+D47</f>
        <v>15403.900000000001</v>
      </c>
      <c r="E45" s="21">
        <f>E46+E48+E50+E51+E52+E53+E49+E47</f>
        <v>15081.3</v>
      </c>
      <c r="F45" s="21">
        <f aca="true" t="shared" si="7" ref="F45:F51">E45*100/C45</f>
        <v>95.58254057788228</v>
      </c>
      <c r="G45" s="18">
        <f aca="true" t="shared" si="8" ref="G45:G52">E45*100/D45</f>
        <v>97.90572517349501</v>
      </c>
      <c r="H45" s="18">
        <f>E45-C45</f>
        <v>-697</v>
      </c>
    </row>
    <row r="46" spans="1:8" ht="12.75">
      <c r="A46" s="16" t="s">
        <v>23</v>
      </c>
      <c r="B46" s="32" t="s">
        <v>22</v>
      </c>
      <c r="C46" s="43">
        <v>13600</v>
      </c>
      <c r="D46" s="41">
        <v>12599</v>
      </c>
      <c r="E46" s="33">
        <v>12561.8</v>
      </c>
      <c r="F46" s="15">
        <f t="shared" si="7"/>
        <v>92.36617647058823</v>
      </c>
      <c r="G46" s="13">
        <f t="shared" si="8"/>
        <v>99.70473847130725</v>
      </c>
      <c r="H46" s="13">
        <f aca="true" t="shared" si="9" ref="H46:H58">E46-C46</f>
        <v>-1038.2000000000007</v>
      </c>
    </row>
    <row r="47" spans="1:8" ht="12.75">
      <c r="A47" s="8" t="s">
        <v>8</v>
      </c>
      <c r="B47" s="22" t="s">
        <v>5</v>
      </c>
      <c r="C47" s="41">
        <v>23</v>
      </c>
      <c r="D47" s="41">
        <v>12.5</v>
      </c>
      <c r="E47" s="33">
        <v>12.1</v>
      </c>
      <c r="F47" s="15">
        <f t="shared" si="7"/>
        <v>52.608695652173914</v>
      </c>
      <c r="G47" s="13">
        <f t="shared" si="8"/>
        <v>96.8</v>
      </c>
      <c r="H47" s="13">
        <f t="shared" si="9"/>
        <v>-10.9</v>
      </c>
    </row>
    <row r="48" spans="1:8" ht="12.75">
      <c r="A48" s="8" t="s">
        <v>9</v>
      </c>
      <c r="B48" s="22" t="s">
        <v>6</v>
      </c>
      <c r="C48" s="41">
        <v>1385</v>
      </c>
      <c r="D48" s="41">
        <v>1099.6</v>
      </c>
      <c r="E48" s="13">
        <v>844.2</v>
      </c>
      <c r="F48" s="15">
        <f t="shared" si="7"/>
        <v>60.95306859205776</v>
      </c>
      <c r="G48" s="13">
        <f t="shared" si="8"/>
        <v>76.77337213532194</v>
      </c>
      <c r="H48" s="13">
        <f t="shared" si="9"/>
        <v>-540.8</v>
      </c>
    </row>
    <row r="49" spans="1:8" ht="12.75">
      <c r="A49" s="8" t="s">
        <v>10</v>
      </c>
      <c r="B49" s="22" t="s">
        <v>21</v>
      </c>
      <c r="C49" s="41"/>
      <c r="D49" s="41"/>
      <c r="E49" s="13"/>
      <c r="F49" s="15" t="e">
        <f t="shared" si="7"/>
        <v>#DIV/0!</v>
      </c>
      <c r="G49" s="13" t="e">
        <f t="shared" si="8"/>
        <v>#DIV/0!</v>
      </c>
      <c r="H49" s="13">
        <f t="shared" si="9"/>
        <v>0</v>
      </c>
    </row>
    <row r="50" spans="1:8" ht="24">
      <c r="A50" s="9" t="s">
        <v>11</v>
      </c>
      <c r="B50" s="22" t="s">
        <v>17</v>
      </c>
      <c r="C50" s="41">
        <v>612.8</v>
      </c>
      <c r="D50" s="41">
        <v>1380.4</v>
      </c>
      <c r="E50" s="13">
        <v>1345.3</v>
      </c>
      <c r="F50" s="15">
        <f t="shared" si="7"/>
        <v>219.5332898172324</v>
      </c>
      <c r="G50" s="13">
        <f t="shared" si="8"/>
        <v>97.45725876557519</v>
      </c>
      <c r="H50" s="13">
        <f t="shared" si="9"/>
        <v>732.5</v>
      </c>
    </row>
    <row r="51" spans="1:8" ht="12.75">
      <c r="A51" s="24" t="s">
        <v>18</v>
      </c>
      <c r="B51" s="22" t="s">
        <v>15</v>
      </c>
      <c r="C51" s="41">
        <v>157.5</v>
      </c>
      <c r="D51" s="41">
        <v>271.7</v>
      </c>
      <c r="E51" s="13">
        <v>277.3</v>
      </c>
      <c r="F51" s="15">
        <f t="shared" si="7"/>
        <v>176.06349206349208</v>
      </c>
      <c r="G51" s="13">
        <f t="shared" si="8"/>
        <v>102.0610967979389</v>
      </c>
      <c r="H51" s="13">
        <f t="shared" si="9"/>
        <v>119.80000000000001</v>
      </c>
    </row>
    <row r="52" spans="1:8" ht="12.75">
      <c r="A52" s="16" t="s">
        <v>12</v>
      </c>
      <c r="B52" s="22" t="s">
        <v>7</v>
      </c>
      <c r="C52" s="41">
        <v>0</v>
      </c>
      <c r="D52" s="41">
        <v>40.7</v>
      </c>
      <c r="E52" s="13">
        <v>40.6</v>
      </c>
      <c r="F52" s="15"/>
      <c r="G52" s="13">
        <f t="shared" si="8"/>
        <v>99.75429975429975</v>
      </c>
      <c r="H52" s="13">
        <f t="shared" si="9"/>
        <v>40.6</v>
      </c>
    </row>
    <row r="53" spans="1:8" ht="12.75">
      <c r="A53" s="36" t="s">
        <v>39</v>
      </c>
      <c r="B53" s="11" t="s">
        <v>40</v>
      </c>
      <c r="C53" s="120">
        <v>0</v>
      </c>
      <c r="D53" s="41">
        <v>0</v>
      </c>
      <c r="E53" s="13">
        <v>0</v>
      </c>
      <c r="F53" s="15"/>
      <c r="G53" s="13"/>
      <c r="H53" s="13">
        <f t="shared" si="9"/>
        <v>0</v>
      </c>
    </row>
    <row r="54" spans="1:8" ht="12.75">
      <c r="A54" s="30" t="s">
        <v>1</v>
      </c>
      <c r="B54" s="26" t="s">
        <v>0</v>
      </c>
      <c r="C54" s="27">
        <f>C55+C57+C56</f>
        <v>27455.1</v>
      </c>
      <c r="D54" s="27">
        <f>D55+D57+D56</f>
        <v>40887.3</v>
      </c>
      <c r="E54" s="27">
        <f>E55+E57+E56</f>
        <v>40870.6</v>
      </c>
      <c r="F54" s="21">
        <f>E54*100/C54</f>
        <v>148.86341699720634</v>
      </c>
      <c r="G54" s="18">
        <f>E54*100/D54</f>
        <v>99.95915602155192</v>
      </c>
      <c r="H54" s="18">
        <f t="shared" si="9"/>
        <v>13415.5</v>
      </c>
    </row>
    <row r="55" spans="1:8" ht="24">
      <c r="A55" s="10" t="s">
        <v>53</v>
      </c>
      <c r="B55" s="28" t="s">
        <v>20</v>
      </c>
      <c r="C55" s="34">
        <v>27455.1</v>
      </c>
      <c r="D55" s="41">
        <v>40887.3</v>
      </c>
      <c r="E55" s="13">
        <v>40870.6</v>
      </c>
      <c r="F55" s="15">
        <f>E55*100/C55</f>
        <v>148.86341699720634</v>
      </c>
      <c r="G55" s="13">
        <f>E55*100/D55</f>
        <v>99.95915602155192</v>
      </c>
      <c r="H55" s="13">
        <f t="shared" si="9"/>
        <v>13415.5</v>
      </c>
    </row>
    <row r="56" spans="1:8" ht="12.75">
      <c r="A56" s="10" t="s">
        <v>2</v>
      </c>
      <c r="B56" s="29" t="s">
        <v>19</v>
      </c>
      <c r="C56" s="42"/>
      <c r="D56" s="41"/>
      <c r="E56" s="13"/>
      <c r="F56" s="15" t="e">
        <f>E56*100/C56</f>
        <v>#DIV/0!</v>
      </c>
      <c r="G56" s="13" t="e">
        <f>E56*100/D56</f>
        <v>#DIV/0!</v>
      </c>
      <c r="H56" s="13">
        <f t="shared" si="9"/>
        <v>0</v>
      </c>
    </row>
    <row r="57" spans="1:8" ht="24">
      <c r="A57" s="10" t="s">
        <v>52</v>
      </c>
      <c r="B57" s="14" t="s">
        <v>49</v>
      </c>
      <c r="C57" s="121"/>
      <c r="D57" s="41"/>
      <c r="E57" s="13"/>
      <c r="F57" s="15" t="e">
        <f>E57*100/C57</f>
        <v>#DIV/0!</v>
      </c>
      <c r="G57" s="13"/>
      <c r="H57" s="13">
        <f t="shared" si="9"/>
        <v>0</v>
      </c>
    </row>
    <row r="58" spans="1:8" ht="12.75">
      <c r="A58" s="9"/>
      <c r="B58" s="37" t="s">
        <v>4</v>
      </c>
      <c r="C58" s="38">
        <f>C54+C45</f>
        <v>43233.399999999994</v>
      </c>
      <c r="D58" s="38">
        <f>D54+D45</f>
        <v>56291.200000000004</v>
      </c>
      <c r="E58" s="38">
        <f>E54+E45</f>
        <v>55951.899999999994</v>
      </c>
      <c r="F58" s="21">
        <f>E58*100/C58</f>
        <v>129.41822757405154</v>
      </c>
      <c r="G58" s="18">
        <f>E58*100/D58</f>
        <v>99.39724148712408</v>
      </c>
      <c r="H58" s="18">
        <f t="shared" si="9"/>
        <v>12718.5</v>
      </c>
    </row>
    <row r="59" spans="1:8" ht="12.75">
      <c r="A59" s="128"/>
      <c r="B59" s="129"/>
      <c r="C59" s="129"/>
      <c r="D59" s="129"/>
      <c r="E59" s="129"/>
      <c r="F59" s="21"/>
      <c r="G59" s="18"/>
      <c r="H59" s="123"/>
    </row>
    <row r="60" spans="1:8" ht="12.75">
      <c r="A60" s="127" t="s">
        <v>27</v>
      </c>
      <c r="B60" s="127"/>
      <c r="C60" s="127"/>
      <c r="D60" s="127"/>
      <c r="E60" s="127"/>
      <c r="F60" s="21"/>
      <c r="G60" s="18"/>
      <c r="H60" s="123"/>
    </row>
    <row r="61" spans="1:8" ht="12.75">
      <c r="A61" s="30" t="s">
        <v>3</v>
      </c>
      <c r="B61" s="39" t="s">
        <v>54</v>
      </c>
      <c r="C61" s="31">
        <f>C62+C64+C66+C68+C65+C70+C69+C63+C67</f>
        <v>29995</v>
      </c>
      <c r="D61" s="31">
        <f>D62+D64+D66+D68+D65+D70+D69+D63+D67</f>
        <v>44443.5</v>
      </c>
      <c r="E61" s="31">
        <f>E62+E64+E66+E68+E65+E70+E69+E63+E67</f>
        <v>45611.50000000001</v>
      </c>
      <c r="F61" s="21">
        <f>E61*100/C61</f>
        <v>152.06367727954662</v>
      </c>
      <c r="G61" s="18">
        <f aca="true" t="shared" si="10" ref="G61:G74">E61*100/D61</f>
        <v>102.62805584618675</v>
      </c>
      <c r="H61" s="18">
        <f>E61-C61</f>
        <v>15616.500000000007</v>
      </c>
    </row>
    <row r="62" spans="1:8" ht="12.75">
      <c r="A62" s="8" t="s">
        <v>23</v>
      </c>
      <c r="B62" s="32" t="s">
        <v>22</v>
      </c>
      <c r="C62" s="43">
        <v>16400</v>
      </c>
      <c r="D62" s="41">
        <v>21548</v>
      </c>
      <c r="E62" s="15">
        <v>22109.3</v>
      </c>
      <c r="F62" s="15">
        <f>E62*100/C62</f>
        <v>134.81280487804878</v>
      </c>
      <c r="G62" s="13">
        <f t="shared" si="10"/>
        <v>102.60488212363096</v>
      </c>
      <c r="H62" s="13">
        <f aca="true" t="shared" si="11" ref="H62:H74">E62-C62</f>
        <v>5709.299999999999</v>
      </c>
    </row>
    <row r="63" spans="1:8" ht="12.75">
      <c r="A63" s="8" t="s">
        <v>8</v>
      </c>
      <c r="B63" s="22" t="s">
        <v>5</v>
      </c>
      <c r="C63" s="41">
        <v>35</v>
      </c>
      <c r="D63" s="41">
        <v>31</v>
      </c>
      <c r="E63" s="12">
        <v>31.5</v>
      </c>
      <c r="F63" s="15">
        <f>E63*100/C63</f>
        <v>90</v>
      </c>
      <c r="G63" s="13">
        <f t="shared" si="10"/>
        <v>101.61290322580645</v>
      </c>
      <c r="H63" s="13">
        <f t="shared" si="11"/>
        <v>-3.5</v>
      </c>
    </row>
    <row r="64" spans="1:8" ht="12.75">
      <c r="A64" s="8" t="s">
        <v>9</v>
      </c>
      <c r="B64" s="22" t="s">
        <v>6</v>
      </c>
      <c r="C64" s="41">
        <v>6550</v>
      </c>
      <c r="D64" s="41">
        <v>8550</v>
      </c>
      <c r="E64" s="12">
        <v>8669.6</v>
      </c>
      <c r="F64" s="15">
        <f>E64*100/C64</f>
        <v>132.36030534351144</v>
      </c>
      <c r="G64" s="13">
        <f t="shared" si="10"/>
        <v>101.39883040935672</v>
      </c>
      <c r="H64" s="13">
        <f t="shared" si="11"/>
        <v>2119.6000000000004</v>
      </c>
    </row>
    <row r="65" spans="1:8" ht="12.75">
      <c r="A65" s="8" t="s">
        <v>10</v>
      </c>
      <c r="B65" s="22" t="s">
        <v>21</v>
      </c>
      <c r="C65" s="41">
        <v>0</v>
      </c>
      <c r="D65" s="41">
        <v>159</v>
      </c>
      <c r="E65" s="12">
        <v>159.4</v>
      </c>
      <c r="F65" s="15"/>
      <c r="G65" s="13">
        <f t="shared" si="10"/>
        <v>100.25157232704403</v>
      </c>
      <c r="H65" s="13">
        <f t="shared" si="11"/>
        <v>159.4</v>
      </c>
    </row>
    <row r="66" spans="1:8" ht="24">
      <c r="A66" s="9" t="s">
        <v>11</v>
      </c>
      <c r="B66" s="22" t="s">
        <v>17</v>
      </c>
      <c r="C66" s="41">
        <v>6700</v>
      </c>
      <c r="D66" s="41">
        <v>13470</v>
      </c>
      <c r="E66" s="12">
        <v>13953.2</v>
      </c>
      <c r="F66" s="15">
        <f>E66*100/C66</f>
        <v>208.25671641791044</v>
      </c>
      <c r="G66" s="13">
        <f t="shared" si="10"/>
        <v>103.58723088344469</v>
      </c>
      <c r="H66" s="13">
        <f t="shared" si="11"/>
        <v>7253.200000000001</v>
      </c>
    </row>
    <row r="67" spans="1:8" ht="12.75">
      <c r="A67" s="24" t="s">
        <v>42</v>
      </c>
      <c r="B67" s="22" t="s">
        <v>43</v>
      </c>
      <c r="C67" s="41">
        <v>0</v>
      </c>
      <c r="D67" s="41">
        <v>5.5</v>
      </c>
      <c r="E67" s="12">
        <v>5.5</v>
      </c>
      <c r="F67" s="15"/>
      <c r="G67" s="13">
        <f t="shared" si="10"/>
        <v>100</v>
      </c>
      <c r="H67" s="13">
        <f t="shared" si="11"/>
        <v>5.5</v>
      </c>
    </row>
    <row r="68" spans="1:8" ht="12.75">
      <c r="A68" s="23" t="s">
        <v>18</v>
      </c>
      <c r="B68" s="22" t="s">
        <v>15</v>
      </c>
      <c r="C68" s="41">
        <v>310</v>
      </c>
      <c r="D68" s="41">
        <v>240</v>
      </c>
      <c r="E68" s="12">
        <v>241.6</v>
      </c>
      <c r="F68" s="15">
        <f>E68*100/C68</f>
        <v>77.93548387096774</v>
      </c>
      <c r="G68" s="13">
        <f t="shared" si="10"/>
        <v>100.66666666666667</v>
      </c>
      <c r="H68" s="13">
        <f t="shared" si="11"/>
        <v>-68.4</v>
      </c>
    </row>
    <row r="69" spans="1:8" ht="12.75">
      <c r="A69" s="16" t="s">
        <v>12</v>
      </c>
      <c r="B69" s="22" t="s">
        <v>7</v>
      </c>
      <c r="C69" s="41">
        <v>0</v>
      </c>
      <c r="D69" s="41">
        <v>440</v>
      </c>
      <c r="E69" s="12">
        <v>441.4</v>
      </c>
      <c r="F69" s="15"/>
      <c r="G69" s="13">
        <f t="shared" si="10"/>
        <v>100.31818181818181</v>
      </c>
      <c r="H69" s="13">
        <f t="shared" si="11"/>
        <v>441.4</v>
      </c>
    </row>
    <row r="70" spans="1:8" ht="12.75">
      <c r="A70" s="25" t="s">
        <v>39</v>
      </c>
      <c r="B70" s="11" t="s">
        <v>40</v>
      </c>
      <c r="C70" s="120">
        <v>0</v>
      </c>
      <c r="D70" s="41">
        <v>0</v>
      </c>
      <c r="E70" s="12"/>
      <c r="F70" s="15"/>
      <c r="G70" s="13"/>
      <c r="H70" s="13">
        <f t="shared" si="11"/>
        <v>0</v>
      </c>
    </row>
    <row r="71" spans="1:8" ht="12.75">
      <c r="A71" s="19" t="s">
        <v>1</v>
      </c>
      <c r="B71" s="26" t="s">
        <v>0</v>
      </c>
      <c r="C71" s="27">
        <f>C72+C73</f>
        <v>45837.2</v>
      </c>
      <c r="D71" s="27">
        <f>D72+D73</f>
        <v>71144.4</v>
      </c>
      <c r="E71" s="27">
        <f>E72+E73</f>
        <v>69882.4</v>
      </c>
      <c r="F71" s="21">
        <f>E71*100/C71</f>
        <v>152.4578290122433</v>
      </c>
      <c r="G71" s="18">
        <f t="shared" si="10"/>
        <v>98.22614288686108</v>
      </c>
      <c r="H71" s="18">
        <f t="shared" si="11"/>
        <v>24045.199999999997</v>
      </c>
    </row>
    <row r="72" spans="1:8" ht="24">
      <c r="A72" s="10" t="s">
        <v>53</v>
      </c>
      <c r="B72" s="28" t="s">
        <v>20</v>
      </c>
      <c r="C72" s="34">
        <v>45837.2</v>
      </c>
      <c r="D72" s="41">
        <v>70974.4</v>
      </c>
      <c r="E72" s="13">
        <v>69712.4</v>
      </c>
      <c r="F72" s="15">
        <f>E72*100/C72</f>
        <v>152.08695120993428</v>
      </c>
      <c r="G72" s="13">
        <f t="shared" si="10"/>
        <v>98.2218940913907</v>
      </c>
      <c r="H72" s="13">
        <f t="shared" si="11"/>
        <v>23875.199999999997</v>
      </c>
    </row>
    <row r="73" spans="1:8" ht="12.75">
      <c r="A73" s="10" t="s">
        <v>2</v>
      </c>
      <c r="B73" s="29" t="s">
        <v>19</v>
      </c>
      <c r="C73" s="42">
        <v>0</v>
      </c>
      <c r="D73" s="41">
        <v>170</v>
      </c>
      <c r="E73" s="13">
        <v>170</v>
      </c>
      <c r="F73" s="15"/>
      <c r="G73" s="13">
        <f t="shared" si="10"/>
        <v>100</v>
      </c>
      <c r="H73" s="13">
        <f t="shared" si="11"/>
        <v>170</v>
      </c>
    </row>
    <row r="74" spans="1:8" ht="12.75">
      <c r="A74" s="16"/>
      <c r="B74" s="17" t="s">
        <v>4</v>
      </c>
      <c r="C74" s="18">
        <f>C71+C61</f>
        <v>75832.2</v>
      </c>
      <c r="D74" s="18">
        <f>D71+D61</f>
        <v>115587.9</v>
      </c>
      <c r="E74" s="18">
        <f>E71+E61</f>
        <v>115493.9</v>
      </c>
      <c r="F74" s="21">
        <f>E74*100/C74</f>
        <v>152.30192451227842</v>
      </c>
      <c r="G74" s="18">
        <f t="shared" si="10"/>
        <v>99.9186766088838</v>
      </c>
      <c r="H74" s="18">
        <f t="shared" si="11"/>
        <v>39661.7</v>
      </c>
    </row>
    <row r="75" spans="1:8" ht="12.75">
      <c r="A75" s="128"/>
      <c r="B75" s="129"/>
      <c r="C75" s="129"/>
      <c r="D75" s="129"/>
      <c r="E75" s="129"/>
      <c r="F75" s="21"/>
      <c r="G75" s="18"/>
      <c r="H75" s="123"/>
    </row>
    <row r="76" spans="1:8" ht="12.75">
      <c r="A76" s="127" t="s">
        <v>28</v>
      </c>
      <c r="B76" s="127"/>
      <c r="C76" s="127"/>
      <c r="D76" s="127"/>
      <c r="E76" s="127"/>
      <c r="F76" s="21"/>
      <c r="G76" s="18"/>
      <c r="H76" s="123"/>
    </row>
    <row r="77" spans="1:8" ht="12.75">
      <c r="A77" s="19" t="s">
        <v>3</v>
      </c>
      <c r="B77" s="20" t="s">
        <v>54</v>
      </c>
      <c r="C77" s="21">
        <f>C78+C79+C80+C81+C82+C83+C84+C85+C86</f>
        <v>23720.8</v>
      </c>
      <c r="D77" s="21">
        <f>D78+D79+D80+D81+D82+D83+D84+D85+D86</f>
        <v>27586.499999999996</v>
      </c>
      <c r="E77" s="21">
        <f>E78+E79+E80+E81+E82+E83+E84+E85+E86+E87</f>
        <v>29419.2</v>
      </c>
      <c r="F77" s="21">
        <f aca="true" t="shared" si="12" ref="F77:F85">E77*100/C77</f>
        <v>124.0227985565411</v>
      </c>
      <c r="G77" s="18">
        <f>E77*100/D77</f>
        <v>106.64346691316406</v>
      </c>
      <c r="H77" s="18">
        <f>E77-C77</f>
        <v>5698.4000000000015</v>
      </c>
    </row>
    <row r="78" spans="1:8" ht="12.75">
      <c r="A78" s="16" t="s">
        <v>23</v>
      </c>
      <c r="B78" s="22" t="s">
        <v>22</v>
      </c>
      <c r="C78" s="41">
        <v>15700</v>
      </c>
      <c r="D78" s="41">
        <v>18600</v>
      </c>
      <c r="E78" s="13">
        <v>20100.5</v>
      </c>
      <c r="F78" s="15">
        <f t="shared" si="12"/>
        <v>128.02866242038218</v>
      </c>
      <c r="G78" s="13">
        <f>E78*100/D78</f>
        <v>108.06720430107526</v>
      </c>
      <c r="H78" s="13">
        <f aca="true" t="shared" si="13" ref="H78:H91">E78-C78</f>
        <v>4400.5</v>
      </c>
    </row>
    <row r="79" spans="1:8" ht="12.75">
      <c r="A79" s="8" t="s">
        <v>8</v>
      </c>
      <c r="B79" s="22" t="s">
        <v>5</v>
      </c>
      <c r="C79" s="41"/>
      <c r="D79" s="41"/>
      <c r="E79" s="13"/>
      <c r="F79" s="15" t="e">
        <f t="shared" si="12"/>
        <v>#DIV/0!</v>
      </c>
      <c r="G79" s="13"/>
      <c r="H79" s="13">
        <f t="shared" si="13"/>
        <v>0</v>
      </c>
    </row>
    <row r="80" spans="1:8" ht="12.75">
      <c r="A80" s="8" t="s">
        <v>9</v>
      </c>
      <c r="B80" s="22" t="s">
        <v>6</v>
      </c>
      <c r="C80" s="41">
        <v>1404.3</v>
      </c>
      <c r="D80" s="41">
        <v>1919.3</v>
      </c>
      <c r="E80" s="13">
        <v>2094.9</v>
      </c>
      <c r="F80" s="15">
        <f t="shared" si="12"/>
        <v>149.17752616962187</v>
      </c>
      <c r="G80" s="13">
        <f>E80*100/D80</f>
        <v>109.14916896785286</v>
      </c>
      <c r="H80" s="13">
        <f t="shared" si="13"/>
        <v>690.6000000000001</v>
      </c>
    </row>
    <row r="81" spans="1:8" ht="12.75">
      <c r="A81" s="8" t="s">
        <v>10</v>
      </c>
      <c r="B81" s="22" t="s">
        <v>21</v>
      </c>
      <c r="C81" s="41"/>
      <c r="D81" s="41"/>
      <c r="E81" s="13"/>
      <c r="F81" s="15" t="e">
        <f t="shared" si="12"/>
        <v>#DIV/0!</v>
      </c>
      <c r="G81" s="13" t="e">
        <f>E81*100/D81</f>
        <v>#DIV/0!</v>
      </c>
      <c r="H81" s="13">
        <f t="shared" si="13"/>
        <v>0</v>
      </c>
    </row>
    <row r="82" spans="1:8" ht="24">
      <c r="A82" s="9" t="s">
        <v>11</v>
      </c>
      <c r="B82" s="22" t="s">
        <v>17</v>
      </c>
      <c r="C82" s="41">
        <v>6035</v>
      </c>
      <c r="D82" s="41">
        <v>6265.4</v>
      </c>
      <c r="E82" s="13">
        <v>6726.8</v>
      </c>
      <c r="F82" s="15">
        <f t="shared" si="12"/>
        <v>111.46313173156587</v>
      </c>
      <c r="G82" s="13">
        <f>E82*100/D82</f>
        <v>107.36425447696875</v>
      </c>
      <c r="H82" s="13">
        <f t="shared" si="13"/>
        <v>691.8000000000002</v>
      </c>
    </row>
    <row r="83" spans="1:8" ht="12.75">
      <c r="A83" s="24" t="s">
        <v>42</v>
      </c>
      <c r="B83" s="22" t="s">
        <v>43</v>
      </c>
      <c r="C83" s="41">
        <v>479</v>
      </c>
      <c r="D83" s="41">
        <v>452.5</v>
      </c>
      <c r="E83" s="13">
        <v>467.9</v>
      </c>
      <c r="F83" s="15">
        <f t="shared" si="12"/>
        <v>97.68267223382045</v>
      </c>
      <c r="G83" s="13">
        <f>E83*100/D83</f>
        <v>103.40331491712708</v>
      </c>
      <c r="H83" s="13">
        <f t="shared" si="13"/>
        <v>-11.100000000000023</v>
      </c>
    </row>
    <row r="84" spans="1:8" ht="12.75">
      <c r="A84" s="23" t="s">
        <v>18</v>
      </c>
      <c r="B84" s="22" t="s">
        <v>15</v>
      </c>
      <c r="C84" s="41">
        <v>102.5</v>
      </c>
      <c r="D84" s="41">
        <v>349.3</v>
      </c>
      <c r="E84" s="13">
        <v>383.1</v>
      </c>
      <c r="F84" s="15">
        <f t="shared" si="12"/>
        <v>373.7560975609756</v>
      </c>
      <c r="G84" s="13">
        <f>E84*100/D84</f>
        <v>109.67649584884053</v>
      </c>
      <c r="H84" s="13">
        <f t="shared" si="13"/>
        <v>280.6</v>
      </c>
    </row>
    <row r="85" spans="1:8" ht="12.75">
      <c r="A85" s="16" t="s">
        <v>12</v>
      </c>
      <c r="B85" s="22" t="s">
        <v>7</v>
      </c>
      <c r="C85" s="41"/>
      <c r="D85" s="41"/>
      <c r="E85" s="13"/>
      <c r="F85" s="15" t="e">
        <f t="shared" si="12"/>
        <v>#DIV/0!</v>
      </c>
      <c r="G85" s="13"/>
      <c r="H85" s="13">
        <f t="shared" si="13"/>
        <v>0</v>
      </c>
    </row>
    <row r="86" spans="1:8" ht="12.75">
      <c r="A86" s="25" t="s">
        <v>39</v>
      </c>
      <c r="B86" s="11" t="s">
        <v>40</v>
      </c>
      <c r="C86" s="120">
        <v>0</v>
      </c>
      <c r="D86" s="41">
        <v>0</v>
      </c>
      <c r="E86" s="13">
        <v>-354</v>
      </c>
      <c r="F86" s="15"/>
      <c r="G86" s="13"/>
      <c r="H86" s="13">
        <f t="shared" si="13"/>
        <v>-354</v>
      </c>
    </row>
    <row r="87" spans="1:8" ht="12.75">
      <c r="A87" s="25" t="s">
        <v>44</v>
      </c>
      <c r="B87" s="11" t="s">
        <v>45</v>
      </c>
      <c r="C87" s="120"/>
      <c r="D87" s="11"/>
      <c r="E87" s="13"/>
      <c r="F87" s="15" t="e">
        <f>E87*100/C87</f>
        <v>#DIV/0!</v>
      </c>
      <c r="G87" s="18" t="e">
        <f>E87*100/D87</f>
        <v>#DIV/0!</v>
      </c>
      <c r="H87" s="13">
        <f t="shared" si="13"/>
        <v>0</v>
      </c>
    </row>
    <row r="88" spans="1:8" ht="12.75">
      <c r="A88" s="19" t="s">
        <v>1</v>
      </c>
      <c r="B88" s="26" t="s">
        <v>0</v>
      </c>
      <c r="C88" s="27">
        <f>C89+C90</f>
        <v>69047.4</v>
      </c>
      <c r="D88" s="27">
        <f>D89+D90</f>
        <v>89639</v>
      </c>
      <c r="E88" s="27">
        <f>E89+E90</f>
        <v>89372.7</v>
      </c>
      <c r="F88" s="21">
        <f>E88*100/C88</f>
        <v>129.43673476481374</v>
      </c>
      <c r="G88" s="18">
        <f>E88*100/D88</f>
        <v>99.70291948816921</v>
      </c>
      <c r="H88" s="18">
        <f t="shared" si="13"/>
        <v>20325.300000000003</v>
      </c>
    </row>
    <row r="89" spans="1:8" ht="24">
      <c r="A89" s="10" t="s">
        <v>53</v>
      </c>
      <c r="B89" s="28" t="s">
        <v>20</v>
      </c>
      <c r="C89" s="34">
        <v>69047.4</v>
      </c>
      <c r="D89" s="41">
        <v>86234</v>
      </c>
      <c r="E89" s="13">
        <v>85967.7</v>
      </c>
      <c r="F89" s="15">
        <f>E89*100/C89</f>
        <v>124.50533981004355</v>
      </c>
      <c r="G89" s="13">
        <f>E89*100/D89</f>
        <v>99.69118909015006</v>
      </c>
      <c r="H89" s="13">
        <f t="shared" si="13"/>
        <v>16920.300000000003</v>
      </c>
    </row>
    <row r="90" spans="1:8" ht="12.75">
      <c r="A90" s="10" t="s">
        <v>2</v>
      </c>
      <c r="B90" s="29" t="s">
        <v>19</v>
      </c>
      <c r="C90" s="42">
        <v>0</v>
      </c>
      <c r="D90" s="41">
        <v>3405</v>
      </c>
      <c r="E90" s="13">
        <v>3405</v>
      </c>
      <c r="F90" s="15"/>
      <c r="G90" s="13">
        <f>E90*100/D90</f>
        <v>100</v>
      </c>
      <c r="H90" s="13">
        <f t="shared" si="13"/>
        <v>3405</v>
      </c>
    </row>
    <row r="91" spans="1:8" ht="12.75">
      <c r="A91" s="16"/>
      <c r="B91" s="17" t="s">
        <v>4</v>
      </c>
      <c r="C91" s="18">
        <f>C88+C77</f>
        <v>92768.2</v>
      </c>
      <c r="D91" s="18">
        <f>D88+D77</f>
        <v>117225.5</v>
      </c>
      <c r="E91" s="18">
        <f>E88+E77</f>
        <v>118791.9</v>
      </c>
      <c r="F91" s="21">
        <f>E91*100/C91</f>
        <v>128.0523929536199</v>
      </c>
      <c r="G91" s="18">
        <f>E91*100/D91</f>
        <v>101.33622803912118</v>
      </c>
      <c r="H91" s="18">
        <f t="shared" si="13"/>
        <v>26023.699999999997</v>
      </c>
    </row>
    <row r="92" spans="1:8" ht="12.75">
      <c r="A92" s="128"/>
      <c r="B92" s="129"/>
      <c r="C92" s="129"/>
      <c r="D92" s="129"/>
      <c r="E92" s="129"/>
      <c r="F92" s="21"/>
      <c r="G92" s="18"/>
      <c r="H92" s="123"/>
    </row>
    <row r="93" spans="1:8" ht="12.75">
      <c r="A93" s="127" t="s">
        <v>29</v>
      </c>
      <c r="B93" s="127"/>
      <c r="C93" s="127"/>
      <c r="D93" s="127"/>
      <c r="E93" s="127"/>
      <c r="F93" s="21"/>
      <c r="G93" s="18"/>
      <c r="H93" s="123"/>
    </row>
    <row r="94" spans="1:8" ht="12.75">
      <c r="A94" s="19" t="s">
        <v>3</v>
      </c>
      <c r="B94" s="20" t="s">
        <v>54</v>
      </c>
      <c r="C94" s="21">
        <f>C95+C97+C101+C98+C99+C102+C100+C96</f>
        <v>3030</v>
      </c>
      <c r="D94" s="21">
        <f>D95+D97+D101+D98+D99+D102+D100+D96</f>
        <v>1177</v>
      </c>
      <c r="E94" s="21">
        <f>E95+E97+E101+E98+E99+E102+E100+E96</f>
        <v>1246.4</v>
      </c>
      <c r="F94" s="21">
        <f aca="true" t="shared" si="14" ref="F94:F101">E94*100/C94</f>
        <v>41.13531353135314</v>
      </c>
      <c r="G94" s="18">
        <f aca="true" t="shared" si="15" ref="G94:G100">E94*100/D94</f>
        <v>105.89634664401021</v>
      </c>
      <c r="H94" s="18">
        <f>E94-C94</f>
        <v>-1783.6</v>
      </c>
    </row>
    <row r="95" spans="1:8" ht="12.75">
      <c r="A95" s="16" t="s">
        <v>23</v>
      </c>
      <c r="B95" s="22" t="s">
        <v>22</v>
      </c>
      <c r="C95" s="41">
        <v>2950</v>
      </c>
      <c r="D95" s="41">
        <v>950</v>
      </c>
      <c r="E95" s="13">
        <v>1014.9</v>
      </c>
      <c r="F95" s="15">
        <f t="shared" si="14"/>
        <v>34.40338983050847</v>
      </c>
      <c r="G95" s="13">
        <f t="shared" si="15"/>
        <v>106.83157894736843</v>
      </c>
      <c r="H95" s="13">
        <f aca="true" t="shared" si="16" ref="H95:H106">E95-C95</f>
        <v>-1935.1</v>
      </c>
    </row>
    <row r="96" spans="1:8" ht="12.75">
      <c r="A96" s="8" t="s">
        <v>8</v>
      </c>
      <c r="B96" s="22" t="s">
        <v>5</v>
      </c>
      <c r="C96" s="41">
        <v>3</v>
      </c>
      <c r="D96" s="41">
        <v>0</v>
      </c>
      <c r="E96" s="13">
        <v>0</v>
      </c>
      <c r="F96" s="15">
        <f t="shared" si="14"/>
        <v>0</v>
      </c>
      <c r="G96" s="13"/>
      <c r="H96" s="13">
        <f t="shared" si="16"/>
        <v>-3</v>
      </c>
    </row>
    <row r="97" spans="1:8" ht="12.75">
      <c r="A97" s="8" t="s">
        <v>9</v>
      </c>
      <c r="B97" s="22" t="s">
        <v>6</v>
      </c>
      <c r="C97" s="41">
        <v>28</v>
      </c>
      <c r="D97" s="41">
        <v>54.8</v>
      </c>
      <c r="E97" s="13">
        <v>55.8</v>
      </c>
      <c r="F97" s="15">
        <f t="shared" si="14"/>
        <v>199.28571428571428</v>
      </c>
      <c r="G97" s="13">
        <f t="shared" si="15"/>
        <v>101.82481751824818</v>
      </c>
      <c r="H97" s="13">
        <f t="shared" si="16"/>
        <v>27.799999999999997</v>
      </c>
    </row>
    <row r="98" spans="1:8" ht="12.75">
      <c r="A98" s="8" t="s">
        <v>10</v>
      </c>
      <c r="B98" s="22" t="s">
        <v>21</v>
      </c>
      <c r="C98" s="41">
        <v>10</v>
      </c>
      <c r="D98" s="41">
        <v>5</v>
      </c>
      <c r="E98" s="13">
        <v>4.7</v>
      </c>
      <c r="F98" s="15">
        <f t="shared" si="14"/>
        <v>47</v>
      </c>
      <c r="G98" s="13">
        <f t="shared" si="15"/>
        <v>94</v>
      </c>
      <c r="H98" s="13">
        <f t="shared" si="16"/>
        <v>-5.3</v>
      </c>
    </row>
    <row r="99" spans="1:8" ht="24">
      <c r="A99" s="9" t="s">
        <v>11</v>
      </c>
      <c r="B99" s="22" t="s">
        <v>17</v>
      </c>
      <c r="C99" s="41">
        <v>12</v>
      </c>
      <c r="D99" s="41">
        <v>112.5</v>
      </c>
      <c r="E99" s="13">
        <v>116.3</v>
      </c>
      <c r="F99" s="15">
        <f t="shared" si="14"/>
        <v>969.1666666666666</v>
      </c>
      <c r="G99" s="13">
        <f t="shared" si="15"/>
        <v>103.37777777777778</v>
      </c>
      <c r="H99" s="13">
        <f t="shared" si="16"/>
        <v>104.3</v>
      </c>
    </row>
    <row r="100" spans="1:8" ht="12.75">
      <c r="A100" s="24" t="s">
        <v>42</v>
      </c>
      <c r="B100" s="22" t="s">
        <v>43</v>
      </c>
      <c r="C100" s="41">
        <v>27</v>
      </c>
      <c r="D100" s="41">
        <v>54.7</v>
      </c>
      <c r="E100" s="13">
        <v>54.7</v>
      </c>
      <c r="F100" s="15">
        <f t="shared" si="14"/>
        <v>202.59259259259258</v>
      </c>
      <c r="G100" s="13">
        <f t="shared" si="15"/>
        <v>100</v>
      </c>
      <c r="H100" s="13">
        <f t="shared" si="16"/>
        <v>27.700000000000003</v>
      </c>
    </row>
    <row r="101" spans="1:8" ht="12.75">
      <c r="A101" s="24" t="s">
        <v>18</v>
      </c>
      <c r="B101" s="22" t="s">
        <v>15</v>
      </c>
      <c r="C101" s="41"/>
      <c r="D101" s="41"/>
      <c r="E101" s="13"/>
      <c r="F101" s="15" t="e">
        <f t="shared" si="14"/>
        <v>#DIV/0!</v>
      </c>
      <c r="G101" s="13"/>
      <c r="H101" s="13">
        <f t="shared" si="16"/>
        <v>0</v>
      </c>
    </row>
    <row r="102" spans="1:8" ht="12.75">
      <c r="A102" s="24" t="s">
        <v>39</v>
      </c>
      <c r="B102" s="11" t="s">
        <v>40</v>
      </c>
      <c r="C102" s="120">
        <v>0</v>
      </c>
      <c r="D102" s="41"/>
      <c r="E102" s="13"/>
      <c r="F102" s="15"/>
      <c r="G102" s="18"/>
      <c r="H102" s="13">
        <f t="shared" si="16"/>
        <v>0</v>
      </c>
    </row>
    <row r="103" spans="1:8" ht="12.75">
      <c r="A103" s="30" t="s">
        <v>1</v>
      </c>
      <c r="B103" s="26" t="s">
        <v>0</v>
      </c>
      <c r="C103" s="27">
        <f>C104+C105</f>
        <v>25359.8</v>
      </c>
      <c r="D103" s="27">
        <f>D104+D105</f>
        <v>78182.4</v>
      </c>
      <c r="E103" s="27">
        <f>E104+E105</f>
        <v>77825.8</v>
      </c>
      <c r="F103" s="21">
        <f>E103*100/C103</f>
        <v>306.8864896410855</v>
      </c>
      <c r="G103" s="18">
        <f>E103*100/D103</f>
        <v>99.54388711525868</v>
      </c>
      <c r="H103" s="18">
        <f t="shared" si="16"/>
        <v>52466</v>
      </c>
    </row>
    <row r="104" spans="1:8" ht="24">
      <c r="A104" s="10" t="s">
        <v>53</v>
      </c>
      <c r="B104" s="28" t="s">
        <v>20</v>
      </c>
      <c r="C104" s="34">
        <v>25359.8</v>
      </c>
      <c r="D104" s="41">
        <v>77032.4</v>
      </c>
      <c r="E104" s="13">
        <v>76675.8</v>
      </c>
      <c r="F104" s="15">
        <f>E104*100/C104</f>
        <v>302.35175356272526</v>
      </c>
      <c r="G104" s="13">
        <f>E104*100/D104</f>
        <v>99.53707790488158</v>
      </c>
      <c r="H104" s="13">
        <f t="shared" si="16"/>
        <v>51316</v>
      </c>
    </row>
    <row r="105" spans="1:8" ht="12.75">
      <c r="A105" s="10" t="s">
        <v>2</v>
      </c>
      <c r="B105" s="29" t="s">
        <v>19</v>
      </c>
      <c r="C105" s="42">
        <v>0</v>
      </c>
      <c r="D105" s="41">
        <v>1150</v>
      </c>
      <c r="E105" s="13">
        <v>1150</v>
      </c>
      <c r="F105" s="15"/>
      <c r="G105" s="13">
        <f>E105*100/D105</f>
        <v>100</v>
      </c>
      <c r="H105" s="13">
        <f t="shared" si="16"/>
        <v>1150</v>
      </c>
    </row>
    <row r="106" spans="1:8" ht="12.75">
      <c r="A106" s="16"/>
      <c r="B106" s="17" t="s">
        <v>4</v>
      </c>
      <c r="C106" s="18">
        <f>C103+C94</f>
        <v>28389.8</v>
      </c>
      <c r="D106" s="18">
        <f>D103+D94</f>
        <v>79359.4</v>
      </c>
      <c r="E106" s="18">
        <f>E103+E94</f>
        <v>79072.2</v>
      </c>
      <c r="F106" s="21">
        <f>E106*100/C106</f>
        <v>278.5232724429196</v>
      </c>
      <c r="G106" s="18">
        <f>E106*100/D106</f>
        <v>99.63810210258647</v>
      </c>
      <c r="H106" s="18">
        <f t="shared" si="16"/>
        <v>50682.399999999994</v>
      </c>
    </row>
    <row r="107" spans="1:8" ht="12.75">
      <c r="A107" s="128"/>
      <c r="B107" s="129"/>
      <c r="C107" s="129"/>
      <c r="D107" s="129"/>
      <c r="E107" s="129"/>
      <c r="F107" s="21"/>
      <c r="G107" s="18"/>
      <c r="H107" s="123"/>
    </row>
    <row r="108" spans="1:8" ht="12.75">
      <c r="A108" s="127" t="s">
        <v>30</v>
      </c>
      <c r="B108" s="127"/>
      <c r="C108" s="127"/>
      <c r="D108" s="127"/>
      <c r="E108" s="127"/>
      <c r="F108" s="21"/>
      <c r="G108" s="18"/>
      <c r="H108" s="123"/>
    </row>
    <row r="109" spans="1:8" ht="12.75">
      <c r="A109" s="19" t="s">
        <v>3</v>
      </c>
      <c r="B109" s="20" t="s">
        <v>54</v>
      </c>
      <c r="C109" s="21">
        <f>C110+C112+C116+C113+C114+C117+C115+C118+C111</f>
        <v>1626.7</v>
      </c>
      <c r="D109" s="21">
        <f>D110+D112+D116+D113+D114+D117+D115+D118+D111</f>
        <v>3007.1</v>
      </c>
      <c r="E109" s="21">
        <f>E110+E112+E116+E113+E114+E117+E115+E118+E111</f>
        <v>3227.6</v>
      </c>
      <c r="F109" s="21">
        <f aca="true" t="shared" si="17" ref="F109:F115">E109*100/C109</f>
        <v>198.41396692690722</v>
      </c>
      <c r="G109" s="18">
        <f>E109*100/D109</f>
        <v>107.33264607096538</v>
      </c>
      <c r="H109" s="18">
        <f>E109-C109</f>
        <v>1600.8999999999999</v>
      </c>
    </row>
    <row r="110" spans="1:8" ht="12.75">
      <c r="A110" s="16" t="s">
        <v>23</v>
      </c>
      <c r="B110" s="22" t="s">
        <v>22</v>
      </c>
      <c r="C110" s="41">
        <v>1316.7</v>
      </c>
      <c r="D110" s="41">
        <v>2121.1</v>
      </c>
      <c r="E110" s="13">
        <v>2169.7</v>
      </c>
      <c r="F110" s="15">
        <f t="shared" si="17"/>
        <v>164.7831700463279</v>
      </c>
      <c r="G110" s="13">
        <f>E110*100/D110</f>
        <v>102.29126396680967</v>
      </c>
      <c r="H110" s="13">
        <f aca="true" t="shared" si="18" ref="H110:H122">E110-C110</f>
        <v>852.9999999999998</v>
      </c>
    </row>
    <row r="111" spans="1:8" ht="12.75">
      <c r="A111" s="8" t="s">
        <v>8</v>
      </c>
      <c r="B111" s="22" t="s">
        <v>5</v>
      </c>
      <c r="C111" s="41"/>
      <c r="D111" s="41"/>
      <c r="E111" s="13"/>
      <c r="F111" s="15" t="e">
        <f t="shared" si="17"/>
        <v>#DIV/0!</v>
      </c>
      <c r="G111" s="13"/>
      <c r="H111" s="13">
        <f t="shared" si="18"/>
        <v>0</v>
      </c>
    </row>
    <row r="112" spans="1:8" ht="12.75">
      <c r="A112" s="8" t="s">
        <v>9</v>
      </c>
      <c r="B112" s="22" t="s">
        <v>6</v>
      </c>
      <c r="C112" s="41">
        <v>49</v>
      </c>
      <c r="D112" s="41">
        <v>100</v>
      </c>
      <c r="E112" s="13">
        <v>102.5</v>
      </c>
      <c r="F112" s="15">
        <f t="shared" si="17"/>
        <v>209.18367346938774</v>
      </c>
      <c r="G112" s="13">
        <f aca="true" t="shared" si="19" ref="G112:G117">E112*100/D112</f>
        <v>102.5</v>
      </c>
      <c r="H112" s="13">
        <f t="shared" si="18"/>
        <v>53.5</v>
      </c>
    </row>
    <row r="113" spans="1:8" ht="12.75">
      <c r="A113" s="8" t="s">
        <v>10</v>
      </c>
      <c r="B113" s="22" t="s">
        <v>21</v>
      </c>
      <c r="C113" s="41">
        <v>31</v>
      </c>
      <c r="D113" s="41">
        <v>16</v>
      </c>
      <c r="E113" s="13">
        <v>16.9</v>
      </c>
      <c r="F113" s="15">
        <f t="shared" si="17"/>
        <v>54.51612903225806</v>
      </c>
      <c r="G113" s="13">
        <f t="shared" si="19"/>
        <v>105.62499999999999</v>
      </c>
      <c r="H113" s="13">
        <f t="shared" si="18"/>
        <v>-14.100000000000001</v>
      </c>
    </row>
    <row r="114" spans="1:8" ht="24">
      <c r="A114" s="9" t="s">
        <v>11</v>
      </c>
      <c r="B114" s="22" t="s">
        <v>17</v>
      </c>
      <c r="C114" s="41">
        <v>120</v>
      </c>
      <c r="D114" s="41">
        <v>470</v>
      </c>
      <c r="E114" s="13">
        <v>636.6</v>
      </c>
      <c r="F114" s="15">
        <f t="shared" si="17"/>
        <v>530.5</v>
      </c>
      <c r="G114" s="13">
        <f t="shared" si="19"/>
        <v>135.4468085106383</v>
      </c>
      <c r="H114" s="13">
        <f t="shared" si="18"/>
        <v>516.6</v>
      </c>
    </row>
    <row r="115" spans="1:8" ht="12.75">
      <c r="A115" s="24" t="s">
        <v>42</v>
      </c>
      <c r="B115" s="22" t="s">
        <v>43</v>
      </c>
      <c r="C115" s="41">
        <v>110</v>
      </c>
      <c r="D115" s="41">
        <v>110</v>
      </c>
      <c r="E115" s="13">
        <v>112</v>
      </c>
      <c r="F115" s="15">
        <f t="shared" si="17"/>
        <v>101.81818181818181</v>
      </c>
      <c r="G115" s="13">
        <f t="shared" si="19"/>
        <v>101.81818181818181</v>
      </c>
      <c r="H115" s="13">
        <f t="shared" si="18"/>
        <v>2</v>
      </c>
    </row>
    <row r="116" spans="1:8" ht="12.75">
      <c r="A116" s="23" t="s">
        <v>18</v>
      </c>
      <c r="B116" s="22" t="s">
        <v>15</v>
      </c>
      <c r="C116" s="41">
        <v>0</v>
      </c>
      <c r="D116" s="41">
        <v>190</v>
      </c>
      <c r="E116" s="13">
        <v>189.9</v>
      </c>
      <c r="F116" s="15"/>
      <c r="G116" s="13">
        <f t="shared" si="19"/>
        <v>99.94736842105263</v>
      </c>
      <c r="H116" s="13">
        <f t="shared" si="18"/>
        <v>189.9</v>
      </c>
    </row>
    <row r="117" spans="1:8" ht="12.75">
      <c r="A117" s="16" t="s">
        <v>12</v>
      </c>
      <c r="B117" s="22" t="s">
        <v>7</v>
      </c>
      <c r="C117" s="41"/>
      <c r="D117" s="41"/>
      <c r="E117" s="13"/>
      <c r="F117" s="15"/>
      <c r="G117" s="13" t="e">
        <f t="shared" si="19"/>
        <v>#DIV/0!</v>
      </c>
      <c r="H117" s="13">
        <f t="shared" si="18"/>
        <v>0</v>
      </c>
    </row>
    <row r="118" spans="1:8" ht="12.75">
      <c r="A118" s="23" t="s">
        <v>39</v>
      </c>
      <c r="B118" s="11" t="s">
        <v>40</v>
      </c>
      <c r="C118" s="120">
        <v>0</v>
      </c>
      <c r="D118" s="41">
        <v>0</v>
      </c>
      <c r="E118" s="13">
        <v>0</v>
      </c>
      <c r="F118" s="15"/>
      <c r="G118" s="18"/>
      <c r="H118" s="13">
        <f t="shared" si="18"/>
        <v>0</v>
      </c>
    </row>
    <row r="119" spans="1:8" ht="12.75">
      <c r="A119" s="19" t="s">
        <v>1</v>
      </c>
      <c r="B119" s="26" t="s">
        <v>0</v>
      </c>
      <c r="C119" s="27">
        <f>C120+C121</f>
        <v>25688.6</v>
      </c>
      <c r="D119" s="27">
        <f>D120+D121</f>
        <v>31741.6</v>
      </c>
      <c r="E119" s="27">
        <f>E120+E121</f>
        <v>31741.5</v>
      </c>
      <c r="F119" s="21">
        <f>E119*100/C119</f>
        <v>123.56259196686469</v>
      </c>
      <c r="G119" s="18">
        <f>E119*100/D119</f>
        <v>99.99968495601986</v>
      </c>
      <c r="H119" s="18">
        <f t="shared" si="18"/>
        <v>6052.9000000000015</v>
      </c>
    </row>
    <row r="120" spans="1:8" ht="24">
      <c r="A120" s="10" t="s">
        <v>53</v>
      </c>
      <c r="B120" s="28" t="s">
        <v>20</v>
      </c>
      <c r="C120" s="34">
        <v>25688.6</v>
      </c>
      <c r="D120" s="41">
        <v>31481.6</v>
      </c>
      <c r="E120" s="13">
        <v>31481.5</v>
      </c>
      <c r="F120" s="15">
        <f>E120*100/C120</f>
        <v>122.55046985822506</v>
      </c>
      <c r="G120" s="13">
        <f>E120*100/D120</f>
        <v>99.99968235413702</v>
      </c>
      <c r="H120" s="13">
        <f t="shared" si="18"/>
        <v>5792.9000000000015</v>
      </c>
    </row>
    <row r="121" spans="1:8" ht="12.75">
      <c r="A121" s="10" t="s">
        <v>2</v>
      </c>
      <c r="B121" s="29" t="s">
        <v>19</v>
      </c>
      <c r="C121" s="42">
        <v>0</v>
      </c>
      <c r="D121" s="41">
        <v>260</v>
      </c>
      <c r="E121" s="13">
        <v>260</v>
      </c>
      <c r="F121" s="15"/>
      <c r="G121" s="13">
        <f>E121*100/D121</f>
        <v>100</v>
      </c>
      <c r="H121" s="13">
        <f t="shared" si="18"/>
        <v>260</v>
      </c>
    </row>
    <row r="122" spans="1:8" ht="12.75">
      <c r="A122" s="16"/>
      <c r="B122" s="17" t="s">
        <v>4</v>
      </c>
      <c r="C122" s="18">
        <f>C119+C109</f>
        <v>27315.3</v>
      </c>
      <c r="D122" s="18">
        <f>D119+D109</f>
        <v>34748.7</v>
      </c>
      <c r="E122" s="18">
        <f>E119+E109</f>
        <v>34969.1</v>
      </c>
      <c r="F122" s="21">
        <f>E122*100/C122</f>
        <v>128.0201938107947</v>
      </c>
      <c r="G122" s="18">
        <f>E122*100/D122</f>
        <v>100.6342683323405</v>
      </c>
      <c r="H122" s="18">
        <f t="shared" si="18"/>
        <v>7653.799999999999</v>
      </c>
    </row>
    <row r="123" spans="1:8" ht="12.75">
      <c r="A123" s="128"/>
      <c r="B123" s="129"/>
      <c r="C123" s="129"/>
      <c r="D123" s="129"/>
      <c r="E123" s="129"/>
      <c r="F123" s="21"/>
      <c r="G123" s="18"/>
      <c r="H123" s="123"/>
    </row>
    <row r="124" spans="1:8" ht="12.75">
      <c r="A124" s="127" t="s">
        <v>31</v>
      </c>
      <c r="B124" s="127"/>
      <c r="C124" s="127"/>
      <c r="D124" s="127"/>
      <c r="E124" s="127"/>
      <c r="F124" s="21"/>
      <c r="G124" s="18"/>
      <c r="H124" s="123"/>
    </row>
    <row r="125" spans="1:8" ht="12.75">
      <c r="A125" s="19" t="s">
        <v>3</v>
      </c>
      <c r="B125" s="20" t="s">
        <v>54</v>
      </c>
      <c r="C125" s="21">
        <f>C126+C127+C128+C129+C131+C133+C130+C132</f>
        <v>2690</v>
      </c>
      <c r="D125" s="21">
        <f>D126+D127+D128+D129+D131+D133+D130+D132</f>
        <v>3153.7000000000003</v>
      </c>
      <c r="E125" s="21">
        <f>E126+E127+E128+E129+E131+E133+E130+E132</f>
        <v>3164.6000000000004</v>
      </c>
      <c r="F125" s="21">
        <f aca="true" t="shared" si="20" ref="F125:F131">E125*100/C125</f>
        <v>117.64312267657995</v>
      </c>
      <c r="G125" s="18">
        <f aca="true" t="shared" si="21" ref="G125:G132">E125*100/D125</f>
        <v>100.34562577290168</v>
      </c>
      <c r="H125" s="18">
        <f>E125-C125</f>
        <v>474.60000000000036</v>
      </c>
    </row>
    <row r="126" spans="1:8" ht="12.75">
      <c r="A126" s="16" t="s">
        <v>23</v>
      </c>
      <c r="B126" s="22" t="s">
        <v>22</v>
      </c>
      <c r="C126" s="41">
        <v>2240</v>
      </c>
      <c r="D126" s="41">
        <v>2320.1</v>
      </c>
      <c r="E126" s="13">
        <v>2330.5</v>
      </c>
      <c r="F126" s="15">
        <f t="shared" si="20"/>
        <v>104.04017857142857</v>
      </c>
      <c r="G126" s="13">
        <f t="shared" si="21"/>
        <v>100.44825654066635</v>
      </c>
      <c r="H126" s="13">
        <f aca="true" t="shared" si="22" ref="H126:H137">E126-C126</f>
        <v>90.5</v>
      </c>
    </row>
    <row r="127" spans="1:8" ht="12.75">
      <c r="A127" s="8" t="s">
        <v>9</v>
      </c>
      <c r="B127" s="22" t="s">
        <v>6</v>
      </c>
      <c r="C127" s="41">
        <v>258</v>
      </c>
      <c r="D127" s="41">
        <v>353.9</v>
      </c>
      <c r="E127" s="13">
        <v>353.9</v>
      </c>
      <c r="F127" s="15">
        <f t="shared" si="20"/>
        <v>137.1705426356589</v>
      </c>
      <c r="G127" s="13">
        <f t="shared" si="21"/>
        <v>100</v>
      </c>
      <c r="H127" s="13">
        <f t="shared" si="22"/>
        <v>95.89999999999998</v>
      </c>
    </row>
    <row r="128" spans="1:8" ht="12.75">
      <c r="A128" s="8" t="s">
        <v>10</v>
      </c>
      <c r="B128" s="22" t="s">
        <v>21</v>
      </c>
      <c r="C128" s="41">
        <v>47</v>
      </c>
      <c r="D128" s="41">
        <v>64.4</v>
      </c>
      <c r="E128" s="13">
        <v>64.9</v>
      </c>
      <c r="F128" s="15">
        <f t="shared" si="20"/>
        <v>138.08510638297875</v>
      </c>
      <c r="G128" s="13">
        <f t="shared" si="21"/>
        <v>100.77639751552796</v>
      </c>
      <c r="H128" s="13">
        <f t="shared" si="22"/>
        <v>17.900000000000006</v>
      </c>
    </row>
    <row r="129" spans="1:8" ht="24">
      <c r="A129" s="9" t="s">
        <v>11</v>
      </c>
      <c r="B129" s="22" t="s">
        <v>17</v>
      </c>
      <c r="C129" s="41">
        <v>65</v>
      </c>
      <c r="D129" s="41">
        <v>322.3</v>
      </c>
      <c r="E129" s="13">
        <v>322.3</v>
      </c>
      <c r="F129" s="15">
        <f t="shared" si="20"/>
        <v>495.84615384615387</v>
      </c>
      <c r="G129" s="13">
        <f t="shared" si="21"/>
        <v>100</v>
      </c>
      <c r="H129" s="13">
        <f t="shared" si="22"/>
        <v>257.3</v>
      </c>
    </row>
    <row r="130" spans="1:8" ht="12.75">
      <c r="A130" s="24" t="s">
        <v>42</v>
      </c>
      <c r="B130" s="22" t="s">
        <v>43</v>
      </c>
      <c r="C130" s="41">
        <v>80</v>
      </c>
      <c r="D130" s="41">
        <v>90</v>
      </c>
      <c r="E130" s="13">
        <v>90</v>
      </c>
      <c r="F130" s="15">
        <f t="shared" si="20"/>
        <v>112.5</v>
      </c>
      <c r="G130" s="13">
        <f t="shared" si="21"/>
        <v>100</v>
      </c>
      <c r="H130" s="13">
        <f t="shared" si="22"/>
        <v>10</v>
      </c>
    </row>
    <row r="131" spans="1:8" ht="12.75">
      <c r="A131" s="24" t="s">
        <v>18</v>
      </c>
      <c r="B131" s="22" t="s">
        <v>15</v>
      </c>
      <c r="C131" s="41"/>
      <c r="D131" s="41"/>
      <c r="E131" s="13"/>
      <c r="F131" s="15" t="e">
        <f t="shared" si="20"/>
        <v>#DIV/0!</v>
      </c>
      <c r="G131" s="13" t="e">
        <f t="shared" si="21"/>
        <v>#DIV/0!</v>
      </c>
      <c r="H131" s="13">
        <f t="shared" si="22"/>
        <v>0</v>
      </c>
    </row>
    <row r="132" spans="1:8" ht="12.75">
      <c r="A132" s="16" t="s">
        <v>12</v>
      </c>
      <c r="B132" s="22" t="s">
        <v>7</v>
      </c>
      <c r="C132" s="41">
        <v>0</v>
      </c>
      <c r="D132" s="41">
        <v>3</v>
      </c>
      <c r="E132" s="13">
        <v>3</v>
      </c>
      <c r="F132" s="15"/>
      <c r="G132" s="13">
        <f t="shared" si="21"/>
        <v>100</v>
      </c>
      <c r="H132" s="13">
        <f t="shared" si="22"/>
        <v>3</v>
      </c>
    </row>
    <row r="133" spans="1:8" ht="12.75">
      <c r="A133" s="24" t="s">
        <v>39</v>
      </c>
      <c r="B133" s="11" t="s">
        <v>40</v>
      </c>
      <c r="C133" s="120">
        <v>0</v>
      </c>
      <c r="D133" s="41">
        <v>0</v>
      </c>
      <c r="E133" s="12">
        <v>0</v>
      </c>
      <c r="F133" s="15"/>
      <c r="G133" s="13"/>
      <c r="H133" s="13">
        <f t="shared" si="22"/>
        <v>0</v>
      </c>
    </row>
    <row r="134" spans="1:8" ht="12.75">
      <c r="A134" s="30" t="s">
        <v>1</v>
      </c>
      <c r="B134" s="26" t="s">
        <v>0</v>
      </c>
      <c r="C134" s="27">
        <f>C135+C136</f>
        <v>44884.9</v>
      </c>
      <c r="D134" s="27">
        <f>D135+D136</f>
        <v>51354.7</v>
      </c>
      <c r="E134" s="27">
        <f>E135+E136</f>
        <v>51354.7</v>
      </c>
      <c r="F134" s="21">
        <f>E134*100/C134</f>
        <v>114.41420165801861</v>
      </c>
      <c r="G134" s="18">
        <f>E134*100/D134</f>
        <v>100</v>
      </c>
      <c r="H134" s="18">
        <f t="shared" si="22"/>
        <v>6469.799999999996</v>
      </c>
    </row>
    <row r="135" spans="1:8" ht="24">
      <c r="A135" s="10" t="s">
        <v>53</v>
      </c>
      <c r="B135" s="28" t="s">
        <v>20</v>
      </c>
      <c r="C135" s="34">
        <v>44884.9</v>
      </c>
      <c r="D135" s="41">
        <v>51354.7</v>
      </c>
      <c r="E135" s="13">
        <v>51354.7</v>
      </c>
      <c r="F135" s="15">
        <f>E135*100/C135</f>
        <v>114.41420165801861</v>
      </c>
      <c r="G135" s="13">
        <f>E135*100/D135</f>
        <v>100</v>
      </c>
      <c r="H135" s="13">
        <f t="shared" si="22"/>
        <v>6469.799999999996</v>
      </c>
    </row>
    <row r="136" spans="1:8" ht="12.75">
      <c r="A136" s="10" t="s">
        <v>2</v>
      </c>
      <c r="B136" s="29" t="s">
        <v>19</v>
      </c>
      <c r="C136" s="42"/>
      <c r="D136" s="41"/>
      <c r="E136" s="13"/>
      <c r="F136" s="15" t="e">
        <f>E136*100/C136</f>
        <v>#DIV/0!</v>
      </c>
      <c r="G136" s="13"/>
      <c r="H136" s="13">
        <f t="shared" si="22"/>
        <v>0</v>
      </c>
    </row>
    <row r="137" spans="1:8" ht="12.75">
      <c r="A137" s="16"/>
      <c r="B137" s="17" t="s">
        <v>4</v>
      </c>
      <c r="C137" s="18">
        <f>C134+C125</f>
        <v>47574.9</v>
      </c>
      <c r="D137" s="18">
        <f>D134+D125</f>
        <v>54508.399999999994</v>
      </c>
      <c r="E137" s="18">
        <f>E134+E125</f>
        <v>54519.299999999996</v>
      </c>
      <c r="F137" s="21">
        <f>E137*100/C137</f>
        <v>114.59677266794044</v>
      </c>
      <c r="G137" s="18">
        <f>E137*100/D137</f>
        <v>100.01999691790624</v>
      </c>
      <c r="H137" s="18">
        <f t="shared" si="22"/>
        <v>6944.399999999994</v>
      </c>
    </row>
    <row r="138" spans="1:8" ht="12.75">
      <c r="A138" s="137"/>
      <c r="B138" s="138"/>
      <c r="C138" s="138"/>
      <c r="D138" s="138"/>
      <c r="E138" s="138"/>
      <c r="F138" s="21"/>
      <c r="G138" s="18"/>
      <c r="H138" s="123"/>
    </row>
    <row r="139" spans="1:8" ht="12.75">
      <c r="A139" s="127" t="s">
        <v>32</v>
      </c>
      <c r="B139" s="127"/>
      <c r="C139" s="127"/>
      <c r="D139" s="127"/>
      <c r="E139" s="127"/>
      <c r="F139" s="21"/>
      <c r="G139" s="18"/>
      <c r="H139" s="123"/>
    </row>
    <row r="140" spans="1:8" ht="12.75">
      <c r="A140" s="19" t="s">
        <v>3</v>
      </c>
      <c r="B140" s="20" t="s">
        <v>54</v>
      </c>
      <c r="C140" s="21">
        <f>C141+C143+C145+C147+C144+C148+C146+C149+C142</f>
        <v>13650</v>
      </c>
      <c r="D140" s="21">
        <f>D141+D143+D145+D147+D144+D148+D146+D149+D142</f>
        <v>15389.900000000001</v>
      </c>
      <c r="E140" s="21">
        <f>E141+E143+E145+E147+E144+E148+E146+E149+E142</f>
        <v>15451</v>
      </c>
      <c r="F140" s="21">
        <f>E140*100/C140</f>
        <v>113.1941391941392</v>
      </c>
      <c r="G140" s="18">
        <f>E140*100/D140</f>
        <v>100.39701362581953</v>
      </c>
      <c r="H140" s="18">
        <f>E140-C140</f>
        <v>1801</v>
      </c>
    </row>
    <row r="141" spans="1:8" ht="12.75">
      <c r="A141" s="16" t="s">
        <v>23</v>
      </c>
      <c r="B141" s="22" t="s">
        <v>22</v>
      </c>
      <c r="C141" s="41">
        <v>12800</v>
      </c>
      <c r="D141" s="34">
        <v>13315.9</v>
      </c>
      <c r="E141" s="13">
        <v>13374</v>
      </c>
      <c r="F141" s="15">
        <f>E141*100/C141</f>
        <v>104.484375</v>
      </c>
      <c r="G141" s="13">
        <f>E141*100/D141</f>
        <v>100.43632048903942</v>
      </c>
      <c r="H141" s="13">
        <f aca="true" t="shared" si="23" ref="H141:H153">E141-C141</f>
        <v>574</v>
      </c>
    </row>
    <row r="142" spans="1:8" ht="12.75">
      <c r="A142" s="8" t="s">
        <v>8</v>
      </c>
      <c r="B142" s="22" t="s">
        <v>5</v>
      </c>
      <c r="C142" s="41"/>
      <c r="D142" s="34">
        <v>13.2</v>
      </c>
      <c r="E142" s="13">
        <v>13.2</v>
      </c>
      <c r="F142" s="15"/>
      <c r="G142" s="13">
        <f>E142*100/D142</f>
        <v>100</v>
      </c>
      <c r="H142" s="13">
        <f t="shared" si="23"/>
        <v>13.2</v>
      </c>
    </row>
    <row r="143" spans="1:8" ht="12.75">
      <c r="A143" s="8" t="s">
        <v>9</v>
      </c>
      <c r="B143" s="22" t="s">
        <v>6</v>
      </c>
      <c r="C143" s="41">
        <v>545</v>
      </c>
      <c r="D143" s="34">
        <v>1260.2</v>
      </c>
      <c r="E143" s="13">
        <v>1260.3</v>
      </c>
      <c r="F143" s="15">
        <f>E143*100/C143</f>
        <v>231.24770642201835</v>
      </c>
      <c r="G143" s="13">
        <f aca="true" t="shared" si="24" ref="G143:G148">E143*100/D143</f>
        <v>100.00793524837327</v>
      </c>
      <c r="H143" s="13">
        <f t="shared" si="23"/>
        <v>715.3</v>
      </c>
    </row>
    <row r="144" spans="1:8" ht="12.75">
      <c r="A144" s="8" t="s">
        <v>10</v>
      </c>
      <c r="B144" s="22" t="s">
        <v>21</v>
      </c>
      <c r="C144" s="41">
        <v>160</v>
      </c>
      <c r="D144" s="34">
        <v>124.1</v>
      </c>
      <c r="E144" s="13">
        <v>127</v>
      </c>
      <c r="F144" s="15">
        <f>E144*100/C144</f>
        <v>79.375</v>
      </c>
      <c r="G144" s="13">
        <f t="shared" si="24"/>
        <v>102.33682514101531</v>
      </c>
      <c r="H144" s="13">
        <f t="shared" si="23"/>
        <v>-33</v>
      </c>
    </row>
    <row r="145" spans="1:8" ht="24">
      <c r="A145" s="9" t="s">
        <v>11</v>
      </c>
      <c r="B145" s="22" t="s">
        <v>17</v>
      </c>
      <c r="C145" s="41">
        <v>145</v>
      </c>
      <c r="D145" s="34">
        <v>496.2</v>
      </c>
      <c r="E145" s="13">
        <v>496.2</v>
      </c>
      <c r="F145" s="15">
        <f>E145*100/C145</f>
        <v>342.2068965517241</v>
      </c>
      <c r="G145" s="13">
        <f t="shared" si="24"/>
        <v>100</v>
      </c>
      <c r="H145" s="13">
        <f t="shared" si="23"/>
        <v>351.2</v>
      </c>
    </row>
    <row r="146" spans="1:8" ht="12.75">
      <c r="A146" s="24" t="s">
        <v>42</v>
      </c>
      <c r="B146" s="22" t="s">
        <v>43</v>
      </c>
      <c r="C146" s="41">
        <v>0</v>
      </c>
      <c r="D146" s="34">
        <v>35</v>
      </c>
      <c r="E146" s="13">
        <v>35</v>
      </c>
      <c r="F146" s="15"/>
      <c r="G146" s="13">
        <f t="shared" si="24"/>
        <v>100</v>
      </c>
      <c r="H146" s="13">
        <f t="shared" si="23"/>
        <v>35</v>
      </c>
    </row>
    <row r="147" spans="1:8" ht="12.75">
      <c r="A147" s="23" t="s">
        <v>18</v>
      </c>
      <c r="B147" s="22" t="s">
        <v>15</v>
      </c>
      <c r="C147" s="41">
        <v>0</v>
      </c>
      <c r="D147" s="34">
        <v>96</v>
      </c>
      <c r="E147" s="13">
        <v>96</v>
      </c>
      <c r="F147" s="15"/>
      <c r="G147" s="13">
        <f t="shared" si="24"/>
        <v>100</v>
      </c>
      <c r="H147" s="13">
        <f t="shared" si="23"/>
        <v>96</v>
      </c>
    </row>
    <row r="148" spans="1:8" ht="12.75">
      <c r="A148" s="16" t="s">
        <v>12</v>
      </c>
      <c r="B148" s="22" t="s">
        <v>7</v>
      </c>
      <c r="C148" s="41">
        <v>0</v>
      </c>
      <c r="D148" s="34">
        <v>49.3</v>
      </c>
      <c r="E148" s="13">
        <v>49.3</v>
      </c>
      <c r="F148" s="15"/>
      <c r="G148" s="13">
        <f t="shared" si="24"/>
        <v>100</v>
      </c>
      <c r="H148" s="13">
        <f t="shared" si="23"/>
        <v>49.3</v>
      </c>
    </row>
    <row r="149" spans="1:8" ht="12.75">
      <c r="A149" s="23" t="s">
        <v>39</v>
      </c>
      <c r="B149" s="11" t="s">
        <v>40</v>
      </c>
      <c r="C149" s="120">
        <v>0</v>
      </c>
      <c r="D149" s="34">
        <v>0</v>
      </c>
      <c r="E149" s="13">
        <v>0</v>
      </c>
      <c r="F149" s="15"/>
      <c r="G149" s="18"/>
      <c r="H149" s="13">
        <f t="shared" si="23"/>
        <v>0</v>
      </c>
    </row>
    <row r="150" spans="1:8" ht="12.75">
      <c r="A150" s="19" t="s">
        <v>1</v>
      </c>
      <c r="B150" s="26" t="s">
        <v>0</v>
      </c>
      <c r="C150" s="27">
        <f>C151+C152</f>
        <v>40442.7</v>
      </c>
      <c r="D150" s="27">
        <f>D151+D152</f>
        <v>42972.4</v>
      </c>
      <c r="E150" s="27">
        <f>E151+E152</f>
        <v>42972.4</v>
      </c>
      <c r="F150" s="21">
        <f>E150*100/C150</f>
        <v>106.25502253806003</v>
      </c>
      <c r="G150" s="18">
        <f>E150*100/D150</f>
        <v>100</v>
      </c>
      <c r="H150" s="18">
        <f t="shared" si="23"/>
        <v>2529.7000000000044</v>
      </c>
    </row>
    <row r="151" spans="1:8" ht="24">
      <c r="A151" s="10" t="s">
        <v>53</v>
      </c>
      <c r="B151" s="28" t="s">
        <v>20</v>
      </c>
      <c r="C151" s="34">
        <v>40442.7</v>
      </c>
      <c r="D151" s="34">
        <v>42922.4</v>
      </c>
      <c r="E151" s="13">
        <v>42922.4</v>
      </c>
      <c r="F151" s="15">
        <f>E151*100/C151</f>
        <v>106.13139083196721</v>
      </c>
      <c r="G151" s="13">
        <f>E151*100/D151</f>
        <v>100</v>
      </c>
      <c r="H151" s="13">
        <f t="shared" si="23"/>
        <v>2479.7000000000044</v>
      </c>
    </row>
    <row r="152" spans="1:8" ht="12.75">
      <c r="A152" s="10" t="s">
        <v>2</v>
      </c>
      <c r="B152" s="29" t="s">
        <v>19</v>
      </c>
      <c r="C152" s="42"/>
      <c r="D152" s="34">
        <v>50</v>
      </c>
      <c r="E152" s="13">
        <v>50</v>
      </c>
      <c r="F152" s="15"/>
      <c r="G152" s="13">
        <f>E152*100/D152</f>
        <v>100</v>
      </c>
      <c r="H152" s="13">
        <f t="shared" si="23"/>
        <v>50</v>
      </c>
    </row>
    <row r="153" spans="1:8" ht="12.75">
      <c r="A153" s="16"/>
      <c r="B153" s="17" t="s">
        <v>4</v>
      </c>
      <c r="C153" s="18">
        <f>C150+C140</f>
        <v>54092.7</v>
      </c>
      <c r="D153" s="18">
        <f>D150+D140</f>
        <v>58362.3</v>
      </c>
      <c r="E153" s="18">
        <f>E150+E140</f>
        <v>58423.4</v>
      </c>
      <c r="F153" s="21">
        <f>E153*100/C153</f>
        <v>108.00607105949602</v>
      </c>
      <c r="G153" s="18">
        <f>E153*100/D153</f>
        <v>100.10469087064766</v>
      </c>
      <c r="H153" s="18">
        <f t="shared" si="23"/>
        <v>4330.700000000004</v>
      </c>
    </row>
    <row r="154" spans="1:8" ht="12.75">
      <c r="A154" s="128"/>
      <c r="B154" s="129"/>
      <c r="C154" s="129"/>
      <c r="D154" s="129"/>
      <c r="E154" s="129"/>
      <c r="F154" s="21"/>
      <c r="G154" s="18"/>
      <c r="H154" s="123"/>
    </row>
    <row r="155" spans="1:8" ht="12.75">
      <c r="A155" s="127" t="s">
        <v>33</v>
      </c>
      <c r="B155" s="127"/>
      <c r="C155" s="127"/>
      <c r="D155" s="127"/>
      <c r="E155" s="127"/>
      <c r="F155" s="21"/>
      <c r="G155" s="18"/>
      <c r="H155" s="123"/>
    </row>
    <row r="156" spans="1:8" ht="12.75">
      <c r="A156" s="19" t="s">
        <v>3</v>
      </c>
      <c r="B156" s="20" t="s">
        <v>54</v>
      </c>
      <c r="C156" s="21">
        <f>C157+C158+C159+C160+C162+C163+C164+C161</f>
        <v>3766</v>
      </c>
      <c r="D156" s="21">
        <f>D157+D158+D159+D160+D162+D163+D164+D161</f>
        <v>10715.8</v>
      </c>
      <c r="E156" s="21">
        <f>E157+E158+E159+E160+E162+E163+E164+E161</f>
        <v>10971.000000000002</v>
      </c>
      <c r="F156" s="21">
        <f aca="true" t="shared" si="25" ref="F156:F161">E156*100/C156</f>
        <v>291.3170472650027</v>
      </c>
      <c r="G156" s="18">
        <f aca="true" t="shared" si="26" ref="G156:G162">E156*100/D156</f>
        <v>102.38153007708247</v>
      </c>
      <c r="H156" s="18">
        <f>E156-C156</f>
        <v>7205.000000000002</v>
      </c>
    </row>
    <row r="157" spans="1:8" ht="12.75">
      <c r="A157" s="16" t="s">
        <v>23</v>
      </c>
      <c r="B157" s="22" t="s">
        <v>22</v>
      </c>
      <c r="C157" s="41">
        <v>3206</v>
      </c>
      <c r="D157" s="34">
        <v>3026.8</v>
      </c>
      <c r="E157" s="13">
        <v>3195.6</v>
      </c>
      <c r="F157" s="15">
        <f t="shared" si="25"/>
        <v>99.6756082345602</v>
      </c>
      <c r="G157" s="13">
        <f t="shared" si="26"/>
        <v>105.57684683494118</v>
      </c>
      <c r="H157" s="13">
        <f aca="true" t="shared" si="27" ref="H157:H168">E157-C157</f>
        <v>-10.400000000000091</v>
      </c>
    </row>
    <row r="158" spans="1:8" ht="12.75">
      <c r="A158" s="8" t="s">
        <v>9</v>
      </c>
      <c r="B158" s="22" t="s">
        <v>6</v>
      </c>
      <c r="C158" s="41">
        <v>300</v>
      </c>
      <c r="D158" s="34">
        <v>6179</v>
      </c>
      <c r="E158" s="13">
        <v>6226.6</v>
      </c>
      <c r="F158" s="15">
        <f t="shared" si="25"/>
        <v>2075.5333333333333</v>
      </c>
      <c r="G158" s="13">
        <f t="shared" si="26"/>
        <v>100.77035118951287</v>
      </c>
      <c r="H158" s="13">
        <f t="shared" si="27"/>
        <v>5926.6</v>
      </c>
    </row>
    <row r="159" spans="1:8" ht="12.75">
      <c r="A159" s="8" t="s">
        <v>10</v>
      </c>
      <c r="B159" s="22" t="s">
        <v>21</v>
      </c>
      <c r="C159" s="41">
        <v>80</v>
      </c>
      <c r="D159" s="34">
        <v>45</v>
      </c>
      <c r="E159" s="13">
        <v>45.5</v>
      </c>
      <c r="F159" s="15">
        <f t="shared" si="25"/>
        <v>56.875</v>
      </c>
      <c r="G159" s="13">
        <f t="shared" si="26"/>
        <v>101.11111111111111</v>
      </c>
      <c r="H159" s="13">
        <f t="shared" si="27"/>
        <v>-34.5</v>
      </c>
    </row>
    <row r="160" spans="1:8" ht="24">
      <c r="A160" s="9" t="s">
        <v>11</v>
      </c>
      <c r="B160" s="22" t="s">
        <v>17</v>
      </c>
      <c r="C160" s="41">
        <v>110</v>
      </c>
      <c r="D160" s="34">
        <v>656</v>
      </c>
      <c r="E160" s="13">
        <v>676</v>
      </c>
      <c r="F160" s="15">
        <f t="shared" si="25"/>
        <v>614.5454545454545</v>
      </c>
      <c r="G160" s="13">
        <f t="shared" si="26"/>
        <v>103.04878048780488</v>
      </c>
      <c r="H160" s="13">
        <f t="shared" si="27"/>
        <v>566</v>
      </c>
    </row>
    <row r="161" spans="1:8" ht="12.75">
      <c r="A161" s="24" t="s">
        <v>42</v>
      </c>
      <c r="B161" s="22" t="s">
        <v>43</v>
      </c>
      <c r="C161" s="41">
        <v>70</v>
      </c>
      <c r="D161" s="34">
        <v>87</v>
      </c>
      <c r="E161" s="13">
        <v>87.2</v>
      </c>
      <c r="F161" s="15">
        <f t="shared" si="25"/>
        <v>124.57142857142857</v>
      </c>
      <c r="G161" s="13">
        <f t="shared" si="26"/>
        <v>100.22988505747126</v>
      </c>
      <c r="H161" s="13">
        <f t="shared" si="27"/>
        <v>17.200000000000003</v>
      </c>
    </row>
    <row r="162" spans="1:8" ht="12.75">
      <c r="A162" s="23" t="s">
        <v>18</v>
      </c>
      <c r="B162" s="22" t="s">
        <v>15</v>
      </c>
      <c r="C162" s="41">
        <v>0</v>
      </c>
      <c r="D162" s="34">
        <v>687</v>
      </c>
      <c r="E162" s="13">
        <v>705.1</v>
      </c>
      <c r="F162" s="15"/>
      <c r="G162" s="13">
        <f t="shared" si="26"/>
        <v>102.63464337700145</v>
      </c>
      <c r="H162" s="13">
        <f t="shared" si="27"/>
        <v>705.1</v>
      </c>
    </row>
    <row r="163" spans="1:8" ht="12.75">
      <c r="A163" s="16" t="s">
        <v>12</v>
      </c>
      <c r="B163" s="22" t="s">
        <v>7</v>
      </c>
      <c r="C163" s="41">
        <v>0</v>
      </c>
      <c r="D163" s="34">
        <v>35</v>
      </c>
      <c r="E163" s="13">
        <v>35</v>
      </c>
      <c r="F163" s="15"/>
      <c r="G163" s="13"/>
      <c r="H163" s="13">
        <f t="shared" si="27"/>
        <v>35</v>
      </c>
    </row>
    <row r="164" spans="1:8" ht="12.75">
      <c r="A164" s="36" t="s">
        <v>39</v>
      </c>
      <c r="B164" s="11" t="s">
        <v>40</v>
      </c>
      <c r="C164" s="120">
        <v>0</v>
      </c>
      <c r="D164" s="34">
        <v>0</v>
      </c>
      <c r="E164" s="13">
        <v>0</v>
      </c>
      <c r="F164" s="15"/>
      <c r="G164" s="18"/>
      <c r="H164" s="13">
        <f t="shared" si="27"/>
        <v>0</v>
      </c>
    </row>
    <row r="165" spans="1:8" ht="12.75">
      <c r="A165" s="19" t="s">
        <v>1</v>
      </c>
      <c r="B165" s="26" t="s">
        <v>0</v>
      </c>
      <c r="C165" s="27">
        <f>C166+C167</f>
        <v>24201.7</v>
      </c>
      <c r="D165" s="27">
        <f>D166+D167</f>
        <v>34397.8</v>
      </c>
      <c r="E165" s="27">
        <f>E166+E167</f>
        <v>34412.8</v>
      </c>
      <c r="F165" s="21">
        <f>E165*100/C165</f>
        <v>142.19166422193484</v>
      </c>
      <c r="G165" s="18">
        <f>E165*100/D165</f>
        <v>100.0436074400107</v>
      </c>
      <c r="H165" s="18">
        <f t="shared" si="27"/>
        <v>10211.100000000002</v>
      </c>
    </row>
    <row r="166" spans="1:8" ht="24">
      <c r="A166" s="10" t="s">
        <v>53</v>
      </c>
      <c r="B166" s="28" t="s">
        <v>20</v>
      </c>
      <c r="C166" s="34">
        <v>24201.7</v>
      </c>
      <c r="D166" s="34">
        <v>34337.8</v>
      </c>
      <c r="E166" s="13">
        <v>34337.8</v>
      </c>
      <c r="F166" s="15">
        <f>E166*100/C166</f>
        <v>141.88176863608757</v>
      </c>
      <c r="G166" s="13">
        <f>E166*100/D166</f>
        <v>100</v>
      </c>
      <c r="H166" s="13">
        <f t="shared" si="27"/>
        <v>10136.100000000002</v>
      </c>
    </row>
    <row r="167" spans="1:8" ht="12.75">
      <c r="A167" s="10" t="s">
        <v>2</v>
      </c>
      <c r="B167" s="29" t="s">
        <v>19</v>
      </c>
      <c r="C167" s="42"/>
      <c r="D167" s="34">
        <v>60</v>
      </c>
      <c r="E167" s="13">
        <v>75</v>
      </c>
      <c r="F167" s="15"/>
      <c r="G167" s="13">
        <f>E167*100/D167</f>
        <v>125</v>
      </c>
      <c r="H167" s="13">
        <f t="shared" si="27"/>
        <v>75</v>
      </c>
    </row>
    <row r="168" spans="1:8" ht="12.75">
      <c r="A168" s="16"/>
      <c r="B168" s="17" t="s">
        <v>4</v>
      </c>
      <c r="C168" s="18">
        <f>C165+C156</f>
        <v>27967.7</v>
      </c>
      <c r="D168" s="18">
        <f>D165+D156</f>
        <v>45113.600000000006</v>
      </c>
      <c r="E168" s="18">
        <f>E165+E156</f>
        <v>45383.8</v>
      </c>
      <c r="F168" s="21">
        <f>E168*100/C168</f>
        <v>162.2721925649946</v>
      </c>
      <c r="G168" s="18">
        <f>E168*100/D168</f>
        <v>100.59893247269115</v>
      </c>
      <c r="H168" s="18">
        <f t="shared" si="27"/>
        <v>17416.100000000002</v>
      </c>
    </row>
    <row r="169" spans="1:8" ht="12.75">
      <c r="A169" s="128"/>
      <c r="B169" s="129"/>
      <c r="C169" s="129"/>
      <c r="D169" s="129"/>
      <c r="E169" s="129"/>
      <c r="F169" s="21"/>
      <c r="G169" s="18"/>
      <c r="H169" s="123"/>
    </row>
    <row r="170" spans="1:8" ht="12.75">
      <c r="A170" s="127" t="s">
        <v>34</v>
      </c>
      <c r="B170" s="127"/>
      <c r="C170" s="127"/>
      <c r="D170" s="127"/>
      <c r="E170" s="127"/>
      <c r="F170" s="21"/>
      <c r="G170" s="18"/>
      <c r="H170" s="123"/>
    </row>
    <row r="171" spans="1:8" ht="12.75">
      <c r="A171" s="19" t="s">
        <v>3</v>
      </c>
      <c r="B171" s="20" t="s">
        <v>54</v>
      </c>
      <c r="C171" s="21">
        <f>C172+C173+C174+C175+C176+C178+C180+C179+C177</f>
        <v>15964</v>
      </c>
      <c r="D171" s="21">
        <f>D172+D173+D174+D175+D176+D178+D180+D179+D177</f>
        <v>19352.4</v>
      </c>
      <c r="E171" s="21">
        <f>E172+E173+E174+E175+E176+E178+E180+E179+E177</f>
        <v>20010.8</v>
      </c>
      <c r="F171" s="21">
        <f aca="true" t="shared" si="28" ref="F171:F177">E171*100/C171</f>
        <v>125.34953645702831</v>
      </c>
      <c r="G171" s="18">
        <f>E171*100/D171</f>
        <v>103.40216200574605</v>
      </c>
      <c r="H171" s="18">
        <f>E171-C171</f>
        <v>4046.7999999999993</v>
      </c>
    </row>
    <row r="172" spans="1:8" ht="12.75">
      <c r="A172" s="16" t="s">
        <v>23</v>
      </c>
      <c r="B172" s="22" t="s">
        <v>22</v>
      </c>
      <c r="C172" s="41">
        <v>14100</v>
      </c>
      <c r="D172" s="34">
        <v>16187.4</v>
      </c>
      <c r="E172" s="13">
        <v>16656.1</v>
      </c>
      <c r="F172" s="15">
        <f t="shared" si="28"/>
        <v>118.12836879432622</v>
      </c>
      <c r="G172" s="13">
        <f>E172*100/D172</f>
        <v>102.89546190246733</v>
      </c>
      <c r="H172" s="13">
        <f aca="true" t="shared" si="29" ref="H172:H184">E172-C172</f>
        <v>2556.0999999999985</v>
      </c>
    </row>
    <row r="173" spans="1:8" ht="12.75">
      <c r="A173" s="8" t="s">
        <v>8</v>
      </c>
      <c r="B173" s="22" t="s">
        <v>5</v>
      </c>
      <c r="C173" s="41"/>
      <c r="D173" s="34"/>
      <c r="E173" s="13"/>
      <c r="F173" s="15" t="e">
        <f t="shared" si="28"/>
        <v>#DIV/0!</v>
      </c>
      <c r="G173" s="13"/>
      <c r="H173" s="13">
        <f t="shared" si="29"/>
        <v>0</v>
      </c>
    </row>
    <row r="174" spans="1:8" ht="12.75">
      <c r="A174" s="8" t="s">
        <v>9</v>
      </c>
      <c r="B174" s="22" t="s">
        <v>6</v>
      </c>
      <c r="C174" s="41">
        <v>1297</v>
      </c>
      <c r="D174" s="34">
        <v>2232</v>
      </c>
      <c r="E174" s="13">
        <v>2417.9</v>
      </c>
      <c r="F174" s="15">
        <f t="shared" si="28"/>
        <v>186.4225134926754</v>
      </c>
      <c r="G174" s="13">
        <f aca="true" t="shared" si="30" ref="G174:G179">E174*100/D174</f>
        <v>108.32885304659499</v>
      </c>
      <c r="H174" s="13">
        <f t="shared" si="29"/>
        <v>1120.9</v>
      </c>
    </row>
    <row r="175" spans="1:8" ht="12.75">
      <c r="A175" s="8" t="s">
        <v>10</v>
      </c>
      <c r="B175" s="22" t="s">
        <v>21</v>
      </c>
      <c r="C175" s="41">
        <v>116</v>
      </c>
      <c r="D175" s="34">
        <v>116.6</v>
      </c>
      <c r="E175" s="13">
        <v>120.8</v>
      </c>
      <c r="F175" s="15">
        <f t="shared" si="28"/>
        <v>104.13793103448276</v>
      </c>
      <c r="G175" s="13">
        <f t="shared" si="30"/>
        <v>103.60205831903946</v>
      </c>
      <c r="H175" s="13">
        <f t="shared" si="29"/>
        <v>4.799999999999997</v>
      </c>
    </row>
    <row r="176" spans="1:8" ht="24">
      <c r="A176" s="9" t="s">
        <v>11</v>
      </c>
      <c r="B176" s="22" t="s">
        <v>17</v>
      </c>
      <c r="C176" s="41">
        <v>341</v>
      </c>
      <c r="D176" s="34">
        <v>592</v>
      </c>
      <c r="E176" s="13">
        <v>591.6</v>
      </c>
      <c r="F176" s="15">
        <f t="shared" si="28"/>
        <v>173.48973607038124</v>
      </c>
      <c r="G176" s="13">
        <f t="shared" si="30"/>
        <v>99.93243243243244</v>
      </c>
      <c r="H176" s="13">
        <f t="shared" si="29"/>
        <v>250.60000000000002</v>
      </c>
    </row>
    <row r="177" spans="1:8" ht="12.75">
      <c r="A177" s="23" t="s">
        <v>42</v>
      </c>
      <c r="B177" s="22" t="s">
        <v>43</v>
      </c>
      <c r="C177" s="41">
        <v>110</v>
      </c>
      <c r="D177" s="34">
        <v>118.9</v>
      </c>
      <c r="E177" s="13">
        <v>118.9</v>
      </c>
      <c r="F177" s="15">
        <f t="shared" si="28"/>
        <v>108.0909090909091</v>
      </c>
      <c r="G177" s="13">
        <f t="shared" si="30"/>
        <v>100</v>
      </c>
      <c r="H177" s="13">
        <f t="shared" si="29"/>
        <v>8.900000000000006</v>
      </c>
    </row>
    <row r="178" spans="1:8" ht="12.75">
      <c r="A178" s="23" t="s">
        <v>18</v>
      </c>
      <c r="B178" s="22" t="s">
        <v>15</v>
      </c>
      <c r="C178" s="41">
        <v>0</v>
      </c>
      <c r="D178" s="34">
        <v>3</v>
      </c>
      <c r="E178" s="13">
        <v>3</v>
      </c>
      <c r="F178" s="15"/>
      <c r="G178" s="13">
        <f t="shared" si="30"/>
        <v>100</v>
      </c>
      <c r="H178" s="13">
        <f t="shared" si="29"/>
        <v>3</v>
      </c>
    </row>
    <row r="179" spans="1:8" ht="12.75">
      <c r="A179" s="16" t="s">
        <v>12</v>
      </c>
      <c r="B179" s="22" t="s">
        <v>7</v>
      </c>
      <c r="C179" s="41"/>
      <c r="D179" s="34">
        <v>102.5</v>
      </c>
      <c r="E179" s="13">
        <v>102.5</v>
      </c>
      <c r="F179" s="15"/>
      <c r="G179" s="13">
        <f t="shared" si="30"/>
        <v>100</v>
      </c>
      <c r="H179" s="13">
        <f t="shared" si="29"/>
        <v>102.5</v>
      </c>
    </row>
    <row r="180" spans="1:8" ht="12.75">
      <c r="A180" s="36" t="s">
        <v>39</v>
      </c>
      <c r="B180" s="11" t="s">
        <v>40</v>
      </c>
      <c r="C180" s="120">
        <v>0</v>
      </c>
      <c r="D180" s="34">
        <v>0</v>
      </c>
      <c r="E180" s="13">
        <v>0</v>
      </c>
      <c r="F180" s="15"/>
      <c r="G180" s="18"/>
      <c r="H180" s="13">
        <f t="shared" si="29"/>
        <v>0</v>
      </c>
    </row>
    <row r="181" spans="1:8" ht="12.75">
      <c r="A181" s="30" t="s">
        <v>1</v>
      </c>
      <c r="B181" s="26" t="s">
        <v>0</v>
      </c>
      <c r="C181" s="31">
        <f>C182+C183</f>
        <v>40867.2</v>
      </c>
      <c r="D181" s="31">
        <f>D182+D183</f>
        <v>46099.9</v>
      </c>
      <c r="E181" s="31">
        <f>E182+E183</f>
        <v>46099.7</v>
      </c>
      <c r="F181" s="21">
        <f>E181*100/C181</f>
        <v>112.80366651006187</v>
      </c>
      <c r="G181" s="18">
        <f>E181*100/D181</f>
        <v>99.99956615957952</v>
      </c>
      <c r="H181" s="18">
        <f t="shared" si="29"/>
        <v>5232.5</v>
      </c>
    </row>
    <row r="182" spans="1:8" ht="24">
      <c r="A182" s="44" t="s">
        <v>53</v>
      </c>
      <c r="B182" s="28" t="s">
        <v>20</v>
      </c>
      <c r="C182" s="34">
        <v>40867.2</v>
      </c>
      <c r="D182" s="34">
        <v>45799.9</v>
      </c>
      <c r="E182" s="13">
        <v>45799.7</v>
      </c>
      <c r="F182" s="15">
        <f>E182*100/C182</f>
        <v>112.06958147365125</v>
      </c>
      <c r="G182" s="13">
        <f>E182*100/D182</f>
        <v>99.99956331782383</v>
      </c>
      <c r="H182" s="13">
        <f t="shared" si="29"/>
        <v>4932.5</v>
      </c>
    </row>
    <row r="183" spans="1:8" ht="12.75">
      <c r="A183" s="10" t="s">
        <v>2</v>
      </c>
      <c r="B183" s="29" t="s">
        <v>19</v>
      </c>
      <c r="C183" s="42"/>
      <c r="D183" s="34">
        <v>300</v>
      </c>
      <c r="E183" s="13">
        <v>300</v>
      </c>
      <c r="F183" s="15"/>
      <c r="G183" s="13">
        <f>E183*100/D183</f>
        <v>100</v>
      </c>
      <c r="H183" s="13">
        <f t="shared" si="29"/>
        <v>300</v>
      </c>
    </row>
    <row r="184" spans="1:8" ht="12.75">
      <c r="A184" s="16"/>
      <c r="B184" s="17" t="s">
        <v>4</v>
      </c>
      <c r="C184" s="18">
        <f>C181+C171</f>
        <v>56831.2</v>
      </c>
      <c r="D184" s="18">
        <f>D181+D171</f>
        <v>65452.3</v>
      </c>
      <c r="E184" s="18">
        <f>E181+E171</f>
        <v>66110.5</v>
      </c>
      <c r="F184" s="21">
        <f>E184*100/C184</f>
        <v>116.32782696828504</v>
      </c>
      <c r="G184" s="18">
        <f>E184*100/D184</f>
        <v>101.00561783161172</v>
      </c>
      <c r="H184" s="18">
        <f t="shared" si="29"/>
        <v>9279.300000000003</v>
      </c>
    </row>
    <row r="185" spans="1:8" ht="12.75">
      <c r="A185" s="128"/>
      <c r="B185" s="129"/>
      <c r="C185" s="129"/>
      <c r="D185" s="129"/>
      <c r="E185" s="129"/>
      <c r="F185" s="21"/>
      <c r="G185" s="18"/>
      <c r="H185" s="123"/>
    </row>
    <row r="186" spans="1:8" ht="12.75">
      <c r="A186" s="127" t="s">
        <v>35</v>
      </c>
      <c r="B186" s="127"/>
      <c r="C186" s="127"/>
      <c r="D186" s="127"/>
      <c r="E186" s="127"/>
      <c r="F186" s="21"/>
      <c r="G186" s="18"/>
      <c r="H186" s="123"/>
    </row>
    <row r="187" spans="1:8" ht="12.75">
      <c r="A187" s="19" t="s">
        <v>3</v>
      </c>
      <c r="B187" s="20" t="s">
        <v>54</v>
      </c>
      <c r="C187" s="21">
        <f>C188+C190+C192+C193+C191+C194+C195+C189</f>
        <v>1193.8</v>
      </c>
      <c r="D187" s="21">
        <f>D188+D190+D192+D193+D191+D194+D195+D189</f>
        <v>1528.8</v>
      </c>
      <c r="E187" s="21">
        <f>E188+E190+E192+E193+E191+E194+E195+E189</f>
        <v>1642.6</v>
      </c>
      <c r="F187" s="21">
        <f aca="true" t="shared" si="31" ref="F187:F193">E187*100/C187</f>
        <v>137.59423689060145</v>
      </c>
      <c r="G187" s="18">
        <f aca="true" t="shared" si="32" ref="G187:G194">E187*100/D187</f>
        <v>107.44374672946101</v>
      </c>
      <c r="H187" s="18">
        <f>E187-C187</f>
        <v>448.79999999999995</v>
      </c>
    </row>
    <row r="188" spans="1:8" ht="12.75">
      <c r="A188" s="16" t="s">
        <v>23</v>
      </c>
      <c r="B188" s="22" t="s">
        <v>22</v>
      </c>
      <c r="C188" s="41">
        <v>1015</v>
      </c>
      <c r="D188" s="34">
        <v>1137</v>
      </c>
      <c r="E188" s="13">
        <v>1232.7</v>
      </c>
      <c r="F188" s="15">
        <f t="shared" si="31"/>
        <v>121.44827586206897</v>
      </c>
      <c r="G188" s="13">
        <f t="shared" si="32"/>
        <v>108.41688654353563</v>
      </c>
      <c r="H188" s="13">
        <f aca="true" t="shared" si="33" ref="H188:H198">E188-C188</f>
        <v>217.70000000000005</v>
      </c>
    </row>
    <row r="189" spans="1:8" ht="12.75">
      <c r="A189" s="8" t="s">
        <v>8</v>
      </c>
      <c r="B189" s="22" t="s">
        <v>5</v>
      </c>
      <c r="C189" s="41">
        <v>1</v>
      </c>
      <c r="D189" s="34">
        <v>6.6</v>
      </c>
      <c r="E189" s="13">
        <v>6.6</v>
      </c>
      <c r="F189" s="15">
        <f t="shared" si="31"/>
        <v>660</v>
      </c>
      <c r="G189" s="13">
        <f t="shared" si="32"/>
        <v>100</v>
      </c>
      <c r="H189" s="13">
        <f t="shared" si="33"/>
        <v>5.6</v>
      </c>
    </row>
    <row r="190" spans="1:8" ht="12.75">
      <c r="A190" s="8" t="s">
        <v>9</v>
      </c>
      <c r="B190" s="22" t="s">
        <v>6</v>
      </c>
      <c r="C190" s="41">
        <v>77.8</v>
      </c>
      <c r="D190" s="34">
        <v>218.5</v>
      </c>
      <c r="E190" s="13">
        <v>220.6</v>
      </c>
      <c r="F190" s="15">
        <f t="shared" si="31"/>
        <v>283.547557840617</v>
      </c>
      <c r="G190" s="13">
        <f t="shared" si="32"/>
        <v>100.96109839816934</v>
      </c>
      <c r="H190" s="13">
        <f t="shared" si="33"/>
        <v>142.8</v>
      </c>
    </row>
    <row r="191" spans="1:8" ht="12.75">
      <c r="A191" s="8" t="s">
        <v>10</v>
      </c>
      <c r="B191" s="22" t="s">
        <v>21</v>
      </c>
      <c r="C191" s="41">
        <v>35</v>
      </c>
      <c r="D191" s="34">
        <v>26.4</v>
      </c>
      <c r="E191" s="13">
        <v>26.4</v>
      </c>
      <c r="F191" s="15">
        <f t="shared" si="31"/>
        <v>75.42857142857143</v>
      </c>
      <c r="G191" s="13">
        <f t="shared" si="32"/>
        <v>100</v>
      </c>
      <c r="H191" s="13">
        <f t="shared" si="33"/>
        <v>-8.600000000000001</v>
      </c>
    </row>
    <row r="192" spans="1:8" ht="24">
      <c r="A192" s="9" t="s">
        <v>11</v>
      </c>
      <c r="B192" s="22" t="s">
        <v>17</v>
      </c>
      <c r="C192" s="41">
        <v>65</v>
      </c>
      <c r="D192" s="34">
        <v>132.8</v>
      </c>
      <c r="E192" s="13">
        <v>148.8</v>
      </c>
      <c r="F192" s="15">
        <f t="shared" si="31"/>
        <v>228.92307692307696</v>
      </c>
      <c r="G192" s="13">
        <f t="shared" si="32"/>
        <v>112.04819277108435</v>
      </c>
      <c r="H192" s="13">
        <f t="shared" si="33"/>
        <v>83.80000000000001</v>
      </c>
    </row>
    <row r="193" spans="1:8" ht="12.75">
      <c r="A193" s="23" t="s">
        <v>18</v>
      </c>
      <c r="B193" s="22" t="s">
        <v>15</v>
      </c>
      <c r="C193" s="41"/>
      <c r="D193" s="34"/>
      <c r="E193" s="13"/>
      <c r="F193" s="15" t="e">
        <f t="shared" si="31"/>
        <v>#DIV/0!</v>
      </c>
      <c r="G193" s="13" t="e">
        <f t="shared" si="32"/>
        <v>#DIV/0!</v>
      </c>
      <c r="H193" s="13">
        <f t="shared" si="33"/>
        <v>0</v>
      </c>
    </row>
    <row r="194" spans="1:8" ht="12.75">
      <c r="A194" s="23" t="s">
        <v>12</v>
      </c>
      <c r="B194" s="22" t="s">
        <v>7</v>
      </c>
      <c r="C194" s="41">
        <v>0</v>
      </c>
      <c r="D194" s="34">
        <v>7.5</v>
      </c>
      <c r="E194" s="13">
        <v>7.5</v>
      </c>
      <c r="F194" s="15"/>
      <c r="G194" s="13">
        <f t="shared" si="32"/>
        <v>100</v>
      </c>
      <c r="H194" s="13">
        <f t="shared" si="33"/>
        <v>7.5</v>
      </c>
    </row>
    <row r="195" spans="1:8" ht="12.75">
      <c r="A195" s="36" t="s">
        <v>39</v>
      </c>
      <c r="B195" s="11" t="s">
        <v>40</v>
      </c>
      <c r="C195" s="120">
        <v>0</v>
      </c>
      <c r="D195" s="34">
        <v>0</v>
      </c>
      <c r="E195" s="13">
        <v>0</v>
      </c>
      <c r="F195" s="15"/>
      <c r="G195" s="13"/>
      <c r="H195" s="13">
        <f t="shared" si="33"/>
        <v>0</v>
      </c>
    </row>
    <row r="196" spans="1:8" ht="12.75">
      <c r="A196" s="19" t="s">
        <v>1</v>
      </c>
      <c r="B196" s="26" t="s">
        <v>0</v>
      </c>
      <c r="C196" s="27">
        <f>C197</f>
        <v>21637</v>
      </c>
      <c r="D196" s="27">
        <f>D197</f>
        <v>24888.1</v>
      </c>
      <c r="E196" s="27">
        <f>E197</f>
        <v>24879.2</v>
      </c>
      <c r="F196" s="21">
        <f>E196*100/C196</f>
        <v>114.98451726209733</v>
      </c>
      <c r="G196" s="18">
        <f>E196*100/D196</f>
        <v>99.96423993796232</v>
      </c>
      <c r="H196" s="18">
        <f t="shared" si="33"/>
        <v>3242.2000000000007</v>
      </c>
    </row>
    <row r="197" spans="1:8" ht="24">
      <c r="A197" s="10" t="s">
        <v>53</v>
      </c>
      <c r="B197" s="28" t="s">
        <v>20</v>
      </c>
      <c r="C197" s="34">
        <v>21637</v>
      </c>
      <c r="D197" s="34">
        <v>24888.1</v>
      </c>
      <c r="E197" s="13">
        <v>24879.2</v>
      </c>
      <c r="F197" s="15">
        <f>E197*100/C197</f>
        <v>114.98451726209733</v>
      </c>
      <c r="G197" s="13">
        <f>E197*100/D197</f>
        <v>99.96423993796232</v>
      </c>
      <c r="H197" s="13">
        <f t="shared" si="33"/>
        <v>3242.2000000000007</v>
      </c>
    </row>
    <row r="198" spans="1:8" ht="12.75">
      <c r="A198" s="16"/>
      <c r="B198" s="17" t="s">
        <v>4</v>
      </c>
      <c r="C198" s="18">
        <f>C196+C187</f>
        <v>22830.8</v>
      </c>
      <c r="D198" s="18">
        <f>D196+D187</f>
        <v>26416.899999999998</v>
      </c>
      <c r="E198" s="18">
        <f>E196+E187</f>
        <v>26521.8</v>
      </c>
      <c r="F198" s="21">
        <f>E198*100/C198</f>
        <v>116.16675718765877</v>
      </c>
      <c r="G198" s="18">
        <f>E198*100/D198</f>
        <v>100.39709428434071</v>
      </c>
      <c r="H198" s="18">
        <f t="shared" si="33"/>
        <v>3691</v>
      </c>
    </row>
    <row r="199" spans="1:8" ht="12.75">
      <c r="A199" s="128"/>
      <c r="B199" s="129"/>
      <c r="C199" s="129"/>
      <c r="D199" s="129"/>
      <c r="E199" s="129"/>
      <c r="F199" s="21"/>
      <c r="G199" s="18"/>
      <c r="H199" s="123"/>
    </row>
    <row r="200" spans="1:8" ht="12.75">
      <c r="A200" s="124" t="s">
        <v>36</v>
      </c>
      <c r="B200" s="125"/>
      <c r="C200" s="125"/>
      <c r="D200" s="125"/>
      <c r="E200" s="125"/>
      <c r="F200" s="125"/>
      <c r="G200" s="126"/>
      <c r="H200" s="123"/>
    </row>
    <row r="201" spans="1:8" ht="12.75">
      <c r="A201" s="19" t="s">
        <v>3</v>
      </c>
      <c r="B201" s="20" t="s">
        <v>54</v>
      </c>
      <c r="C201" s="21">
        <f>C202+C204+C205+C206+C208+C209+C211+C213+C210+C207+C214+C212+C203</f>
        <v>798640.6</v>
      </c>
      <c r="D201" s="21">
        <f>D202+D204+D205+D206+D208+D209+D211+D213+D210+D207+D214+D212+D203</f>
        <v>978837.0000000001</v>
      </c>
      <c r="E201" s="21">
        <f>E202+E204+E205+E206+E208+E209+E211+E213+E210+E207+E214+E212+E203</f>
        <v>996604.4</v>
      </c>
      <c r="F201" s="21">
        <f aca="true" t="shared" si="34" ref="F201:F213">E201*100/C201</f>
        <v>124.78759532134981</v>
      </c>
      <c r="G201" s="18">
        <f aca="true" t="shared" si="35" ref="G201:G206">E201*100/D201</f>
        <v>101.81515410635274</v>
      </c>
      <c r="H201" s="18">
        <f>E201-C201</f>
        <v>197963.80000000005</v>
      </c>
    </row>
    <row r="202" spans="1:8" ht="12.75">
      <c r="A202" s="16" t="s">
        <v>23</v>
      </c>
      <c r="B202" s="22" t="s">
        <v>22</v>
      </c>
      <c r="C202" s="13">
        <f>C9+C31+C46+C62+C78+C95+C110+C126+C141+C157+C172+C188</f>
        <v>577647.7</v>
      </c>
      <c r="D202" s="13">
        <f>D9+D31+D46+D62+D78+D95+D110+D126+D141+D157+D172+D188</f>
        <v>602529.2000000001</v>
      </c>
      <c r="E202" s="13">
        <f>E9+E31+E46+E62+E78+E95+E110+E126+E141+E157+E172+E188+0.1</f>
        <v>604134.9999999999</v>
      </c>
      <c r="F202" s="15">
        <f t="shared" si="34"/>
        <v>104.58537271073699</v>
      </c>
      <c r="G202" s="13">
        <f t="shared" si="35"/>
        <v>100.26650990524605</v>
      </c>
      <c r="H202" s="13">
        <f aca="true" t="shared" si="36" ref="H202:H219">E202-C202</f>
        <v>26487.29999999993</v>
      </c>
    </row>
    <row r="203" spans="1:8" ht="12.75">
      <c r="A203" s="8" t="s">
        <v>56</v>
      </c>
      <c r="B203" s="22" t="s">
        <v>57</v>
      </c>
      <c r="C203" s="114">
        <f>C10</f>
        <v>34880</v>
      </c>
      <c r="D203" s="114">
        <f>D10</f>
        <v>46680.2</v>
      </c>
      <c r="E203" s="13">
        <f>E10</f>
        <v>51547.9</v>
      </c>
      <c r="F203" s="15">
        <f t="shared" si="34"/>
        <v>147.78641055045873</v>
      </c>
      <c r="G203" s="13">
        <f t="shared" si="35"/>
        <v>110.42776166340333</v>
      </c>
      <c r="H203" s="13">
        <f t="shared" si="36"/>
        <v>16667.9</v>
      </c>
    </row>
    <row r="204" spans="1:8" ht="12.75">
      <c r="A204" s="8" t="s">
        <v>8</v>
      </c>
      <c r="B204" s="22" t="s">
        <v>5</v>
      </c>
      <c r="C204" s="114">
        <f>C11+C47+C63+C189+C142+C111+C173+C79+C96</f>
        <v>36204</v>
      </c>
      <c r="D204" s="114">
        <f>D11+D47+D63+D189+D142+D111+D173+D79+D96-0.1</f>
        <v>44328.2</v>
      </c>
      <c r="E204" s="13">
        <f>E11+E47+E63+E189+E142+E111+E173+E79+E96-0.1</f>
        <v>45557.49999999999</v>
      </c>
      <c r="F204" s="15">
        <f t="shared" si="34"/>
        <v>125.83554303391888</v>
      </c>
      <c r="G204" s="13">
        <f t="shared" si="35"/>
        <v>102.77317824770687</v>
      </c>
      <c r="H204" s="13">
        <f t="shared" si="36"/>
        <v>9353.499999999993</v>
      </c>
    </row>
    <row r="205" spans="1:8" ht="12.75">
      <c r="A205" s="8" t="s">
        <v>9</v>
      </c>
      <c r="B205" s="22" t="s">
        <v>6</v>
      </c>
      <c r="C205" s="114">
        <f>C12+C32+C48+C64+C80+C97+C112+C127+C143+C158+C174+C190</f>
        <v>15401.099999999999</v>
      </c>
      <c r="D205" s="114">
        <f>D12+D32+D48+D64+D80+D97+D112+D127+D143+D158+D174+D190</f>
        <v>27190.800000000003</v>
      </c>
      <c r="E205" s="13">
        <f>E12+E32+E48+E64+E80+E97+E112+E127+E143+E158+E174+E190+0.1</f>
        <v>27482.6</v>
      </c>
      <c r="F205" s="15">
        <f t="shared" si="34"/>
        <v>178.4456954373389</v>
      </c>
      <c r="G205" s="13">
        <f t="shared" si="35"/>
        <v>101.07315709725347</v>
      </c>
      <c r="H205" s="13">
        <f t="shared" si="36"/>
        <v>12081.5</v>
      </c>
    </row>
    <row r="206" spans="1:8" ht="12.75">
      <c r="A206" s="8" t="s">
        <v>10</v>
      </c>
      <c r="B206" s="22" t="s">
        <v>21</v>
      </c>
      <c r="C206" s="114">
        <f>C13+C33+C49+C65+C81+C98+C113+C128+C144+C159+C175+C191-0.1</f>
        <v>3813.9</v>
      </c>
      <c r="D206" s="114">
        <f>D13+D33+D49+D65+D81+D98+D113+D128+D144+D159+D175+D191</f>
        <v>4298.8</v>
      </c>
      <c r="E206" s="13">
        <f>E13+E33+E49+E65+E81+E98+E113+E128+E144+E159+E175+E191</f>
        <v>4397.900000000001</v>
      </c>
      <c r="F206" s="15">
        <f t="shared" si="34"/>
        <v>115.3124098691628</v>
      </c>
      <c r="G206" s="13">
        <f t="shared" si="35"/>
        <v>102.30529450079092</v>
      </c>
      <c r="H206" s="13">
        <f t="shared" si="36"/>
        <v>584.0000000000005</v>
      </c>
    </row>
    <row r="207" spans="1:8" ht="24">
      <c r="A207" s="8" t="s">
        <v>37</v>
      </c>
      <c r="B207" s="22" t="s">
        <v>38</v>
      </c>
      <c r="C207" s="115">
        <f>C14</f>
        <v>0</v>
      </c>
      <c r="D207" s="115">
        <f>D14</f>
        <v>0</v>
      </c>
      <c r="E207" s="115">
        <f>E14</f>
        <v>0</v>
      </c>
      <c r="F207" s="15" t="e">
        <f t="shared" si="34"/>
        <v>#DIV/0!</v>
      </c>
      <c r="G207" s="13"/>
      <c r="H207" s="13">
        <f t="shared" si="36"/>
        <v>0</v>
      </c>
    </row>
    <row r="208" spans="1:8" ht="24">
      <c r="A208" s="9" t="s">
        <v>11</v>
      </c>
      <c r="B208" s="22" t="s">
        <v>17</v>
      </c>
      <c r="C208" s="114">
        <f>C15+C34+C50+C66+C82+C99+C114+C129+C145+C160+C176+C192</f>
        <v>99426.8</v>
      </c>
      <c r="D208" s="114">
        <f>D15+D34+D50+D66+D82+D99+D114+D129+D145+D160+D176+D192</f>
        <v>147645.9</v>
      </c>
      <c r="E208" s="114">
        <f>E15+E34+E50+E66+E82+E99+E114+E129+E145+E160+E176+E192-0.1</f>
        <v>153147.19999999998</v>
      </c>
      <c r="F208" s="15">
        <f t="shared" si="34"/>
        <v>154.0301005362739</v>
      </c>
      <c r="G208" s="13">
        <f aca="true" t="shared" si="37" ref="G208:G213">E208*100/D208</f>
        <v>103.72600932365883</v>
      </c>
      <c r="H208" s="13">
        <f t="shared" si="36"/>
        <v>53720.39999999998</v>
      </c>
    </row>
    <row r="209" spans="1:8" ht="12.75">
      <c r="A209" s="23" t="s">
        <v>14</v>
      </c>
      <c r="B209" s="22" t="s">
        <v>13</v>
      </c>
      <c r="C209" s="114">
        <f>C16</f>
        <v>6290.5</v>
      </c>
      <c r="D209" s="114">
        <f>D16</f>
        <v>19805.3</v>
      </c>
      <c r="E209" s="114">
        <f>E16</f>
        <v>19809.8</v>
      </c>
      <c r="F209" s="15">
        <f t="shared" si="34"/>
        <v>314.9161433908274</v>
      </c>
      <c r="G209" s="13">
        <f t="shared" si="37"/>
        <v>100.02272119079237</v>
      </c>
      <c r="H209" s="13">
        <f t="shared" si="36"/>
        <v>13519.3</v>
      </c>
    </row>
    <row r="210" spans="1:8" ht="12.75">
      <c r="A210" s="24" t="s">
        <v>42</v>
      </c>
      <c r="B210" s="22" t="s">
        <v>43</v>
      </c>
      <c r="C210" s="116">
        <f>C17+C83+C100+C130+C146+C161+C177+C115+C67+C35</f>
        <v>7632</v>
      </c>
      <c r="D210" s="116">
        <f>D17+D83+D100+D130+D146+D161+D177+D115+D67+D35</f>
        <v>14876.7</v>
      </c>
      <c r="E210" s="116">
        <f>E17+E83+E100+E130+E146+E161+E177+E115+E67+E35+0.1</f>
        <v>15702.100000000002</v>
      </c>
      <c r="F210" s="15">
        <f t="shared" si="34"/>
        <v>205.74030398322853</v>
      </c>
      <c r="G210" s="13">
        <f t="shared" si="37"/>
        <v>105.54827347462812</v>
      </c>
      <c r="H210" s="13">
        <f t="shared" si="36"/>
        <v>8070.100000000002</v>
      </c>
    </row>
    <row r="211" spans="1:8" ht="12.75">
      <c r="A211" s="24" t="s">
        <v>18</v>
      </c>
      <c r="B211" s="22" t="s">
        <v>15</v>
      </c>
      <c r="C211" s="13">
        <f>C18+C36+C51+C68+C84+C101+C116+C147+C162+C178+C193+C131+0.1</f>
        <v>16259.1</v>
      </c>
      <c r="D211" s="13">
        <f>D18+D36+D51+D68+D84+D101+D116+D147+D162+D178+D193+D131+0.1</f>
        <v>56013.2</v>
      </c>
      <c r="E211" s="13">
        <f>E18+E36+E51+E68+E84+E101+E116+E147+E162+E178+E193+E131+0.1</f>
        <v>56401</v>
      </c>
      <c r="F211" s="15">
        <f t="shared" si="34"/>
        <v>346.88881918433367</v>
      </c>
      <c r="G211" s="13">
        <f t="shared" si="37"/>
        <v>100.69233680632423</v>
      </c>
      <c r="H211" s="13">
        <f t="shared" si="36"/>
        <v>40141.9</v>
      </c>
    </row>
    <row r="212" spans="1:8" ht="12.75">
      <c r="A212" s="24" t="s">
        <v>47</v>
      </c>
      <c r="B212" s="22" t="s">
        <v>48</v>
      </c>
      <c r="C212" s="13">
        <f>C19</f>
        <v>3</v>
      </c>
      <c r="D212" s="13">
        <f>D19</f>
        <v>21.3</v>
      </c>
      <c r="E212" s="13">
        <f>E19</f>
        <v>22.3</v>
      </c>
      <c r="F212" s="15">
        <f t="shared" si="34"/>
        <v>743.3333333333334</v>
      </c>
      <c r="G212" s="13">
        <f t="shared" si="37"/>
        <v>104.69483568075117</v>
      </c>
      <c r="H212" s="13">
        <f t="shared" si="36"/>
        <v>19.3</v>
      </c>
    </row>
    <row r="213" spans="1:8" ht="12.75">
      <c r="A213" s="16" t="s">
        <v>12</v>
      </c>
      <c r="B213" s="22" t="s">
        <v>7</v>
      </c>
      <c r="C213" s="13">
        <f>C20+C179+C194+C69+C132+C52+C148+C85+C37+C163</f>
        <v>1082.5</v>
      </c>
      <c r="D213" s="13">
        <f>D20+D179+D194+D69+D132+D52+D148+D85+D37+D163-0.1</f>
        <v>15447.4</v>
      </c>
      <c r="E213" s="13">
        <f>E20+E179+E194+E69+E132+E52+E148+E85+E37+E163</f>
        <v>18701.8</v>
      </c>
      <c r="F213" s="15">
        <f t="shared" si="34"/>
        <v>1727.64896073903</v>
      </c>
      <c r="G213" s="13">
        <f t="shared" si="37"/>
        <v>121.06762303041289</v>
      </c>
      <c r="H213" s="13">
        <f t="shared" si="36"/>
        <v>17619.3</v>
      </c>
    </row>
    <row r="214" spans="1:8" ht="12.75">
      <c r="A214" s="25" t="s">
        <v>39</v>
      </c>
      <c r="B214" s="11" t="s">
        <v>40</v>
      </c>
      <c r="C214" s="13">
        <f>C21+C38+C53+C70+C86+C102+C118+C133+C149+C164+C180+C195</f>
        <v>0</v>
      </c>
      <c r="D214" s="13">
        <f>D21+D38+D53+D70+D86+D102+D118+D133+D149+D164+D180+D195</f>
        <v>0</v>
      </c>
      <c r="E214" s="13">
        <f>E21+E38+E53+E70+E86+E102+E118+E133+E149+E164+E180+E195</f>
        <v>-300.7</v>
      </c>
      <c r="F214" s="15"/>
      <c r="G214" s="13"/>
      <c r="H214" s="13">
        <f t="shared" si="36"/>
        <v>-300.7</v>
      </c>
    </row>
    <row r="215" spans="1:8" ht="12.75">
      <c r="A215" s="19" t="s">
        <v>1</v>
      </c>
      <c r="B215" s="26" t="s">
        <v>0</v>
      </c>
      <c r="C215" s="27">
        <f>C216+C217+C218</f>
        <v>3076249.4</v>
      </c>
      <c r="D215" s="27">
        <f>D216+D217+D218</f>
        <v>3557048.9</v>
      </c>
      <c r="E215" s="27">
        <f>E216+E217+E218</f>
        <v>3547787.2</v>
      </c>
      <c r="F215" s="21">
        <f>E215*100/C215</f>
        <v>115.32833456221073</v>
      </c>
      <c r="G215" s="18">
        <f>E215*100/D215</f>
        <v>99.73962404621427</v>
      </c>
      <c r="H215" s="18">
        <f t="shared" si="36"/>
        <v>471537.8000000003</v>
      </c>
    </row>
    <row r="216" spans="1:8" ht="24">
      <c r="A216" s="10" t="s">
        <v>53</v>
      </c>
      <c r="B216" s="28" t="s">
        <v>20</v>
      </c>
      <c r="C216" s="12">
        <f>C23-16620.1</f>
        <v>3056249.4</v>
      </c>
      <c r="D216" s="12">
        <f>D23-304.1</f>
        <v>3528771.6999999997</v>
      </c>
      <c r="E216" s="12">
        <f>E23-280.6</f>
        <v>3512560.5</v>
      </c>
      <c r="F216" s="15">
        <f>E216*100/C216</f>
        <v>114.93042747100417</v>
      </c>
      <c r="G216" s="13">
        <f>E216*100/D216</f>
        <v>99.54059935359378</v>
      </c>
      <c r="H216" s="13">
        <f t="shared" si="36"/>
        <v>456311.1000000001</v>
      </c>
    </row>
    <row r="217" spans="1:8" ht="12.75">
      <c r="A217" s="10" t="s">
        <v>2</v>
      </c>
      <c r="B217" s="29" t="s">
        <v>19</v>
      </c>
      <c r="C217" s="13">
        <f>C24+C90+C105+C167+C136+C56+C41+C152+C73+C183+C121</f>
        <v>20000</v>
      </c>
      <c r="D217" s="13">
        <f>D24+D90+D105+D167+D136+D56+D41+D152+D73+D183+D121</f>
        <v>67695</v>
      </c>
      <c r="E217" s="13">
        <f>E24+E90+E105+E167+E136+E56+E41+E152+E73+E183+E121</f>
        <v>74644.5</v>
      </c>
      <c r="F217" s="15">
        <f>E217*100/C217</f>
        <v>373.2225</v>
      </c>
      <c r="G217" s="13">
        <f>E217*100/D217</f>
        <v>110.26589851539995</v>
      </c>
      <c r="H217" s="13">
        <f t="shared" si="36"/>
        <v>54644.5</v>
      </c>
    </row>
    <row r="218" spans="1:8" ht="24">
      <c r="A218" s="10" t="s">
        <v>52</v>
      </c>
      <c r="B218" s="14" t="s">
        <v>49</v>
      </c>
      <c r="C218" s="13">
        <f>C26</f>
        <v>0</v>
      </c>
      <c r="D218" s="13">
        <f>D26</f>
        <v>-39417.8</v>
      </c>
      <c r="E218" s="13">
        <f>E26</f>
        <v>-39417.8</v>
      </c>
      <c r="F218" s="15"/>
      <c r="G218" s="13">
        <f>E218*100/D218</f>
        <v>100</v>
      </c>
      <c r="H218" s="13">
        <f t="shared" si="36"/>
        <v>-39417.8</v>
      </c>
    </row>
    <row r="219" spans="1:8" ht="12.75">
      <c r="A219" s="16"/>
      <c r="B219" s="17" t="s">
        <v>4</v>
      </c>
      <c r="C219" s="18">
        <f>C215+C201</f>
        <v>3874890</v>
      </c>
      <c r="D219" s="18">
        <f>D215+D201</f>
        <v>4535885.9</v>
      </c>
      <c r="E219" s="18">
        <f>E215+E201</f>
        <v>4544391.600000001</v>
      </c>
      <c r="F219" s="21">
        <f>E219*100/C219</f>
        <v>117.2779511160317</v>
      </c>
      <c r="G219" s="18">
        <f>E219*100/D219</f>
        <v>100.1875201490408</v>
      </c>
      <c r="H219" s="18">
        <f t="shared" si="36"/>
        <v>669501.6000000006</v>
      </c>
    </row>
  </sheetData>
  <sheetProtection/>
  <mergeCells count="33">
    <mergeCell ref="A108:E108"/>
    <mergeCell ref="A123:E123"/>
    <mergeCell ref="A124:E124"/>
    <mergeCell ref="A138:E138"/>
    <mergeCell ref="A139:E139"/>
    <mergeCell ref="A154:E154"/>
    <mergeCell ref="A60:E60"/>
    <mergeCell ref="A75:E75"/>
    <mergeCell ref="A76:E76"/>
    <mergeCell ref="A92:E92"/>
    <mergeCell ref="A93:E93"/>
    <mergeCell ref="A107:E107"/>
    <mergeCell ref="A7:E7"/>
    <mergeCell ref="A28:E28"/>
    <mergeCell ref="A29:E29"/>
    <mergeCell ref="B43:E43"/>
    <mergeCell ref="A44:E44"/>
    <mergeCell ref="A59:E59"/>
    <mergeCell ref="A1:H1"/>
    <mergeCell ref="A2:E2"/>
    <mergeCell ref="C4:C6"/>
    <mergeCell ref="D4:D6"/>
    <mergeCell ref="E4:E6"/>
    <mergeCell ref="F4:F6"/>
    <mergeCell ref="G4:G6"/>
    <mergeCell ref="H4:H6"/>
    <mergeCell ref="A200:G200"/>
    <mergeCell ref="A155:E155"/>
    <mergeCell ref="A169:E169"/>
    <mergeCell ref="A170:E170"/>
    <mergeCell ref="A185:E185"/>
    <mergeCell ref="A186:E186"/>
    <mergeCell ref="A199:E199"/>
  </mergeCells>
  <printOptions/>
  <pageMargins left="0" right="0" top="0.15748031496062992" bottom="0.15748031496062992" header="0.15748031496062992" footer="0.1968503937007874"/>
  <pageSetup fitToHeight="7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">
      <selection activeCell="D121" sqref="D121"/>
    </sheetView>
  </sheetViews>
  <sheetFormatPr defaultColWidth="9.00390625" defaultRowHeight="12.75"/>
  <cols>
    <col min="2" max="2" width="48.625" style="0" customWidth="1"/>
    <col min="3" max="3" width="14.375" style="0" customWidth="1"/>
    <col min="4" max="4" width="14.25390625" style="0" customWidth="1"/>
    <col min="6" max="6" width="14.625" style="0" customWidth="1"/>
    <col min="7" max="7" width="14.375" style="0" customWidth="1"/>
    <col min="9" max="9" width="15.00390625" style="0" customWidth="1"/>
    <col min="10" max="10" width="14.75390625" style="0" customWidth="1"/>
  </cols>
  <sheetData>
    <row r="1" spans="1:11" ht="15.75" customHeight="1">
      <c r="A1" s="147" t="s">
        <v>219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3.5" thickBot="1">
      <c r="A2" s="45"/>
      <c r="B2" s="46"/>
      <c r="C2" s="47"/>
      <c r="D2" s="48"/>
      <c r="E2" s="49"/>
      <c r="F2" s="50"/>
      <c r="G2" s="51"/>
      <c r="H2" s="51"/>
      <c r="I2" s="52"/>
      <c r="J2" s="53"/>
      <c r="K2" s="53"/>
    </row>
    <row r="3" spans="1:11" ht="15" customHeight="1">
      <c r="A3" s="148" t="s">
        <v>60</v>
      </c>
      <c r="B3" s="150" t="s">
        <v>61</v>
      </c>
      <c r="C3" s="152" t="s">
        <v>62</v>
      </c>
      <c r="D3" s="152"/>
      <c r="E3" s="152"/>
      <c r="F3" s="153" t="s">
        <v>63</v>
      </c>
      <c r="G3" s="153"/>
      <c r="H3" s="153"/>
      <c r="I3" s="156" t="s">
        <v>64</v>
      </c>
      <c r="J3" s="156"/>
      <c r="K3" s="157"/>
    </row>
    <row r="4" spans="1:11" ht="12.75" customHeight="1">
      <c r="A4" s="149"/>
      <c r="B4" s="151"/>
      <c r="C4" s="158" t="s">
        <v>65</v>
      </c>
      <c r="D4" s="158" t="s">
        <v>220</v>
      </c>
      <c r="E4" s="158" t="s">
        <v>66</v>
      </c>
      <c r="F4" s="158" t="s">
        <v>65</v>
      </c>
      <c r="G4" s="160" t="s">
        <v>220</v>
      </c>
      <c r="H4" s="160" t="s">
        <v>66</v>
      </c>
      <c r="I4" s="161" t="s">
        <v>65</v>
      </c>
      <c r="J4" s="163" t="s">
        <v>221</v>
      </c>
      <c r="K4" s="143" t="s">
        <v>66</v>
      </c>
    </row>
    <row r="5" spans="1:11" ht="32.25" customHeight="1">
      <c r="A5" s="149"/>
      <c r="B5" s="151"/>
      <c r="C5" s="159"/>
      <c r="D5" s="158"/>
      <c r="E5" s="164"/>
      <c r="F5" s="159"/>
      <c r="G5" s="160"/>
      <c r="H5" s="159"/>
      <c r="I5" s="162"/>
      <c r="J5" s="163"/>
      <c r="K5" s="144"/>
    </row>
    <row r="6" spans="1:11" ht="12.75" customHeight="1">
      <c r="A6" s="149"/>
      <c r="B6" s="145" t="s">
        <v>67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1:11" ht="12.75" customHeight="1">
      <c r="A7" s="149"/>
      <c r="B7" s="145"/>
      <c r="C7" s="145"/>
      <c r="D7" s="145"/>
      <c r="E7" s="145"/>
      <c r="F7" s="145"/>
      <c r="G7" s="145"/>
      <c r="H7" s="145"/>
      <c r="I7" s="145"/>
      <c r="J7" s="145"/>
      <c r="K7" s="146"/>
    </row>
    <row r="8" spans="1:11" ht="12.75" customHeight="1">
      <c r="A8" s="149"/>
      <c r="B8" s="145"/>
      <c r="C8" s="145"/>
      <c r="D8" s="145"/>
      <c r="E8" s="145"/>
      <c r="F8" s="145"/>
      <c r="G8" s="145"/>
      <c r="H8" s="145"/>
      <c r="I8" s="145"/>
      <c r="J8" s="145"/>
      <c r="K8" s="146"/>
    </row>
    <row r="9" spans="1:11" ht="15">
      <c r="A9" s="56" t="s">
        <v>68</v>
      </c>
      <c r="B9" s="57" t="s">
        <v>69</v>
      </c>
      <c r="C9" s="58">
        <f>SUM(C10:C17)</f>
        <v>275899.30000000005</v>
      </c>
      <c r="D9" s="58">
        <f>SUM(D10:D17)</f>
        <v>267754.2</v>
      </c>
      <c r="E9" s="58">
        <f>D9/C9*100</f>
        <v>97.04779968633483</v>
      </c>
      <c r="F9" s="58">
        <f>F10+F11+F12+F13+F14+F16+F17+F15</f>
        <v>202665.59999999998</v>
      </c>
      <c r="G9" s="58">
        <f>SUM(G10:G17)</f>
        <v>200108.40000000002</v>
      </c>
      <c r="H9" s="59">
        <f>G9/F9*100</f>
        <v>98.73821704324762</v>
      </c>
      <c r="I9" s="58">
        <f>SUM(I10:I17)</f>
        <v>478200.70000000007</v>
      </c>
      <c r="J9" s="58">
        <f>SUM(J10:J17)</f>
        <v>467522</v>
      </c>
      <c r="K9" s="60">
        <f>J9/I9*100</f>
        <v>97.76689996480556</v>
      </c>
    </row>
    <row r="10" spans="1:11" ht="15">
      <c r="A10" s="61" t="s">
        <v>70</v>
      </c>
      <c r="B10" s="62" t="s">
        <v>71</v>
      </c>
      <c r="C10" s="54">
        <v>3900</v>
      </c>
      <c r="D10" s="54">
        <v>3788.9</v>
      </c>
      <c r="E10" s="54">
        <f>D10/C10*100</f>
        <v>97.15128205128205</v>
      </c>
      <c r="F10" s="63">
        <v>42067.2</v>
      </c>
      <c r="G10" s="63">
        <v>42066.8</v>
      </c>
      <c r="H10" s="63">
        <f>G10/F10*100</f>
        <v>99.99904914042295</v>
      </c>
      <c r="I10" s="64">
        <f aca="true" t="shared" si="0" ref="I10:J80">C10+F10</f>
        <v>45967.2</v>
      </c>
      <c r="J10" s="55">
        <f t="shared" si="0"/>
        <v>45855.700000000004</v>
      </c>
      <c r="K10" s="65">
        <f aca="true" t="shared" si="1" ref="K10:K82">J10/I10*100</f>
        <v>99.75743573678625</v>
      </c>
    </row>
    <row r="11" spans="1:11" ht="30">
      <c r="A11" s="61" t="s">
        <v>72</v>
      </c>
      <c r="B11" s="62" t="s">
        <v>73</v>
      </c>
      <c r="C11" s="54">
        <v>12644.6</v>
      </c>
      <c r="D11" s="54">
        <v>12334.3</v>
      </c>
      <c r="E11" s="54">
        <f aca="true" t="shared" si="2" ref="E11:E19">D11/C11*100</f>
        <v>97.54598801069231</v>
      </c>
      <c r="F11" s="63">
        <v>0</v>
      </c>
      <c r="G11" s="63"/>
      <c r="H11" s="63">
        <v>0</v>
      </c>
      <c r="I11" s="64">
        <f t="shared" si="0"/>
        <v>12644.6</v>
      </c>
      <c r="J11" s="55">
        <f t="shared" si="0"/>
        <v>12334.3</v>
      </c>
      <c r="K11" s="65">
        <f t="shared" si="1"/>
        <v>97.54598801069231</v>
      </c>
    </row>
    <row r="12" spans="1:11" ht="30">
      <c r="A12" s="61" t="s">
        <v>74</v>
      </c>
      <c r="B12" s="62" t="s">
        <v>75</v>
      </c>
      <c r="C12" s="54">
        <v>137517.3</v>
      </c>
      <c r="D12" s="54">
        <v>135590.9</v>
      </c>
      <c r="E12" s="54">
        <f t="shared" si="2"/>
        <v>98.59915806956653</v>
      </c>
      <c r="F12" s="63">
        <v>120138.2</v>
      </c>
      <c r="G12" s="63">
        <v>119832.6</v>
      </c>
      <c r="H12" s="63">
        <f aca="true" t="shared" si="3" ref="H12:H19">G12/F12*100</f>
        <v>99.74562628705941</v>
      </c>
      <c r="I12" s="64">
        <f t="shared" si="0"/>
        <v>257655.5</v>
      </c>
      <c r="J12" s="55">
        <f t="shared" si="0"/>
        <v>255423.5</v>
      </c>
      <c r="K12" s="65">
        <f t="shared" si="1"/>
        <v>99.13372701145522</v>
      </c>
    </row>
    <row r="13" spans="1:11" ht="15">
      <c r="A13" s="61" t="s">
        <v>76</v>
      </c>
      <c r="B13" s="62" t="s">
        <v>77</v>
      </c>
      <c r="C13" s="54">
        <v>24.7</v>
      </c>
      <c r="D13" s="54">
        <v>24.7</v>
      </c>
      <c r="E13" s="54">
        <f t="shared" si="2"/>
        <v>100</v>
      </c>
      <c r="F13" s="63">
        <v>0</v>
      </c>
      <c r="G13" s="63"/>
      <c r="H13" s="63">
        <v>0</v>
      </c>
      <c r="I13" s="64">
        <f t="shared" si="0"/>
        <v>24.7</v>
      </c>
      <c r="J13" s="55">
        <f t="shared" si="0"/>
        <v>24.7</v>
      </c>
      <c r="K13" s="117">
        <f t="shared" si="1"/>
        <v>100</v>
      </c>
    </row>
    <row r="14" spans="1:11" ht="15">
      <c r="A14" s="61" t="s">
        <v>78</v>
      </c>
      <c r="B14" s="62" t="s">
        <v>79</v>
      </c>
      <c r="C14" s="54">
        <v>29724.2</v>
      </c>
      <c r="D14" s="54">
        <v>28985</v>
      </c>
      <c r="E14" s="54">
        <f t="shared" si="2"/>
        <v>97.5131374435645</v>
      </c>
      <c r="F14" s="63">
        <v>0</v>
      </c>
      <c r="G14" s="63"/>
      <c r="H14" s="63">
        <v>0</v>
      </c>
      <c r="I14" s="64">
        <f>C14+F14</f>
        <v>29724.2</v>
      </c>
      <c r="J14" s="55">
        <f>D14+G14</f>
        <v>28985</v>
      </c>
      <c r="K14" s="65">
        <f t="shared" si="1"/>
        <v>97.5131374435645</v>
      </c>
    </row>
    <row r="15" spans="1:11" ht="15">
      <c r="A15" s="66" t="s">
        <v>80</v>
      </c>
      <c r="B15" s="62" t="s">
        <v>81</v>
      </c>
      <c r="C15" s="54">
        <v>0</v>
      </c>
      <c r="D15" s="54"/>
      <c r="E15" s="54"/>
      <c r="F15" s="63">
        <v>0</v>
      </c>
      <c r="G15" s="63"/>
      <c r="H15" s="63">
        <v>0</v>
      </c>
      <c r="I15" s="64">
        <f>C15+F15</f>
        <v>0</v>
      </c>
      <c r="J15" s="55">
        <f t="shared" si="0"/>
        <v>0</v>
      </c>
      <c r="K15" s="65"/>
    </row>
    <row r="16" spans="1:11" ht="15">
      <c r="A16" s="66" t="s">
        <v>82</v>
      </c>
      <c r="B16" s="62" t="s">
        <v>83</v>
      </c>
      <c r="C16" s="54">
        <v>4036</v>
      </c>
      <c r="D16" s="54"/>
      <c r="E16" s="54">
        <f t="shared" si="2"/>
        <v>0</v>
      </c>
      <c r="F16" s="63">
        <v>614.9</v>
      </c>
      <c r="G16" s="63"/>
      <c r="H16" s="63">
        <f t="shared" si="3"/>
        <v>0</v>
      </c>
      <c r="I16" s="64">
        <f t="shared" si="0"/>
        <v>4650.9</v>
      </c>
      <c r="J16" s="55">
        <f t="shared" si="0"/>
        <v>0</v>
      </c>
      <c r="K16" s="65">
        <f t="shared" si="1"/>
        <v>0</v>
      </c>
    </row>
    <row r="17" spans="1:11" ht="15">
      <c r="A17" s="61" t="s">
        <v>84</v>
      </c>
      <c r="B17" s="62" t="s">
        <v>85</v>
      </c>
      <c r="C17" s="54">
        <v>88052.5</v>
      </c>
      <c r="D17" s="54">
        <v>87030.4</v>
      </c>
      <c r="E17" s="54">
        <f t="shared" si="2"/>
        <v>98.83921524090741</v>
      </c>
      <c r="F17" s="63">
        <v>39845.3</v>
      </c>
      <c r="G17" s="63">
        <v>38209</v>
      </c>
      <c r="H17" s="63">
        <f t="shared" si="3"/>
        <v>95.89336759918986</v>
      </c>
      <c r="I17" s="64">
        <f>C17+F17-364.2</f>
        <v>127533.6</v>
      </c>
      <c r="J17" s="55">
        <f>D17+G17-340.6</f>
        <v>124898.79999999999</v>
      </c>
      <c r="K17" s="65">
        <f t="shared" si="1"/>
        <v>97.9340346387148</v>
      </c>
    </row>
    <row r="18" spans="1:11" ht="15">
      <c r="A18" s="56" t="s">
        <v>86</v>
      </c>
      <c r="B18" s="57" t="s">
        <v>87</v>
      </c>
      <c r="C18" s="58">
        <f aca="true" t="shared" si="4" ref="C18:J18">C19</f>
        <v>4696</v>
      </c>
      <c r="D18" s="58">
        <f t="shared" si="4"/>
        <v>4696</v>
      </c>
      <c r="E18" s="58">
        <f t="shared" si="4"/>
        <v>100</v>
      </c>
      <c r="F18" s="58">
        <f t="shared" si="4"/>
        <v>4696</v>
      </c>
      <c r="G18" s="58">
        <f t="shared" si="4"/>
        <v>4696</v>
      </c>
      <c r="H18" s="67">
        <f t="shared" si="4"/>
        <v>100</v>
      </c>
      <c r="I18" s="58">
        <f t="shared" si="4"/>
        <v>4696</v>
      </c>
      <c r="J18" s="58">
        <f t="shared" si="4"/>
        <v>4696</v>
      </c>
      <c r="K18" s="68">
        <f t="shared" si="1"/>
        <v>100</v>
      </c>
    </row>
    <row r="19" spans="1:11" ht="15">
      <c r="A19" s="61" t="s">
        <v>88</v>
      </c>
      <c r="B19" s="62" t="s">
        <v>89</v>
      </c>
      <c r="C19" s="54">
        <v>4696</v>
      </c>
      <c r="D19" s="54">
        <v>4696</v>
      </c>
      <c r="E19" s="54">
        <f t="shared" si="2"/>
        <v>100</v>
      </c>
      <c r="F19" s="63">
        <v>4696</v>
      </c>
      <c r="G19" s="63">
        <v>4696</v>
      </c>
      <c r="H19" s="63">
        <f t="shared" si="3"/>
        <v>100</v>
      </c>
      <c r="I19" s="64">
        <f>C19+F19-4696</f>
        <v>4696</v>
      </c>
      <c r="J19" s="55">
        <f>D19+G19-4696</f>
        <v>4696</v>
      </c>
      <c r="K19" s="65">
        <f t="shared" si="1"/>
        <v>100</v>
      </c>
    </row>
    <row r="20" spans="1:11" ht="12.75" customHeight="1">
      <c r="A20" s="165" t="s">
        <v>90</v>
      </c>
      <c r="B20" s="166" t="s">
        <v>91</v>
      </c>
      <c r="C20" s="142">
        <f>C23+C24+C22</f>
        <v>14266</v>
      </c>
      <c r="D20" s="142">
        <f>D23+D24+D22</f>
        <v>14263.500000000002</v>
      </c>
      <c r="E20" s="142">
        <f>D20/C20*100</f>
        <v>99.98247581662696</v>
      </c>
      <c r="F20" s="142">
        <f>F23+F24+F22</f>
        <v>6766.8</v>
      </c>
      <c r="G20" s="142">
        <f>G23+G24+G22</f>
        <v>6745.5</v>
      </c>
      <c r="H20" s="142">
        <f>G20/F20*100</f>
        <v>99.6852278772832</v>
      </c>
      <c r="I20" s="142">
        <f>I23+I24+I22</f>
        <v>19283.5</v>
      </c>
      <c r="J20" s="142">
        <f>SUM(J22:J24)</f>
        <v>19261.4</v>
      </c>
      <c r="K20" s="142">
        <f>J20/I20*100</f>
        <v>99.88539424896933</v>
      </c>
    </row>
    <row r="21" spans="1:11" ht="12.75" customHeight="1">
      <c r="A21" s="165"/>
      <c r="B21" s="166"/>
      <c r="C21" s="142"/>
      <c r="D21" s="142"/>
      <c r="E21" s="142"/>
      <c r="F21" s="142"/>
      <c r="G21" s="142"/>
      <c r="H21" s="142"/>
      <c r="I21" s="142"/>
      <c r="J21" s="142"/>
      <c r="K21" s="142"/>
    </row>
    <row r="22" spans="1:11" ht="15">
      <c r="A22" s="66" t="s">
        <v>92</v>
      </c>
      <c r="B22" s="62" t="s">
        <v>93</v>
      </c>
      <c r="C22" s="54">
        <v>4445</v>
      </c>
      <c r="D22" s="54">
        <v>4444.6</v>
      </c>
      <c r="E22" s="54">
        <f aca="true" t="shared" si="5" ref="E22:E93">D22/C22*100</f>
        <v>99.99100112485941</v>
      </c>
      <c r="F22" s="63">
        <v>759</v>
      </c>
      <c r="G22" s="63">
        <v>759</v>
      </c>
      <c r="H22" s="63">
        <f>G22/F22*100</f>
        <v>100</v>
      </c>
      <c r="I22" s="64">
        <f>C22+F22-759</f>
        <v>4445</v>
      </c>
      <c r="J22" s="55">
        <f>D22+G22-759</f>
        <v>4444.6</v>
      </c>
      <c r="K22" s="65">
        <f>J22/I22*100</f>
        <v>99.99100112485941</v>
      </c>
    </row>
    <row r="23" spans="1:11" ht="15">
      <c r="A23" s="61" t="s">
        <v>94</v>
      </c>
      <c r="B23" s="62" t="s">
        <v>95</v>
      </c>
      <c r="C23" s="54">
        <v>9320.3</v>
      </c>
      <c r="D23" s="54">
        <v>9318.2</v>
      </c>
      <c r="E23" s="54">
        <f t="shared" si="5"/>
        <v>99.97746853642052</v>
      </c>
      <c r="F23" s="63">
        <v>5577.8</v>
      </c>
      <c r="G23" s="63">
        <v>5556.5</v>
      </c>
      <c r="H23" s="63">
        <f>G23/F23*100</f>
        <v>99.6181290114382</v>
      </c>
      <c r="I23" s="64">
        <f>C23+F23-659.6</f>
        <v>14238.499999999998</v>
      </c>
      <c r="J23" s="55">
        <f>D23+G23-657.9</f>
        <v>14216.800000000001</v>
      </c>
      <c r="K23" s="65">
        <f>J23/I23*100</f>
        <v>99.84759630579066</v>
      </c>
    </row>
    <row r="24" spans="1:11" ht="30">
      <c r="A24" s="66" t="s">
        <v>96</v>
      </c>
      <c r="B24" s="62" t="s">
        <v>97</v>
      </c>
      <c r="C24" s="54">
        <v>500.7</v>
      </c>
      <c r="D24" s="54">
        <v>500.7</v>
      </c>
      <c r="E24" s="54">
        <f t="shared" si="5"/>
        <v>100</v>
      </c>
      <c r="F24" s="63">
        <v>430</v>
      </c>
      <c r="G24" s="63">
        <v>430</v>
      </c>
      <c r="H24" s="63">
        <f>G24/F24*100</f>
        <v>100</v>
      </c>
      <c r="I24" s="64">
        <f>C24+F24-330.7</f>
        <v>600</v>
      </c>
      <c r="J24" s="64">
        <f>D24+G24-330.7</f>
        <v>600</v>
      </c>
      <c r="K24" s="65">
        <f>J24/I24*100</f>
        <v>100</v>
      </c>
    </row>
    <row r="25" spans="1:11" ht="15">
      <c r="A25" s="56" t="s">
        <v>98</v>
      </c>
      <c r="B25" s="57" t="s">
        <v>99</v>
      </c>
      <c r="C25" s="58">
        <f>SUM(C26:C45)</f>
        <v>310579.70000000007</v>
      </c>
      <c r="D25" s="58">
        <f>SUM(D26:D45)</f>
        <v>282999</v>
      </c>
      <c r="E25" s="58">
        <f>D25/C25*100</f>
        <v>91.11960633615138</v>
      </c>
      <c r="F25" s="58">
        <f>SUM(F26:F45)</f>
        <v>93089.20000000001</v>
      </c>
      <c r="G25" s="58">
        <f>SUM(G26:G45)</f>
        <v>91689.00000000001</v>
      </c>
      <c r="H25" s="59">
        <f>G25/F25*100</f>
        <v>98.4958512910198</v>
      </c>
      <c r="I25" s="58">
        <f>SUM(I26:I45)</f>
        <v>336286.7</v>
      </c>
      <c r="J25" s="58">
        <f>SUM(J26:J45)</f>
        <v>308035.4</v>
      </c>
      <c r="K25" s="60">
        <f t="shared" si="1"/>
        <v>91.59904331631313</v>
      </c>
    </row>
    <row r="26" spans="1:11" ht="45">
      <c r="A26" s="66" t="s">
        <v>100</v>
      </c>
      <c r="B26" s="69" t="s">
        <v>101</v>
      </c>
      <c r="C26" s="54">
        <v>16778.8</v>
      </c>
      <c r="D26" s="54">
        <v>16773</v>
      </c>
      <c r="E26" s="54">
        <f t="shared" si="5"/>
        <v>99.96543256967125</v>
      </c>
      <c r="F26" s="54">
        <v>15689.1</v>
      </c>
      <c r="G26" s="63">
        <v>15687.1</v>
      </c>
      <c r="H26" s="63">
        <f>G26/F26*100</f>
        <v>99.98725229618015</v>
      </c>
      <c r="I26" s="64">
        <f>C26+F26-13526.6</f>
        <v>18941.300000000003</v>
      </c>
      <c r="J26" s="64">
        <f>D26+G26-13526.6</f>
        <v>18933.5</v>
      </c>
      <c r="K26" s="65">
        <f t="shared" si="1"/>
        <v>99.95882014434065</v>
      </c>
    </row>
    <row r="27" spans="1:11" ht="15">
      <c r="A27" s="61" t="s">
        <v>102</v>
      </c>
      <c r="B27" s="62" t="s">
        <v>103</v>
      </c>
      <c r="C27" s="54">
        <v>71810.3</v>
      </c>
      <c r="D27" s="54">
        <v>71413.9</v>
      </c>
      <c r="E27" s="54">
        <f t="shared" si="5"/>
        <v>99.4479900515664</v>
      </c>
      <c r="F27" s="63">
        <v>0</v>
      </c>
      <c r="G27" s="63">
        <v>0</v>
      </c>
      <c r="H27" s="63">
        <v>0</v>
      </c>
      <c r="I27" s="64">
        <f t="shared" si="0"/>
        <v>71810.3</v>
      </c>
      <c r="J27" s="55">
        <f t="shared" si="0"/>
        <v>71413.9</v>
      </c>
      <c r="K27" s="65">
        <f t="shared" si="1"/>
        <v>99.4479900515664</v>
      </c>
    </row>
    <row r="28" spans="1:11" ht="15">
      <c r="A28" s="61" t="s">
        <v>104</v>
      </c>
      <c r="B28" s="62" t="s">
        <v>105</v>
      </c>
      <c r="C28" s="54">
        <v>16390</v>
      </c>
      <c r="D28" s="54">
        <v>16390</v>
      </c>
      <c r="E28" s="54">
        <f t="shared" si="5"/>
        <v>100</v>
      </c>
      <c r="F28" s="63">
        <v>0</v>
      </c>
      <c r="G28" s="63">
        <v>0</v>
      </c>
      <c r="H28" s="63">
        <v>0</v>
      </c>
      <c r="I28" s="64">
        <f t="shared" si="0"/>
        <v>16390</v>
      </c>
      <c r="J28" s="55">
        <f t="shared" si="0"/>
        <v>16390</v>
      </c>
      <c r="K28" s="65">
        <f t="shared" si="1"/>
        <v>100</v>
      </c>
    </row>
    <row r="29" spans="1:11" ht="30">
      <c r="A29" s="61" t="s">
        <v>104</v>
      </c>
      <c r="B29" s="62" t="s">
        <v>106</v>
      </c>
      <c r="C29" s="54">
        <v>20205</v>
      </c>
      <c r="D29" s="54">
        <v>20205</v>
      </c>
      <c r="E29" s="54">
        <f t="shared" si="5"/>
        <v>100</v>
      </c>
      <c r="F29" s="63">
        <v>13482.3</v>
      </c>
      <c r="G29" s="63">
        <v>13482.3</v>
      </c>
      <c r="H29" s="63">
        <f>G29/F29*100</f>
        <v>100</v>
      </c>
      <c r="I29" s="64">
        <f t="shared" si="0"/>
        <v>33687.3</v>
      </c>
      <c r="J29" s="55">
        <f t="shared" si="0"/>
        <v>33687.3</v>
      </c>
      <c r="K29" s="65">
        <f t="shared" si="1"/>
        <v>100</v>
      </c>
    </row>
    <row r="30" spans="1:11" ht="15">
      <c r="A30" s="61" t="s">
        <v>104</v>
      </c>
      <c r="B30" s="62" t="s">
        <v>107</v>
      </c>
      <c r="C30" s="54">
        <v>14959.4</v>
      </c>
      <c r="D30" s="54">
        <v>14959.4</v>
      </c>
      <c r="E30" s="54">
        <f t="shared" si="5"/>
        <v>100</v>
      </c>
      <c r="F30" s="63">
        <v>0</v>
      </c>
      <c r="G30" s="63">
        <v>0</v>
      </c>
      <c r="H30" s="63">
        <v>0</v>
      </c>
      <c r="I30" s="64">
        <f t="shared" si="0"/>
        <v>14959.4</v>
      </c>
      <c r="J30" s="55">
        <f t="shared" si="0"/>
        <v>14959.4</v>
      </c>
      <c r="K30" s="65">
        <f t="shared" si="1"/>
        <v>100</v>
      </c>
    </row>
    <row r="31" spans="1:11" ht="60">
      <c r="A31" s="61" t="s">
        <v>108</v>
      </c>
      <c r="B31" s="70" t="s">
        <v>109</v>
      </c>
      <c r="C31" s="54">
        <v>4139.2</v>
      </c>
      <c r="D31" s="54">
        <v>2385.3</v>
      </c>
      <c r="E31" s="54">
        <f t="shared" si="5"/>
        <v>57.62707769617318</v>
      </c>
      <c r="F31" s="63">
        <v>543.1</v>
      </c>
      <c r="G31" s="63">
        <v>543.1</v>
      </c>
      <c r="H31" s="63">
        <f aca="true" t="shared" si="6" ref="H31:H37">G31/F31*100</f>
        <v>100</v>
      </c>
      <c r="I31" s="64">
        <f t="shared" si="0"/>
        <v>4682.3</v>
      </c>
      <c r="J31" s="55">
        <f t="shared" si="0"/>
        <v>2928.4</v>
      </c>
      <c r="K31" s="65">
        <f t="shared" si="1"/>
        <v>62.54191316233475</v>
      </c>
    </row>
    <row r="32" spans="1:11" ht="60">
      <c r="A32" s="66" t="s">
        <v>108</v>
      </c>
      <c r="B32" s="70" t="s">
        <v>110</v>
      </c>
      <c r="C32" s="54">
        <v>55582.7</v>
      </c>
      <c r="D32" s="54">
        <v>30927.4</v>
      </c>
      <c r="E32" s="54">
        <f t="shared" si="5"/>
        <v>55.64213325369225</v>
      </c>
      <c r="F32" s="63">
        <v>10310.7</v>
      </c>
      <c r="G32" s="63">
        <v>10308.3</v>
      </c>
      <c r="H32" s="63">
        <f t="shared" si="6"/>
        <v>99.97672320986935</v>
      </c>
      <c r="I32" s="64">
        <f>C32+F32-10310.7</f>
        <v>55582.7</v>
      </c>
      <c r="J32" s="55">
        <f>D32+G32-10308.3</f>
        <v>30927.399999999998</v>
      </c>
      <c r="K32" s="65">
        <f>J32/I32*100</f>
        <v>55.64213325369225</v>
      </c>
    </row>
    <row r="33" spans="1:11" ht="105">
      <c r="A33" s="66" t="s">
        <v>108</v>
      </c>
      <c r="B33" s="62" t="s">
        <v>111</v>
      </c>
      <c r="C33" s="54">
        <v>3296</v>
      </c>
      <c r="D33" s="54">
        <v>3296</v>
      </c>
      <c r="E33" s="54">
        <f t="shared" si="5"/>
        <v>100</v>
      </c>
      <c r="F33" s="63">
        <v>3296</v>
      </c>
      <c r="G33" s="63">
        <v>3296</v>
      </c>
      <c r="H33" s="63">
        <f t="shared" si="6"/>
        <v>100</v>
      </c>
      <c r="I33" s="64">
        <f>C33+F33-3296</f>
        <v>3296</v>
      </c>
      <c r="J33" s="55">
        <f>D33+G33-3296</f>
        <v>3296</v>
      </c>
      <c r="K33" s="65">
        <f>J33/I33*100</f>
        <v>100</v>
      </c>
    </row>
    <row r="34" spans="1:11" ht="45">
      <c r="A34" s="66" t="s">
        <v>108</v>
      </c>
      <c r="B34" s="62" t="s">
        <v>112</v>
      </c>
      <c r="C34" s="54">
        <v>46458.5</v>
      </c>
      <c r="D34" s="54">
        <v>45747.1</v>
      </c>
      <c r="E34" s="54">
        <f t="shared" si="5"/>
        <v>98.4687409193151</v>
      </c>
      <c r="F34" s="63">
        <v>37311.9</v>
      </c>
      <c r="G34" s="63">
        <v>36613</v>
      </c>
      <c r="H34" s="63">
        <f t="shared" si="6"/>
        <v>98.1268710518628</v>
      </c>
      <c r="I34" s="64">
        <f>C34+F34-37311.9</f>
        <v>46458.49999999999</v>
      </c>
      <c r="J34" s="55">
        <f>D34+G34-36613</f>
        <v>45747.100000000006</v>
      </c>
      <c r="K34" s="65">
        <f>J34/I34*100</f>
        <v>98.46874091931511</v>
      </c>
    </row>
    <row r="35" spans="1:11" ht="45">
      <c r="A35" s="66" t="s">
        <v>108</v>
      </c>
      <c r="B35" s="62" t="s">
        <v>113</v>
      </c>
      <c r="C35" s="54"/>
      <c r="D35" s="54"/>
      <c r="E35" s="54"/>
      <c r="F35" s="63">
        <v>2878.9</v>
      </c>
      <c r="G35" s="63">
        <v>2234</v>
      </c>
      <c r="H35" s="63">
        <f t="shared" si="6"/>
        <v>77.59908298308382</v>
      </c>
      <c r="I35" s="64">
        <f>C35+F35</f>
        <v>2878.9</v>
      </c>
      <c r="J35" s="55">
        <f t="shared" si="0"/>
        <v>2234</v>
      </c>
      <c r="K35" s="65">
        <f t="shared" si="1"/>
        <v>77.59908298308382</v>
      </c>
    </row>
    <row r="36" spans="1:11" ht="15">
      <c r="A36" s="61" t="s">
        <v>114</v>
      </c>
      <c r="B36" s="62" t="s">
        <v>115</v>
      </c>
      <c r="C36" s="54">
        <v>5730.4</v>
      </c>
      <c r="D36" s="54">
        <v>5704.5</v>
      </c>
      <c r="E36" s="71">
        <f t="shared" si="5"/>
        <v>99.54802457071061</v>
      </c>
      <c r="F36" s="63">
        <v>6261.6</v>
      </c>
      <c r="G36" s="63">
        <v>6248.8</v>
      </c>
      <c r="H36" s="72">
        <f t="shared" si="6"/>
        <v>99.79557940462502</v>
      </c>
      <c r="I36" s="64">
        <f t="shared" si="0"/>
        <v>11992</v>
      </c>
      <c r="J36" s="55">
        <f t="shared" si="0"/>
        <v>11953.3</v>
      </c>
      <c r="K36" s="65">
        <f t="shared" si="1"/>
        <v>99.67728485657105</v>
      </c>
    </row>
    <row r="37" spans="1:11" ht="60">
      <c r="A37" s="61" t="s">
        <v>116</v>
      </c>
      <c r="B37" s="70" t="s">
        <v>117</v>
      </c>
      <c r="C37" s="71">
        <v>2733</v>
      </c>
      <c r="D37" s="54">
        <v>2704.6</v>
      </c>
      <c r="E37" s="71">
        <f t="shared" si="5"/>
        <v>98.96084888401025</v>
      </c>
      <c r="F37" s="63">
        <v>2733</v>
      </c>
      <c r="G37" s="63">
        <v>2704.6</v>
      </c>
      <c r="H37" s="72">
        <f t="shared" si="6"/>
        <v>98.96084888401025</v>
      </c>
      <c r="I37" s="64">
        <f>C37+F37-2733</f>
        <v>2733</v>
      </c>
      <c r="J37" s="55">
        <f>D37+G37-2704.7</f>
        <v>2704.5</v>
      </c>
      <c r="K37" s="65">
        <f t="shared" si="1"/>
        <v>98.95718990120747</v>
      </c>
    </row>
    <row r="38" spans="1:11" ht="75">
      <c r="A38" s="61" t="s">
        <v>116</v>
      </c>
      <c r="B38" s="70" t="s">
        <v>118</v>
      </c>
      <c r="C38" s="71">
        <v>4500</v>
      </c>
      <c r="D38" s="63">
        <v>4500</v>
      </c>
      <c r="E38" s="71">
        <f t="shared" si="5"/>
        <v>100</v>
      </c>
      <c r="F38" s="63">
        <v>0</v>
      </c>
      <c r="G38" s="63">
        <v>0</v>
      </c>
      <c r="H38" s="72">
        <v>0</v>
      </c>
      <c r="I38" s="64">
        <f t="shared" si="0"/>
        <v>4500</v>
      </c>
      <c r="J38" s="55">
        <f t="shared" si="0"/>
        <v>4500</v>
      </c>
      <c r="K38" s="65">
        <f t="shared" si="1"/>
        <v>100</v>
      </c>
    </row>
    <row r="39" spans="1:11" ht="135">
      <c r="A39" s="61" t="s">
        <v>116</v>
      </c>
      <c r="B39" s="70" t="s">
        <v>119</v>
      </c>
      <c r="C39" s="71">
        <v>26760.7</v>
      </c>
      <c r="D39" s="63">
        <v>26760.7</v>
      </c>
      <c r="E39" s="71">
        <f t="shared" si="5"/>
        <v>100</v>
      </c>
      <c r="F39" s="63"/>
      <c r="G39" s="63"/>
      <c r="H39" s="72"/>
      <c r="I39" s="64">
        <f t="shared" si="0"/>
        <v>26760.7</v>
      </c>
      <c r="J39" s="55">
        <f t="shared" si="0"/>
        <v>26760.7</v>
      </c>
      <c r="K39" s="65">
        <f t="shared" si="1"/>
        <v>100</v>
      </c>
    </row>
    <row r="40" spans="1:11" ht="75">
      <c r="A40" s="66" t="s">
        <v>116</v>
      </c>
      <c r="B40" s="70" t="s">
        <v>120</v>
      </c>
      <c r="C40" s="71">
        <v>18058.4</v>
      </c>
      <c r="D40" s="63">
        <v>18058.4</v>
      </c>
      <c r="E40" s="71">
        <f t="shared" si="5"/>
        <v>100</v>
      </c>
      <c r="F40" s="63"/>
      <c r="G40" s="63"/>
      <c r="H40" s="72"/>
      <c r="I40" s="64">
        <f t="shared" si="0"/>
        <v>18058.4</v>
      </c>
      <c r="J40" s="55">
        <f t="shared" si="0"/>
        <v>18058.4</v>
      </c>
      <c r="K40" s="65">
        <f t="shared" si="1"/>
        <v>100</v>
      </c>
    </row>
    <row r="41" spans="1:11" ht="90">
      <c r="A41" s="66" t="s">
        <v>116</v>
      </c>
      <c r="B41" s="70" t="s">
        <v>121</v>
      </c>
      <c r="C41" s="71">
        <v>1398</v>
      </c>
      <c r="D41" s="63">
        <v>1398</v>
      </c>
      <c r="E41" s="71">
        <f t="shared" si="5"/>
        <v>100</v>
      </c>
      <c r="F41" s="63"/>
      <c r="G41" s="63"/>
      <c r="H41" s="72"/>
      <c r="I41" s="64">
        <f t="shared" si="0"/>
        <v>1398</v>
      </c>
      <c r="J41" s="55">
        <f t="shared" si="0"/>
        <v>1398</v>
      </c>
      <c r="K41" s="65">
        <f t="shared" si="1"/>
        <v>100</v>
      </c>
    </row>
    <row r="42" spans="1:11" ht="45">
      <c r="A42" s="66" t="s">
        <v>116</v>
      </c>
      <c r="B42" s="70" t="s">
        <v>122</v>
      </c>
      <c r="C42" s="71">
        <v>1455.8</v>
      </c>
      <c r="D42" s="63">
        <v>1453.3</v>
      </c>
      <c r="E42" s="71">
        <f t="shared" si="5"/>
        <v>99.82827311443879</v>
      </c>
      <c r="F42" s="63">
        <v>0</v>
      </c>
      <c r="G42" s="63">
        <v>0</v>
      </c>
      <c r="H42" s="72">
        <v>0</v>
      </c>
      <c r="I42" s="64">
        <f t="shared" si="0"/>
        <v>1455.8</v>
      </c>
      <c r="J42" s="55">
        <f t="shared" si="0"/>
        <v>1453.3</v>
      </c>
      <c r="K42" s="65">
        <f t="shared" si="1"/>
        <v>99.82827311443879</v>
      </c>
    </row>
    <row r="43" spans="1:11" ht="45">
      <c r="A43" s="66" t="s">
        <v>116</v>
      </c>
      <c r="B43" s="70" t="s">
        <v>123</v>
      </c>
      <c r="C43" s="71">
        <v>119.5</v>
      </c>
      <c r="D43" s="63">
        <v>118.4</v>
      </c>
      <c r="E43" s="71">
        <f t="shared" si="5"/>
        <v>99.0794979079498</v>
      </c>
      <c r="F43" s="63"/>
      <c r="G43" s="63"/>
      <c r="H43" s="72">
        <v>0</v>
      </c>
      <c r="I43" s="64">
        <f t="shared" si="0"/>
        <v>119.5</v>
      </c>
      <c r="J43" s="55">
        <f t="shared" si="0"/>
        <v>118.4</v>
      </c>
      <c r="K43" s="65">
        <f t="shared" si="1"/>
        <v>99.0794979079498</v>
      </c>
    </row>
    <row r="44" spans="1:11" ht="45">
      <c r="A44" s="66" t="s">
        <v>116</v>
      </c>
      <c r="B44" s="70" t="s">
        <v>124</v>
      </c>
      <c r="C44" s="71"/>
      <c r="D44" s="63"/>
      <c r="E44" s="71"/>
      <c r="F44" s="63">
        <v>378.6</v>
      </c>
      <c r="G44" s="63">
        <f>347.8+20</f>
        <v>367.8</v>
      </c>
      <c r="H44" s="72">
        <f>G44/F44*100</f>
        <v>97.14738510301109</v>
      </c>
      <c r="I44" s="64">
        <f t="shared" si="0"/>
        <v>378.6</v>
      </c>
      <c r="J44" s="55">
        <f t="shared" si="0"/>
        <v>367.8</v>
      </c>
      <c r="K44" s="65">
        <f t="shared" si="1"/>
        <v>97.14738510301109</v>
      </c>
    </row>
    <row r="45" spans="1:11" ht="75">
      <c r="A45" s="66" t="s">
        <v>116</v>
      </c>
      <c r="B45" s="70" t="s">
        <v>125</v>
      </c>
      <c r="C45" s="71">
        <v>204</v>
      </c>
      <c r="D45" s="63">
        <v>204</v>
      </c>
      <c r="E45" s="71">
        <f t="shared" si="5"/>
        <v>100</v>
      </c>
      <c r="F45" s="63">
        <v>204</v>
      </c>
      <c r="G45" s="63">
        <v>204</v>
      </c>
      <c r="H45" s="72">
        <f>G45/F45*100</f>
        <v>100</v>
      </c>
      <c r="I45" s="64">
        <f>C45+F45-204</f>
        <v>204</v>
      </c>
      <c r="J45" s="55">
        <f>D45+G45-204</f>
        <v>204</v>
      </c>
      <c r="K45" s="117">
        <f t="shared" si="1"/>
        <v>100</v>
      </c>
    </row>
    <row r="46" spans="1:11" ht="14.25">
      <c r="A46" s="56" t="s">
        <v>126</v>
      </c>
      <c r="B46" s="57" t="s">
        <v>127</v>
      </c>
      <c r="C46" s="119">
        <f>SUM(C47:C70)</f>
        <v>624399.1</v>
      </c>
      <c r="D46" s="119">
        <f>SUM(D47:D70)</f>
        <v>621283.2</v>
      </c>
      <c r="E46" s="58">
        <f t="shared" si="5"/>
        <v>99.50097621857559</v>
      </c>
      <c r="F46" s="73">
        <f>SUM(F47:F70)</f>
        <v>276785.6</v>
      </c>
      <c r="G46" s="73">
        <f>SUM(G47:G70)</f>
        <v>257031.6</v>
      </c>
      <c r="H46" s="73">
        <f>G46/F46*100</f>
        <v>92.86306802087971</v>
      </c>
      <c r="I46" s="119">
        <f>SUM(I47:I70)</f>
        <v>755720.0999999999</v>
      </c>
      <c r="J46" s="119">
        <f>SUM(J47:J70)</f>
        <v>733126.6</v>
      </c>
      <c r="K46" s="60">
        <f t="shared" si="1"/>
        <v>97.01033491103388</v>
      </c>
    </row>
    <row r="47" spans="1:11" ht="105">
      <c r="A47" s="61" t="s">
        <v>128</v>
      </c>
      <c r="B47" s="62" t="s">
        <v>215</v>
      </c>
      <c r="C47" s="54">
        <v>390353.8</v>
      </c>
      <c r="D47" s="54">
        <v>390353.8</v>
      </c>
      <c r="E47" s="71">
        <f t="shared" si="5"/>
        <v>100</v>
      </c>
      <c r="F47" s="63">
        <v>0</v>
      </c>
      <c r="G47" s="63">
        <v>0</v>
      </c>
      <c r="H47" s="63">
        <v>0</v>
      </c>
      <c r="I47" s="64">
        <f t="shared" si="0"/>
        <v>390353.8</v>
      </c>
      <c r="J47" s="55">
        <f t="shared" si="0"/>
        <v>390353.8</v>
      </c>
      <c r="K47" s="65">
        <f t="shared" si="1"/>
        <v>100</v>
      </c>
    </row>
    <row r="48" spans="1:11" ht="120">
      <c r="A48" s="61" t="s">
        <v>128</v>
      </c>
      <c r="B48" s="62" t="s">
        <v>129</v>
      </c>
      <c r="C48" s="54">
        <v>5254.8</v>
      </c>
      <c r="D48" s="54">
        <v>5254.8</v>
      </c>
      <c r="E48" s="71">
        <f t="shared" si="5"/>
        <v>100</v>
      </c>
      <c r="F48" s="63"/>
      <c r="G48" s="63"/>
      <c r="H48" s="63">
        <v>0</v>
      </c>
      <c r="I48" s="64">
        <f t="shared" si="0"/>
        <v>5254.8</v>
      </c>
      <c r="J48" s="55">
        <f t="shared" si="0"/>
        <v>5254.8</v>
      </c>
      <c r="K48" s="65">
        <f t="shared" si="1"/>
        <v>100</v>
      </c>
    </row>
    <row r="49" spans="1:11" ht="60">
      <c r="A49" s="66" t="s">
        <v>128</v>
      </c>
      <c r="B49" s="62" t="s">
        <v>130</v>
      </c>
      <c r="C49" s="54">
        <f>1288.5+14.7</f>
        <v>1303.2</v>
      </c>
      <c r="D49" s="54">
        <v>1303.2</v>
      </c>
      <c r="E49" s="71">
        <f t="shared" si="5"/>
        <v>100</v>
      </c>
      <c r="F49" s="63"/>
      <c r="G49" s="63"/>
      <c r="H49" s="63">
        <v>0</v>
      </c>
      <c r="I49" s="64">
        <f t="shared" si="0"/>
        <v>1303.2</v>
      </c>
      <c r="J49" s="55">
        <f t="shared" si="0"/>
        <v>1303.2</v>
      </c>
      <c r="K49" s="65">
        <f t="shared" si="1"/>
        <v>100</v>
      </c>
    </row>
    <row r="50" spans="1:11" ht="45">
      <c r="A50" s="66" t="s">
        <v>128</v>
      </c>
      <c r="B50" s="70" t="s">
        <v>131</v>
      </c>
      <c r="C50" s="54">
        <v>50</v>
      </c>
      <c r="D50" s="54">
        <v>50</v>
      </c>
      <c r="E50" s="71">
        <f t="shared" si="5"/>
        <v>100</v>
      </c>
      <c r="F50" s="63">
        <v>50</v>
      </c>
      <c r="G50" s="63">
        <v>50</v>
      </c>
      <c r="H50" s="63">
        <f>G50/F50*100</f>
        <v>100</v>
      </c>
      <c r="I50" s="64">
        <f>C50+F50-50</f>
        <v>50</v>
      </c>
      <c r="J50" s="55">
        <f>D50+G50-50</f>
        <v>50</v>
      </c>
      <c r="K50" s="117">
        <f t="shared" si="1"/>
        <v>100</v>
      </c>
    </row>
    <row r="51" spans="1:11" ht="75">
      <c r="A51" s="66" t="s">
        <v>128</v>
      </c>
      <c r="B51" s="62" t="s">
        <v>132</v>
      </c>
      <c r="C51" s="54"/>
      <c r="D51" s="54"/>
      <c r="E51" s="71"/>
      <c r="F51" s="63">
        <v>27333.6</v>
      </c>
      <c r="G51" s="63">
        <v>26429.1</v>
      </c>
      <c r="H51" s="63">
        <f>G51/F51*100</f>
        <v>96.69088594257616</v>
      </c>
      <c r="I51" s="64">
        <f t="shared" si="0"/>
        <v>27333.6</v>
      </c>
      <c r="J51" s="55">
        <f t="shared" si="0"/>
        <v>26429.1</v>
      </c>
      <c r="K51" s="65">
        <f t="shared" si="1"/>
        <v>96.69088594257616</v>
      </c>
    </row>
    <row r="52" spans="1:11" ht="30">
      <c r="A52" s="66" t="s">
        <v>128</v>
      </c>
      <c r="B52" s="62" t="s">
        <v>133</v>
      </c>
      <c r="C52" s="54"/>
      <c r="D52" s="54"/>
      <c r="E52" s="71"/>
      <c r="F52" s="63">
        <v>7983.7</v>
      </c>
      <c r="G52" s="63">
        <v>7894.3</v>
      </c>
      <c r="H52" s="63">
        <f>G52/F52*100</f>
        <v>98.88021844508185</v>
      </c>
      <c r="I52" s="64">
        <f t="shared" si="0"/>
        <v>7983.7</v>
      </c>
      <c r="J52" s="55">
        <f t="shared" si="0"/>
        <v>7894.3</v>
      </c>
      <c r="K52" s="65">
        <f t="shared" si="1"/>
        <v>98.88021844508185</v>
      </c>
    </row>
    <row r="53" spans="1:11" ht="135">
      <c r="A53" s="61" t="s">
        <v>134</v>
      </c>
      <c r="B53" s="62" t="s">
        <v>135</v>
      </c>
      <c r="C53" s="54">
        <v>9912.5</v>
      </c>
      <c r="D53" s="54">
        <v>9429.5</v>
      </c>
      <c r="E53" s="71">
        <f t="shared" si="5"/>
        <v>95.12736443883985</v>
      </c>
      <c r="F53" s="63"/>
      <c r="G53" s="63"/>
      <c r="H53" s="63"/>
      <c r="I53" s="64">
        <f t="shared" si="0"/>
        <v>9912.5</v>
      </c>
      <c r="J53" s="55">
        <f t="shared" si="0"/>
        <v>9429.5</v>
      </c>
      <c r="K53" s="65">
        <f t="shared" si="1"/>
        <v>95.12736443883985</v>
      </c>
    </row>
    <row r="54" spans="1:11" ht="135">
      <c r="A54" s="61" t="s">
        <v>134</v>
      </c>
      <c r="B54" s="62" t="s">
        <v>136</v>
      </c>
      <c r="C54" s="54">
        <v>11012</v>
      </c>
      <c r="D54" s="74">
        <v>10492.5</v>
      </c>
      <c r="E54" s="71">
        <f t="shared" si="5"/>
        <v>95.28241917907737</v>
      </c>
      <c r="F54" s="63"/>
      <c r="G54" s="63"/>
      <c r="H54" s="63"/>
      <c r="I54" s="64">
        <f t="shared" si="0"/>
        <v>11012</v>
      </c>
      <c r="J54" s="55">
        <f t="shared" si="0"/>
        <v>10492.5</v>
      </c>
      <c r="K54" s="65">
        <f t="shared" si="1"/>
        <v>95.28241917907737</v>
      </c>
    </row>
    <row r="55" spans="1:11" ht="135">
      <c r="A55" s="66" t="s">
        <v>134</v>
      </c>
      <c r="B55" s="62" t="s">
        <v>137</v>
      </c>
      <c r="C55" s="54">
        <v>3923.1</v>
      </c>
      <c r="D55" s="74">
        <v>3923.1</v>
      </c>
      <c r="E55" s="71">
        <f t="shared" si="5"/>
        <v>100</v>
      </c>
      <c r="F55" s="63"/>
      <c r="G55" s="63"/>
      <c r="H55" s="63"/>
      <c r="I55" s="64">
        <f t="shared" si="0"/>
        <v>3923.1</v>
      </c>
      <c r="J55" s="55">
        <f t="shared" si="0"/>
        <v>3923.1</v>
      </c>
      <c r="K55" s="65">
        <f t="shared" si="1"/>
        <v>100</v>
      </c>
    </row>
    <row r="56" spans="1:11" ht="135">
      <c r="A56" s="66" t="s">
        <v>134</v>
      </c>
      <c r="B56" s="62" t="s">
        <v>138</v>
      </c>
      <c r="C56" s="54">
        <v>5408.7</v>
      </c>
      <c r="D56" s="74">
        <v>5408.7</v>
      </c>
      <c r="E56" s="71">
        <f t="shared" si="5"/>
        <v>100</v>
      </c>
      <c r="F56" s="63"/>
      <c r="G56" s="63"/>
      <c r="H56" s="63"/>
      <c r="I56" s="64">
        <f t="shared" si="0"/>
        <v>5408.7</v>
      </c>
      <c r="J56" s="55">
        <f t="shared" si="0"/>
        <v>5408.7</v>
      </c>
      <c r="K56" s="65">
        <f t="shared" si="1"/>
        <v>100</v>
      </c>
    </row>
    <row r="57" spans="1:11" ht="178.5">
      <c r="A57" s="61" t="s">
        <v>134</v>
      </c>
      <c r="B57" s="75" t="s">
        <v>139</v>
      </c>
      <c r="C57" s="54">
        <v>40653</v>
      </c>
      <c r="D57" s="74">
        <v>38816.1</v>
      </c>
      <c r="E57" s="71">
        <f>D57/C57*100</f>
        <v>95.48151427938897</v>
      </c>
      <c r="F57" s="63"/>
      <c r="G57" s="63"/>
      <c r="H57" s="63"/>
      <c r="I57" s="64">
        <f>C57+F57</f>
        <v>40653</v>
      </c>
      <c r="J57" s="55">
        <f>D57+G57</f>
        <v>38816.1</v>
      </c>
      <c r="K57" s="65">
        <f>J57/I57*100</f>
        <v>95.48151427938897</v>
      </c>
    </row>
    <row r="58" spans="1:11" ht="180">
      <c r="A58" s="66" t="s">
        <v>134</v>
      </c>
      <c r="B58" s="70" t="s">
        <v>140</v>
      </c>
      <c r="C58" s="54">
        <v>116116.4</v>
      </c>
      <c r="D58" s="74">
        <v>116107.4</v>
      </c>
      <c r="E58" s="71">
        <f t="shared" si="5"/>
        <v>99.9922491568805</v>
      </c>
      <c r="F58" s="63">
        <v>123208.9</v>
      </c>
      <c r="G58" s="63">
        <v>123199.8</v>
      </c>
      <c r="H58" s="63">
        <f>G58/F58*100</f>
        <v>99.99261416991793</v>
      </c>
      <c r="I58" s="64">
        <f>C58+F58-116116.4</f>
        <v>123208.9</v>
      </c>
      <c r="J58" s="55">
        <f>D58+G58-116107.4</f>
        <v>123199.80000000002</v>
      </c>
      <c r="K58" s="65">
        <f t="shared" si="1"/>
        <v>99.99261416991794</v>
      </c>
    </row>
    <row r="59" spans="1:11" ht="60">
      <c r="A59" s="66" t="s">
        <v>134</v>
      </c>
      <c r="B59" s="70" t="s">
        <v>216</v>
      </c>
      <c r="C59" s="54">
        <v>18604.2</v>
      </c>
      <c r="D59" s="74">
        <v>18604.2</v>
      </c>
      <c r="E59" s="71">
        <f t="shared" si="5"/>
        <v>100</v>
      </c>
      <c r="F59" s="63">
        <v>20124.2</v>
      </c>
      <c r="G59" s="63">
        <v>20124.2</v>
      </c>
      <c r="H59" s="63">
        <f>G59/F59*100</f>
        <v>100</v>
      </c>
      <c r="I59" s="64">
        <f>C59+F59-18604.2</f>
        <v>20124.2</v>
      </c>
      <c r="J59" s="55">
        <f>D59+G59-18604.2</f>
        <v>20124.2</v>
      </c>
      <c r="K59" s="65">
        <f t="shared" si="1"/>
        <v>100</v>
      </c>
    </row>
    <row r="60" spans="1:11" ht="45">
      <c r="A60" s="66" t="s">
        <v>134</v>
      </c>
      <c r="B60" s="70" t="s">
        <v>141</v>
      </c>
      <c r="C60" s="54">
        <v>3182</v>
      </c>
      <c r="D60" s="74">
        <v>3182.1</v>
      </c>
      <c r="E60" s="71">
        <f t="shared" si="5"/>
        <v>100.00314267756127</v>
      </c>
      <c r="F60" s="63"/>
      <c r="G60" s="63"/>
      <c r="H60" s="63"/>
      <c r="I60" s="64">
        <f>C60+F60</f>
        <v>3182</v>
      </c>
      <c r="J60" s="55">
        <f>D60+G60</f>
        <v>3182.1</v>
      </c>
      <c r="K60" s="65">
        <f t="shared" si="1"/>
        <v>100.00314267756127</v>
      </c>
    </row>
    <row r="61" spans="1:11" ht="75">
      <c r="A61" s="66" t="s">
        <v>134</v>
      </c>
      <c r="B61" s="70" t="s">
        <v>142</v>
      </c>
      <c r="C61" s="54"/>
      <c r="D61" s="74"/>
      <c r="E61" s="71"/>
      <c r="F61" s="63">
        <v>4321.4</v>
      </c>
      <c r="G61" s="63">
        <v>4321.4</v>
      </c>
      <c r="H61" s="63">
        <f aca="true" t="shared" si="7" ref="H61:H69">G61/F61*100</f>
        <v>100</v>
      </c>
      <c r="I61" s="64">
        <f t="shared" si="0"/>
        <v>4321.4</v>
      </c>
      <c r="J61" s="55">
        <f>D61+G61</f>
        <v>4321.4</v>
      </c>
      <c r="K61" s="117">
        <f t="shared" si="1"/>
        <v>100</v>
      </c>
    </row>
    <row r="62" spans="1:11" ht="15">
      <c r="A62" s="66" t="s">
        <v>134</v>
      </c>
      <c r="B62" s="70" t="s">
        <v>143</v>
      </c>
      <c r="C62" s="54"/>
      <c r="D62" s="74"/>
      <c r="E62" s="71"/>
      <c r="F62" s="63">
        <v>9327.5</v>
      </c>
      <c r="G62" s="63">
        <v>7854.8</v>
      </c>
      <c r="H62" s="63">
        <f t="shared" si="7"/>
        <v>84.21120343071563</v>
      </c>
      <c r="I62" s="64">
        <f t="shared" si="0"/>
        <v>9327.5</v>
      </c>
      <c r="J62" s="55">
        <f>D62+G62</f>
        <v>7854.8</v>
      </c>
      <c r="K62" s="65">
        <f t="shared" si="1"/>
        <v>84.21120343071563</v>
      </c>
    </row>
    <row r="63" spans="1:11" ht="60">
      <c r="A63" s="66" t="s">
        <v>134</v>
      </c>
      <c r="B63" s="70" t="s">
        <v>144</v>
      </c>
      <c r="C63" s="54">
        <v>1404.3</v>
      </c>
      <c r="D63" s="74">
        <v>1404.3</v>
      </c>
      <c r="E63" s="71">
        <f>D63/C63*100</f>
        <v>100</v>
      </c>
      <c r="F63" s="63"/>
      <c r="G63" s="63"/>
      <c r="H63" s="63"/>
      <c r="I63" s="64">
        <f>C63+F63</f>
        <v>1404.3</v>
      </c>
      <c r="J63" s="55">
        <f>D63+G63</f>
        <v>1404.3</v>
      </c>
      <c r="K63" s="65">
        <f t="shared" si="1"/>
        <v>100</v>
      </c>
    </row>
    <row r="64" spans="1:11" ht="60">
      <c r="A64" s="66" t="s">
        <v>145</v>
      </c>
      <c r="B64" s="70" t="s">
        <v>146</v>
      </c>
      <c r="C64" s="54">
        <v>7365</v>
      </c>
      <c r="D64" s="122">
        <v>7099.5</v>
      </c>
      <c r="E64" s="71">
        <f>D64/C64*100</f>
        <v>96.39511201629328</v>
      </c>
      <c r="F64" s="63">
        <v>865</v>
      </c>
      <c r="G64" s="63">
        <v>599.7</v>
      </c>
      <c r="H64" s="63">
        <f t="shared" si="7"/>
        <v>69.32947976878613</v>
      </c>
      <c r="I64" s="64">
        <f>C64+F64-865</f>
        <v>7365</v>
      </c>
      <c r="J64" s="55">
        <f>D64+G64-599.7</f>
        <v>7099.5</v>
      </c>
      <c r="K64" s="65">
        <f t="shared" si="1"/>
        <v>96.39511201629328</v>
      </c>
    </row>
    <row r="65" spans="1:11" ht="45">
      <c r="A65" s="66" t="s">
        <v>145</v>
      </c>
      <c r="B65" s="70" t="s">
        <v>131</v>
      </c>
      <c r="C65" s="54">
        <v>1650</v>
      </c>
      <c r="D65" s="74">
        <v>1649.8</v>
      </c>
      <c r="E65" s="54">
        <f>D65/C65*100</f>
        <v>99.98787878787878</v>
      </c>
      <c r="F65" s="63">
        <v>1650</v>
      </c>
      <c r="G65" s="63">
        <v>1649.8</v>
      </c>
      <c r="H65" s="63">
        <f t="shared" si="7"/>
        <v>99.98787878787878</v>
      </c>
      <c r="I65" s="64">
        <f>C65+F65-1650</f>
        <v>1650</v>
      </c>
      <c r="J65" s="55">
        <f>D65+G65-1649.8</f>
        <v>1649.8</v>
      </c>
      <c r="K65" s="118">
        <f t="shared" si="1"/>
        <v>99.98787878787878</v>
      </c>
    </row>
    <row r="66" spans="1:11" ht="75">
      <c r="A66" s="66" t="s">
        <v>145</v>
      </c>
      <c r="B66" s="62" t="s">
        <v>147</v>
      </c>
      <c r="C66" s="54">
        <v>1500</v>
      </c>
      <c r="D66" s="54">
        <v>1499</v>
      </c>
      <c r="E66" s="54">
        <f t="shared" si="5"/>
        <v>99.93333333333332</v>
      </c>
      <c r="F66" s="54">
        <v>1500</v>
      </c>
      <c r="G66" s="63">
        <v>1499</v>
      </c>
      <c r="H66" s="63">
        <f t="shared" si="7"/>
        <v>99.93333333333332</v>
      </c>
      <c r="I66" s="64">
        <f>C66+F66-1500</f>
        <v>1500</v>
      </c>
      <c r="J66" s="55">
        <f>D66+G66-1499</f>
        <v>1499</v>
      </c>
      <c r="K66" s="65">
        <f t="shared" si="1"/>
        <v>99.93333333333332</v>
      </c>
    </row>
    <row r="67" spans="1:11" ht="75">
      <c r="A67" s="66" t="s">
        <v>145</v>
      </c>
      <c r="B67" s="62" t="s">
        <v>148</v>
      </c>
      <c r="C67" s="54">
        <v>0</v>
      </c>
      <c r="D67" s="54">
        <v>0</v>
      </c>
      <c r="E67" s="54">
        <v>0</v>
      </c>
      <c r="F67" s="54">
        <v>1763.2</v>
      </c>
      <c r="G67" s="63">
        <v>1763.2</v>
      </c>
      <c r="H67" s="63">
        <f t="shared" si="7"/>
        <v>100</v>
      </c>
      <c r="I67" s="64">
        <f>C67+F67</f>
        <v>1763.2</v>
      </c>
      <c r="J67" s="55">
        <f aca="true" t="shared" si="8" ref="I67:J70">D67+G67</f>
        <v>1763.2</v>
      </c>
      <c r="K67" s="65">
        <f t="shared" si="1"/>
        <v>100</v>
      </c>
    </row>
    <row r="68" spans="1:11" ht="30">
      <c r="A68" s="61" t="s">
        <v>145</v>
      </c>
      <c r="B68" s="62" t="s">
        <v>213</v>
      </c>
      <c r="C68" s="54">
        <v>6679</v>
      </c>
      <c r="D68" s="54">
        <v>6678.1</v>
      </c>
      <c r="E68" s="54">
        <f>D68/C68*100</f>
        <v>99.98652492888156</v>
      </c>
      <c r="F68" s="54">
        <v>9814</v>
      </c>
      <c r="G68" s="63">
        <v>9806.4</v>
      </c>
      <c r="H68" s="63">
        <f t="shared" si="7"/>
        <v>99.92255960872222</v>
      </c>
      <c r="I68" s="64">
        <f>C68+F68-6679</f>
        <v>9814</v>
      </c>
      <c r="J68" s="55">
        <f>D68+G68-6678.1</f>
        <v>9806.4</v>
      </c>
      <c r="K68" s="65">
        <f t="shared" si="1"/>
        <v>99.92255960872222</v>
      </c>
    </row>
    <row r="69" spans="1:11" ht="15">
      <c r="A69" s="61" t="s">
        <v>145</v>
      </c>
      <c r="B69" s="62" t="s">
        <v>149</v>
      </c>
      <c r="C69" s="54">
        <v>0</v>
      </c>
      <c r="D69" s="54">
        <v>0</v>
      </c>
      <c r="E69" s="71">
        <v>0</v>
      </c>
      <c r="F69" s="71">
        <v>68844.1</v>
      </c>
      <c r="G69" s="63">
        <v>51839.9</v>
      </c>
      <c r="H69" s="63">
        <f t="shared" si="7"/>
        <v>75.30042516352164</v>
      </c>
      <c r="I69" s="64">
        <f t="shared" si="8"/>
        <v>68844.1</v>
      </c>
      <c r="J69" s="55">
        <f t="shared" si="8"/>
        <v>51839.9</v>
      </c>
      <c r="K69" s="65">
        <f t="shared" si="1"/>
        <v>75.30042516352164</v>
      </c>
    </row>
    <row r="70" spans="1:11" ht="30">
      <c r="A70" s="66" t="s">
        <v>150</v>
      </c>
      <c r="B70" s="62" t="s">
        <v>151</v>
      </c>
      <c r="C70" s="54">
        <v>27.1</v>
      </c>
      <c r="D70" s="54">
        <v>27.1</v>
      </c>
      <c r="E70" s="54">
        <f>D70/C70*100</f>
        <v>100</v>
      </c>
      <c r="F70" s="54">
        <v>0</v>
      </c>
      <c r="G70" s="63">
        <v>0</v>
      </c>
      <c r="H70" s="63">
        <v>0</v>
      </c>
      <c r="I70" s="64">
        <f t="shared" si="8"/>
        <v>27.1</v>
      </c>
      <c r="J70" s="55">
        <f t="shared" si="8"/>
        <v>27.1</v>
      </c>
      <c r="K70" s="117">
        <f t="shared" si="1"/>
        <v>100</v>
      </c>
    </row>
    <row r="71" spans="1:11" ht="15">
      <c r="A71" s="76" t="s">
        <v>152</v>
      </c>
      <c r="B71" s="77" t="s">
        <v>153</v>
      </c>
      <c r="C71" s="73">
        <f aca="true" t="shared" si="9" ref="C71:H71">C72</f>
        <v>0</v>
      </c>
      <c r="D71" s="73">
        <f t="shared" si="9"/>
        <v>0</v>
      </c>
      <c r="E71" s="58">
        <v>0</v>
      </c>
      <c r="F71" s="73">
        <f t="shared" si="9"/>
        <v>0</v>
      </c>
      <c r="G71" s="73">
        <f t="shared" si="9"/>
        <v>0</v>
      </c>
      <c r="H71" s="59">
        <f t="shared" si="9"/>
        <v>0</v>
      </c>
      <c r="I71" s="73">
        <f t="shared" si="0"/>
        <v>0</v>
      </c>
      <c r="J71" s="73">
        <f t="shared" si="0"/>
        <v>0</v>
      </c>
      <c r="K71" s="60">
        <v>0</v>
      </c>
    </row>
    <row r="72" spans="1:11" ht="30">
      <c r="A72" s="66" t="s">
        <v>154</v>
      </c>
      <c r="B72" s="78" t="s">
        <v>155</v>
      </c>
      <c r="C72" s="72">
        <v>0</v>
      </c>
      <c r="D72" s="63">
        <v>0</v>
      </c>
      <c r="E72" s="54">
        <v>0</v>
      </c>
      <c r="F72" s="63">
        <v>0</v>
      </c>
      <c r="G72" s="63">
        <v>0</v>
      </c>
      <c r="H72" s="63">
        <v>0</v>
      </c>
      <c r="I72" s="64">
        <f t="shared" si="0"/>
        <v>0</v>
      </c>
      <c r="J72" s="55">
        <f t="shared" si="0"/>
        <v>0</v>
      </c>
      <c r="K72" s="65">
        <v>0</v>
      </c>
    </row>
    <row r="73" spans="1:11" ht="15">
      <c r="A73" s="56" t="s">
        <v>156</v>
      </c>
      <c r="B73" s="57" t="s">
        <v>157</v>
      </c>
      <c r="C73" s="58">
        <f>SUM(C74:C80)</f>
        <v>2098625.2</v>
      </c>
      <c r="D73" s="58">
        <f>SUM(D74:D80)</f>
        <v>2093748.9999999998</v>
      </c>
      <c r="E73" s="58">
        <f>D73/C73*100</f>
        <v>99.76764788681655</v>
      </c>
      <c r="F73" s="73">
        <f>F74+F76+F77+F79+F80</f>
        <v>0</v>
      </c>
      <c r="G73" s="73">
        <f>SUM(G74:G80)</f>
        <v>0</v>
      </c>
      <c r="H73" s="59">
        <v>0</v>
      </c>
      <c r="I73" s="58">
        <f>SUM(I74:I80)</f>
        <v>2098625.2</v>
      </c>
      <c r="J73" s="58">
        <f>SUM(J74:J80)</f>
        <v>2093748.9999999998</v>
      </c>
      <c r="K73" s="60">
        <f t="shared" si="1"/>
        <v>99.76764788681655</v>
      </c>
    </row>
    <row r="74" spans="1:11" ht="15">
      <c r="A74" s="61" t="s">
        <v>158</v>
      </c>
      <c r="B74" s="62" t="s">
        <v>159</v>
      </c>
      <c r="C74" s="54">
        <f>449626.8-C75</f>
        <v>368120</v>
      </c>
      <c r="D74" s="54">
        <f>449620.8-D75</f>
        <v>368114</v>
      </c>
      <c r="E74" s="54">
        <f t="shared" si="5"/>
        <v>99.9983700967076</v>
      </c>
      <c r="F74" s="63">
        <v>0</v>
      </c>
      <c r="G74" s="63">
        <v>0</v>
      </c>
      <c r="H74" s="63">
        <v>0</v>
      </c>
      <c r="I74" s="64">
        <f t="shared" si="0"/>
        <v>368120</v>
      </c>
      <c r="J74" s="55">
        <f t="shared" si="0"/>
        <v>368114</v>
      </c>
      <c r="K74" s="65">
        <f t="shared" si="1"/>
        <v>99.9983700967076</v>
      </c>
    </row>
    <row r="75" spans="1:11" ht="120">
      <c r="A75" s="61" t="s">
        <v>158</v>
      </c>
      <c r="B75" s="62" t="s">
        <v>160</v>
      </c>
      <c r="C75" s="54">
        <v>81506.8</v>
      </c>
      <c r="D75" s="54">
        <v>81506.8</v>
      </c>
      <c r="E75" s="54">
        <f t="shared" si="5"/>
        <v>100</v>
      </c>
      <c r="F75" s="63"/>
      <c r="G75" s="63"/>
      <c r="H75" s="63"/>
      <c r="I75" s="64">
        <f t="shared" si="0"/>
        <v>81506.8</v>
      </c>
      <c r="J75" s="55">
        <f t="shared" si="0"/>
        <v>81506.8</v>
      </c>
      <c r="K75" s="65">
        <f t="shared" si="1"/>
        <v>100</v>
      </c>
    </row>
    <row r="76" spans="1:11" ht="15">
      <c r="A76" s="61" t="s">
        <v>161</v>
      </c>
      <c r="B76" s="62" t="s">
        <v>162</v>
      </c>
      <c r="C76" s="54">
        <f>1550133.5-C77-C78</f>
        <v>1166894.2</v>
      </c>
      <c r="D76" s="54">
        <f>1545281.6-D77-D78</f>
        <v>1166887.4</v>
      </c>
      <c r="E76" s="54">
        <f t="shared" si="5"/>
        <v>99.99941725650878</v>
      </c>
      <c r="F76" s="63">
        <v>0</v>
      </c>
      <c r="G76" s="63">
        <v>0</v>
      </c>
      <c r="H76" s="63">
        <v>0</v>
      </c>
      <c r="I76" s="64">
        <f t="shared" si="0"/>
        <v>1166894.2</v>
      </c>
      <c r="J76" s="55">
        <f t="shared" si="0"/>
        <v>1166887.4</v>
      </c>
      <c r="K76" s="65">
        <f t="shared" si="1"/>
        <v>99.99941725650878</v>
      </c>
    </row>
    <row r="77" spans="1:11" ht="15">
      <c r="A77" s="61" t="s">
        <v>161</v>
      </c>
      <c r="B77" s="62" t="s">
        <v>163</v>
      </c>
      <c r="C77" s="54">
        <v>42321.6</v>
      </c>
      <c r="D77" s="54">
        <v>42321.6</v>
      </c>
      <c r="E77" s="54">
        <f t="shared" si="5"/>
        <v>100</v>
      </c>
      <c r="F77" s="63">
        <v>0</v>
      </c>
      <c r="G77" s="63">
        <v>0</v>
      </c>
      <c r="H77" s="63">
        <v>0</v>
      </c>
      <c r="I77" s="64">
        <f t="shared" si="0"/>
        <v>42321.6</v>
      </c>
      <c r="J77" s="55">
        <f t="shared" si="0"/>
        <v>42321.6</v>
      </c>
      <c r="K77" s="65">
        <f t="shared" si="1"/>
        <v>100</v>
      </c>
    </row>
    <row r="78" spans="1:11" ht="120">
      <c r="A78" s="61" t="s">
        <v>161</v>
      </c>
      <c r="B78" s="62" t="s">
        <v>164</v>
      </c>
      <c r="C78" s="54">
        <v>340917.7</v>
      </c>
      <c r="D78" s="54">
        <v>336072.6</v>
      </c>
      <c r="E78" s="54">
        <f t="shared" si="5"/>
        <v>98.57880655653841</v>
      </c>
      <c r="F78" s="63">
        <v>0</v>
      </c>
      <c r="G78" s="63">
        <v>0</v>
      </c>
      <c r="H78" s="63">
        <v>0</v>
      </c>
      <c r="I78" s="64">
        <f t="shared" si="0"/>
        <v>340917.7</v>
      </c>
      <c r="J78" s="55">
        <f t="shared" si="0"/>
        <v>336072.6</v>
      </c>
      <c r="K78" s="65">
        <f t="shared" si="1"/>
        <v>98.57880655653841</v>
      </c>
    </row>
    <row r="79" spans="1:11" ht="15">
      <c r="A79" s="61" t="s">
        <v>165</v>
      </c>
      <c r="B79" s="62" t="s">
        <v>166</v>
      </c>
      <c r="C79" s="54">
        <v>23753.5</v>
      </c>
      <c r="D79" s="54">
        <v>23753.2</v>
      </c>
      <c r="E79" s="54">
        <f t="shared" si="5"/>
        <v>99.99873702822742</v>
      </c>
      <c r="F79" s="63">
        <v>0</v>
      </c>
      <c r="G79" s="63">
        <v>0</v>
      </c>
      <c r="H79" s="63">
        <v>0</v>
      </c>
      <c r="I79" s="64">
        <f t="shared" si="0"/>
        <v>23753.5</v>
      </c>
      <c r="J79" s="55">
        <f t="shared" si="0"/>
        <v>23753.2</v>
      </c>
      <c r="K79" s="65">
        <f t="shared" si="1"/>
        <v>99.99873702822742</v>
      </c>
    </row>
    <row r="80" spans="1:11" ht="15">
      <c r="A80" s="61" t="s">
        <v>167</v>
      </c>
      <c r="B80" s="62" t="s">
        <v>168</v>
      </c>
      <c r="C80" s="54">
        <v>75111.4</v>
      </c>
      <c r="D80" s="54">
        <v>75093.4</v>
      </c>
      <c r="E80" s="54">
        <f t="shared" si="5"/>
        <v>99.97603559512936</v>
      </c>
      <c r="F80" s="63">
        <v>0</v>
      </c>
      <c r="G80" s="63">
        <v>0</v>
      </c>
      <c r="H80" s="63">
        <v>0</v>
      </c>
      <c r="I80" s="64">
        <f t="shared" si="0"/>
        <v>75111.4</v>
      </c>
      <c r="J80" s="55">
        <f t="shared" si="0"/>
        <v>75093.4</v>
      </c>
      <c r="K80" s="65">
        <f t="shared" si="1"/>
        <v>99.97603559512936</v>
      </c>
    </row>
    <row r="81" spans="1:11" ht="15">
      <c r="A81" s="56" t="s">
        <v>169</v>
      </c>
      <c r="B81" s="57" t="s">
        <v>222</v>
      </c>
      <c r="C81" s="58">
        <f>SUM(C82:C86)</f>
        <v>278311.7</v>
      </c>
      <c r="D81" s="58">
        <f>SUM(D82:D86)</f>
        <v>247810.3</v>
      </c>
      <c r="E81" s="58">
        <f>D81/C81*100</f>
        <v>89.040561356206</v>
      </c>
      <c r="F81" s="73">
        <f>SUM(F82:F86)</f>
        <v>100229.6</v>
      </c>
      <c r="G81" s="73">
        <f>SUM(G82:G86)</f>
        <v>99835.8</v>
      </c>
      <c r="H81" s="59">
        <f>G81/F81*100</f>
        <v>99.6071020935931</v>
      </c>
      <c r="I81" s="73">
        <f>SUM(I82:I86)</f>
        <v>377550.6</v>
      </c>
      <c r="J81" s="73">
        <f>SUM(J82:J86)</f>
        <v>346655.39999999997</v>
      </c>
      <c r="K81" s="60">
        <f t="shared" si="1"/>
        <v>91.8169379150768</v>
      </c>
    </row>
    <row r="82" spans="1:11" ht="15">
      <c r="A82" s="61" t="s">
        <v>170</v>
      </c>
      <c r="B82" s="62" t="s">
        <v>171</v>
      </c>
      <c r="C82" s="54">
        <f>269606.5-C83-C84</f>
        <v>79372</v>
      </c>
      <c r="D82" s="54">
        <f>239124.5-D83-D84</f>
        <v>79079.5</v>
      </c>
      <c r="E82" s="54">
        <f t="shared" si="5"/>
        <v>99.63148213475786</v>
      </c>
      <c r="F82" s="63">
        <f>99924.5-F84</f>
        <v>99456.6</v>
      </c>
      <c r="G82" s="63">
        <f>99578.7-G83-G84</f>
        <v>99110.8</v>
      </c>
      <c r="H82" s="63">
        <f>G82/F82*100</f>
        <v>99.65231065610527</v>
      </c>
      <c r="I82" s="64">
        <f>C82+F82-498</f>
        <v>178330.6</v>
      </c>
      <c r="J82" s="55">
        <f>D82+G82-498</f>
        <v>177692.3</v>
      </c>
      <c r="K82" s="65">
        <f t="shared" si="1"/>
        <v>99.64206928031419</v>
      </c>
    </row>
    <row r="83" spans="1:11" ht="90">
      <c r="A83" s="79" t="s">
        <v>170</v>
      </c>
      <c r="B83" s="80" t="s">
        <v>172</v>
      </c>
      <c r="C83" s="54">
        <v>188639.1</v>
      </c>
      <c r="D83" s="54">
        <v>158449.6</v>
      </c>
      <c r="E83" s="54">
        <f t="shared" si="5"/>
        <v>83.99615986293404</v>
      </c>
      <c r="F83" s="63">
        <v>0</v>
      </c>
      <c r="G83" s="63">
        <v>0</v>
      </c>
      <c r="H83" s="63">
        <v>0</v>
      </c>
      <c r="I83" s="64">
        <f aca="true" t="shared" si="10" ref="I83:J94">C83+F83</f>
        <v>188639.1</v>
      </c>
      <c r="J83" s="55">
        <f t="shared" si="10"/>
        <v>158449.6</v>
      </c>
      <c r="K83" s="65">
        <f>J83/I83*100</f>
        <v>83.99615986293404</v>
      </c>
    </row>
    <row r="84" spans="1:11" ht="15">
      <c r="A84" s="79" t="s">
        <v>170</v>
      </c>
      <c r="B84" s="80" t="s">
        <v>173</v>
      </c>
      <c r="C84" s="54">
        <v>1595.4</v>
      </c>
      <c r="D84" s="54">
        <v>1595.4</v>
      </c>
      <c r="E84" s="54">
        <f t="shared" si="5"/>
        <v>100</v>
      </c>
      <c r="F84" s="63">
        <v>467.9</v>
      </c>
      <c r="G84" s="63">
        <v>467.9</v>
      </c>
      <c r="H84" s="63">
        <f>G84/F84*100</f>
        <v>100</v>
      </c>
      <c r="I84" s="64">
        <f>C84+F84-397.7</f>
        <v>1665.6000000000001</v>
      </c>
      <c r="J84" s="55">
        <f>D84+G84-397.7</f>
        <v>1665.6000000000001</v>
      </c>
      <c r="K84" s="65">
        <f>J84/I84*100</f>
        <v>100</v>
      </c>
    </row>
    <row r="85" spans="1:11" ht="15">
      <c r="A85" s="61" t="s">
        <v>174</v>
      </c>
      <c r="B85" s="62" t="s">
        <v>175</v>
      </c>
      <c r="C85" s="54">
        <v>267</v>
      </c>
      <c r="D85" s="54">
        <v>267</v>
      </c>
      <c r="E85" s="54">
        <f t="shared" si="5"/>
        <v>100</v>
      </c>
      <c r="F85" s="63">
        <v>210.1</v>
      </c>
      <c r="G85" s="63">
        <v>162.1</v>
      </c>
      <c r="H85" s="63">
        <f>G85/F85*100</f>
        <v>77.15373631603998</v>
      </c>
      <c r="I85" s="64">
        <f t="shared" si="10"/>
        <v>477.1</v>
      </c>
      <c r="J85" s="55">
        <f t="shared" si="10"/>
        <v>429.1</v>
      </c>
      <c r="K85" s="65">
        <f aca="true" t="shared" si="11" ref="K85:K108">J85/I85*100</f>
        <v>89.93921609725425</v>
      </c>
    </row>
    <row r="86" spans="1:11" ht="30">
      <c r="A86" s="61" t="s">
        <v>176</v>
      </c>
      <c r="B86" s="62" t="s">
        <v>177</v>
      </c>
      <c r="C86" s="54">
        <v>8438.2</v>
      </c>
      <c r="D86" s="54">
        <v>8418.8</v>
      </c>
      <c r="E86" s="54">
        <f t="shared" si="5"/>
        <v>99.77009314782772</v>
      </c>
      <c r="F86" s="63">
        <v>95</v>
      </c>
      <c r="G86" s="63">
        <v>95</v>
      </c>
      <c r="H86" s="63">
        <f>G86/F86*100</f>
        <v>100</v>
      </c>
      <c r="I86" s="64">
        <f>C86+F86-95</f>
        <v>8438.2</v>
      </c>
      <c r="J86" s="55">
        <f>D86+G86-95</f>
        <v>8418.8</v>
      </c>
      <c r="K86" s="65">
        <f t="shared" si="11"/>
        <v>99.77009314782772</v>
      </c>
    </row>
    <row r="87" spans="1:11" ht="15">
      <c r="A87" s="56" t="s">
        <v>178</v>
      </c>
      <c r="B87" s="57" t="s">
        <v>179</v>
      </c>
      <c r="C87" s="58">
        <f>C88</f>
        <v>99148.8</v>
      </c>
      <c r="D87" s="58">
        <f>D88</f>
        <v>99148.8</v>
      </c>
      <c r="E87" s="58">
        <f>D87/C87*100</f>
        <v>100</v>
      </c>
      <c r="F87" s="73">
        <v>0</v>
      </c>
      <c r="G87" s="73">
        <v>0</v>
      </c>
      <c r="H87" s="59"/>
      <c r="I87" s="73">
        <f>C87+F87</f>
        <v>99148.8</v>
      </c>
      <c r="J87" s="73">
        <f t="shared" si="10"/>
        <v>99148.8</v>
      </c>
      <c r="K87" s="60">
        <f t="shared" si="11"/>
        <v>100</v>
      </c>
    </row>
    <row r="88" spans="1:11" ht="45">
      <c r="A88" s="66" t="s">
        <v>180</v>
      </c>
      <c r="B88" s="80" t="s">
        <v>181</v>
      </c>
      <c r="C88" s="54">
        <v>99148.8</v>
      </c>
      <c r="D88" s="63">
        <v>99148.8</v>
      </c>
      <c r="E88" s="54">
        <f t="shared" si="5"/>
        <v>100</v>
      </c>
      <c r="F88" s="63">
        <v>0</v>
      </c>
      <c r="G88" s="63">
        <v>0</v>
      </c>
      <c r="H88" s="63">
        <v>0</v>
      </c>
      <c r="I88" s="64">
        <f t="shared" si="10"/>
        <v>99148.8</v>
      </c>
      <c r="J88" s="55">
        <f t="shared" si="10"/>
        <v>99148.8</v>
      </c>
      <c r="K88" s="65">
        <f t="shared" si="11"/>
        <v>100</v>
      </c>
    </row>
    <row r="89" spans="1:11" ht="15">
      <c r="A89" s="56">
        <v>10</v>
      </c>
      <c r="B89" s="57" t="s">
        <v>182</v>
      </c>
      <c r="C89" s="58">
        <f>SUM(C90:C96)</f>
        <v>110748.90000000001</v>
      </c>
      <c r="D89" s="58">
        <f>SUM(D90:D96)</f>
        <v>110399.99999999999</v>
      </c>
      <c r="E89" s="58">
        <f>D89/C89*100</f>
        <v>99.68496301091928</v>
      </c>
      <c r="F89" s="58">
        <f>SUM(F90:F94)</f>
        <v>449.6</v>
      </c>
      <c r="G89" s="58">
        <f>SUM(G90:G94)</f>
        <v>449.6</v>
      </c>
      <c r="H89" s="59">
        <f>G89/F89*100</f>
        <v>100</v>
      </c>
      <c r="I89" s="58">
        <f>SUM(I90:I96)</f>
        <v>111198.50000000001</v>
      </c>
      <c r="J89" s="58">
        <f>SUM(J90:J96)</f>
        <v>110849.59999999999</v>
      </c>
      <c r="K89" s="60">
        <f t="shared" si="11"/>
        <v>99.68623677477662</v>
      </c>
    </row>
    <row r="90" spans="1:11" ht="15">
      <c r="A90" s="66">
        <v>1001</v>
      </c>
      <c r="B90" s="62" t="s">
        <v>183</v>
      </c>
      <c r="C90" s="54">
        <v>3570.9</v>
      </c>
      <c r="D90" s="54">
        <v>3563</v>
      </c>
      <c r="E90" s="54">
        <f t="shared" si="5"/>
        <v>99.77876725755411</v>
      </c>
      <c r="F90" s="63">
        <v>449.6</v>
      </c>
      <c r="G90" s="63">
        <v>449.6</v>
      </c>
      <c r="H90" s="63">
        <f>G90/F90*100</f>
        <v>100</v>
      </c>
      <c r="I90" s="64">
        <f t="shared" si="10"/>
        <v>4020.5</v>
      </c>
      <c r="J90" s="55">
        <f t="shared" si="10"/>
        <v>4012.6</v>
      </c>
      <c r="K90" s="65">
        <f t="shared" si="11"/>
        <v>99.80350702648923</v>
      </c>
    </row>
    <row r="91" spans="1:11" ht="75">
      <c r="A91" s="66">
        <v>1003</v>
      </c>
      <c r="B91" s="62" t="s">
        <v>184</v>
      </c>
      <c r="C91" s="54">
        <v>2279</v>
      </c>
      <c r="D91" s="54">
        <v>2279</v>
      </c>
      <c r="E91" s="54">
        <f t="shared" si="5"/>
        <v>100</v>
      </c>
      <c r="F91" s="63">
        <v>0</v>
      </c>
      <c r="G91" s="63">
        <v>0</v>
      </c>
      <c r="H91" s="63">
        <v>0</v>
      </c>
      <c r="I91" s="64">
        <f t="shared" si="10"/>
        <v>2279</v>
      </c>
      <c r="J91" s="55">
        <f t="shared" si="10"/>
        <v>2279</v>
      </c>
      <c r="K91" s="117">
        <f t="shared" si="11"/>
        <v>100</v>
      </c>
    </row>
    <row r="92" spans="1:11" ht="180">
      <c r="A92" s="66" t="s">
        <v>185</v>
      </c>
      <c r="B92" s="62" t="s">
        <v>186</v>
      </c>
      <c r="C92" s="54">
        <f>2416+332.7+144.7</f>
        <v>2893.3999999999996</v>
      </c>
      <c r="D92" s="54">
        <v>2893.4</v>
      </c>
      <c r="E92" s="54">
        <f t="shared" si="5"/>
        <v>100.00000000000003</v>
      </c>
      <c r="F92" s="63"/>
      <c r="G92" s="63"/>
      <c r="H92" s="63"/>
      <c r="I92" s="64">
        <f t="shared" si="10"/>
        <v>2893.3999999999996</v>
      </c>
      <c r="J92" s="55">
        <f t="shared" si="10"/>
        <v>2893.4</v>
      </c>
      <c r="K92" s="65">
        <f t="shared" si="11"/>
        <v>100.00000000000003</v>
      </c>
    </row>
    <row r="93" spans="1:11" ht="75">
      <c r="A93" s="66">
        <v>1004</v>
      </c>
      <c r="B93" s="62" t="s">
        <v>187</v>
      </c>
      <c r="C93" s="54">
        <v>17304</v>
      </c>
      <c r="D93" s="54">
        <v>17304</v>
      </c>
      <c r="E93" s="54">
        <f t="shared" si="5"/>
        <v>100</v>
      </c>
      <c r="F93" s="63">
        <v>0</v>
      </c>
      <c r="G93" s="63">
        <v>0</v>
      </c>
      <c r="H93" s="63">
        <v>0</v>
      </c>
      <c r="I93" s="64">
        <f t="shared" si="10"/>
        <v>17304</v>
      </c>
      <c r="J93" s="55">
        <f t="shared" si="10"/>
        <v>17304</v>
      </c>
      <c r="K93" s="65">
        <f t="shared" si="11"/>
        <v>100</v>
      </c>
    </row>
    <row r="94" spans="1:11" ht="165">
      <c r="A94" s="66">
        <v>1004</v>
      </c>
      <c r="B94" s="62" t="s">
        <v>188</v>
      </c>
      <c r="C94" s="54">
        <v>53800.8</v>
      </c>
      <c r="D94" s="54">
        <v>53800</v>
      </c>
      <c r="E94" s="54">
        <f aca="true" t="shared" si="12" ref="E94:E107">D94/C94*100</f>
        <v>99.99851303326344</v>
      </c>
      <c r="F94" s="63">
        <v>0</v>
      </c>
      <c r="G94" s="63">
        <v>0</v>
      </c>
      <c r="H94" s="63">
        <v>0</v>
      </c>
      <c r="I94" s="64">
        <f t="shared" si="10"/>
        <v>53800.8</v>
      </c>
      <c r="J94" s="55">
        <f t="shared" si="10"/>
        <v>53800</v>
      </c>
      <c r="K94" s="65">
        <f t="shared" si="11"/>
        <v>99.99851303326344</v>
      </c>
    </row>
    <row r="95" spans="1:11" ht="150">
      <c r="A95" s="66" t="s">
        <v>189</v>
      </c>
      <c r="B95" s="62" t="s">
        <v>190</v>
      </c>
      <c r="C95" s="54">
        <v>16400.8</v>
      </c>
      <c r="D95" s="54">
        <v>16250.9</v>
      </c>
      <c r="E95" s="54">
        <f>D95/C95*100</f>
        <v>99.08602019413686</v>
      </c>
      <c r="F95" s="63">
        <v>0</v>
      </c>
      <c r="G95" s="63">
        <v>0</v>
      </c>
      <c r="H95" s="63">
        <v>0</v>
      </c>
      <c r="I95" s="64">
        <f>C95+F95</f>
        <v>16400.8</v>
      </c>
      <c r="J95" s="55">
        <f>D95+G95</f>
        <v>16250.9</v>
      </c>
      <c r="K95" s="65">
        <f>J95/I95*100</f>
        <v>99.08602019413686</v>
      </c>
    </row>
    <row r="96" spans="1:11" ht="30">
      <c r="A96" s="66">
        <v>1006</v>
      </c>
      <c r="B96" s="62" t="s">
        <v>191</v>
      </c>
      <c r="C96" s="54">
        <v>14500</v>
      </c>
      <c r="D96" s="54">
        <v>14309.7</v>
      </c>
      <c r="E96" s="54">
        <f t="shared" si="12"/>
        <v>98.68758620689655</v>
      </c>
      <c r="F96" s="63">
        <v>0</v>
      </c>
      <c r="G96" s="63">
        <v>0</v>
      </c>
      <c r="H96" s="63">
        <v>0</v>
      </c>
      <c r="I96" s="64">
        <f>C96+F96</f>
        <v>14500</v>
      </c>
      <c r="J96" s="55">
        <f>D96+G96</f>
        <v>14309.7</v>
      </c>
      <c r="K96" s="65">
        <f t="shared" si="11"/>
        <v>98.68758620689655</v>
      </c>
    </row>
    <row r="97" spans="1:11" ht="15">
      <c r="A97" s="76">
        <v>1100</v>
      </c>
      <c r="B97" s="57" t="s">
        <v>192</v>
      </c>
      <c r="C97" s="58">
        <f>SUM(C98:C99)</f>
        <v>322628.5</v>
      </c>
      <c r="D97" s="58">
        <f>SUM(D98:D99)</f>
        <v>322605.2</v>
      </c>
      <c r="E97" s="58">
        <f>D97/C97*100</f>
        <v>99.99277807137311</v>
      </c>
      <c r="F97" s="73">
        <f>F98+F99</f>
        <v>32216.2</v>
      </c>
      <c r="G97" s="73">
        <f>G98+G99</f>
        <v>32207.7</v>
      </c>
      <c r="H97" s="59">
        <f>G97/F97*100</f>
        <v>99.97361575853142</v>
      </c>
      <c r="I97" s="73">
        <f>SUM(I98:I99)</f>
        <v>353600.19999999995</v>
      </c>
      <c r="J97" s="73">
        <f>SUM(J98:J99)</f>
        <v>353568.4</v>
      </c>
      <c r="K97" s="60">
        <f t="shared" si="11"/>
        <v>99.991006792417</v>
      </c>
    </row>
    <row r="98" spans="1:11" ht="15">
      <c r="A98" s="66">
        <v>1101</v>
      </c>
      <c r="B98" s="62" t="s">
        <v>193</v>
      </c>
      <c r="C98" s="54">
        <v>18581.9</v>
      </c>
      <c r="D98" s="54">
        <v>18577.5</v>
      </c>
      <c r="E98" s="54">
        <f t="shared" si="12"/>
        <v>99.97632104359619</v>
      </c>
      <c r="F98" s="63">
        <v>32216.2</v>
      </c>
      <c r="G98" s="63">
        <v>32207.7</v>
      </c>
      <c r="H98" s="63">
        <f>G98/F98*100</f>
        <v>99.97361575853142</v>
      </c>
      <c r="I98" s="64">
        <f>C98+F98-1244.5</f>
        <v>49553.600000000006</v>
      </c>
      <c r="J98" s="64">
        <f>D98+G98-1244.5</f>
        <v>49540.7</v>
      </c>
      <c r="K98" s="65">
        <f t="shared" si="11"/>
        <v>99.97396758257723</v>
      </c>
    </row>
    <row r="99" spans="1:11" ht="15">
      <c r="A99" s="66">
        <v>1102</v>
      </c>
      <c r="B99" s="62" t="s">
        <v>194</v>
      </c>
      <c r="C99" s="54">
        <v>304046.6</v>
      </c>
      <c r="D99" s="54">
        <v>304027.7</v>
      </c>
      <c r="E99" s="54">
        <f t="shared" si="12"/>
        <v>99.99378384760759</v>
      </c>
      <c r="F99" s="63"/>
      <c r="G99" s="63">
        <v>0</v>
      </c>
      <c r="H99" s="63"/>
      <c r="I99" s="64">
        <f>C99+F99</f>
        <v>304046.6</v>
      </c>
      <c r="J99" s="64">
        <f>D99+G99</f>
        <v>304027.7</v>
      </c>
      <c r="K99" s="65">
        <f t="shared" si="11"/>
        <v>99.99378384760759</v>
      </c>
    </row>
    <row r="100" spans="1:11" ht="15">
      <c r="A100" s="76">
        <v>1200</v>
      </c>
      <c r="B100" s="57" t="s">
        <v>195</v>
      </c>
      <c r="C100" s="58">
        <f>C101</f>
        <v>4500</v>
      </c>
      <c r="D100" s="58">
        <f>D101</f>
        <v>4500</v>
      </c>
      <c r="E100" s="81">
        <f>D100/C100*100</f>
        <v>100</v>
      </c>
      <c r="F100" s="58">
        <f>F101</f>
        <v>0</v>
      </c>
      <c r="G100" s="58">
        <f>G101</f>
        <v>0</v>
      </c>
      <c r="H100" s="82"/>
      <c r="I100" s="58">
        <f aca="true" t="shared" si="13" ref="I100:J103">C100+F100</f>
        <v>4500</v>
      </c>
      <c r="J100" s="58">
        <f t="shared" si="13"/>
        <v>4500</v>
      </c>
      <c r="K100" s="68">
        <f t="shared" si="11"/>
        <v>100</v>
      </c>
    </row>
    <row r="101" spans="1:11" ht="15">
      <c r="A101" s="66" t="s">
        <v>196</v>
      </c>
      <c r="B101" s="62" t="s">
        <v>197</v>
      </c>
      <c r="C101" s="54">
        <v>4500</v>
      </c>
      <c r="D101" s="54">
        <v>4500</v>
      </c>
      <c r="E101" s="54">
        <f>D101/C101*100</f>
        <v>100</v>
      </c>
      <c r="F101" s="63">
        <v>0</v>
      </c>
      <c r="G101" s="63">
        <v>0</v>
      </c>
      <c r="H101" s="63">
        <v>0</v>
      </c>
      <c r="I101" s="64">
        <f t="shared" si="13"/>
        <v>4500</v>
      </c>
      <c r="J101" s="64">
        <f t="shared" si="13"/>
        <v>4500</v>
      </c>
      <c r="K101" s="65">
        <f>J101/I101*100</f>
        <v>100</v>
      </c>
    </row>
    <row r="102" spans="1:11" ht="28.5">
      <c r="A102" s="76">
        <v>1300</v>
      </c>
      <c r="B102" s="57" t="s">
        <v>198</v>
      </c>
      <c r="C102" s="58">
        <f aca="true" t="shared" si="14" ref="C102:H102">C103</f>
        <v>15</v>
      </c>
      <c r="D102" s="58">
        <f t="shared" si="14"/>
        <v>13.5</v>
      </c>
      <c r="E102" s="58">
        <f t="shared" si="14"/>
        <v>90</v>
      </c>
      <c r="F102" s="58">
        <f t="shared" si="14"/>
        <v>0</v>
      </c>
      <c r="G102" s="58">
        <f t="shared" si="14"/>
        <v>0</v>
      </c>
      <c r="H102" s="67">
        <f t="shared" si="14"/>
        <v>0</v>
      </c>
      <c r="I102" s="58">
        <f t="shared" si="13"/>
        <v>15</v>
      </c>
      <c r="J102" s="58">
        <f t="shared" si="13"/>
        <v>13.5</v>
      </c>
      <c r="K102" s="68">
        <f t="shared" si="11"/>
        <v>90</v>
      </c>
    </row>
    <row r="103" spans="1:11" ht="30">
      <c r="A103" s="66">
        <v>1301</v>
      </c>
      <c r="B103" s="62" t="s">
        <v>199</v>
      </c>
      <c r="C103" s="54">
        <v>15</v>
      </c>
      <c r="D103" s="54">
        <v>13.5</v>
      </c>
      <c r="E103" s="54">
        <f t="shared" si="12"/>
        <v>90</v>
      </c>
      <c r="F103" s="63"/>
      <c r="G103" s="63">
        <v>0</v>
      </c>
      <c r="H103" s="63">
        <v>0</v>
      </c>
      <c r="I103" s="64">
        <f t="shared" si="13"/>
        <v>15</v>
      </c>
      <c r="J103" s="64">
        <f t="shared" si="13"/>
        <v>13.5</v>
      </c>
      <c r="K103" s="65">
        <f t="shared" si="11"/>
        <v>90</v>
      </c>
    </row>
    <row r="104" spans="1:11" ht="14.25">
      <c r="A104" s="76">
        <v>1400</v>
      </c>
      <c r="B104" s="57" t="s">
        <v>200</v>
      </c>
      <c r="C104" s="58">
        <f>SUM(C105:C107)</f>
        <v>310397</v>
      </c>
      <c r="D104" s="58">
        <f>SUM(D105:D107)</f>
        <v>309491.9</v>
      </c>
      <c r="E104" s="58">
        <f>D104/C104*100</f>
        <v>99.70840568691064</v>
      </c>
      <c r="F104" s="73">
        <f>F105+F106+F107</f>
        <v>0</v>
      </c>
      <c r="G104" s="73">
        <f>SUM(G105:G107)</f>
        <v>0</v>
      </c>
      <c r="H104" s="73"/>
      <c r="I104" s="73">
        <v>0</v>
      </c>
      <c r="J104" s="73">
        <v>0</v>
      </c>
      <c r="K104" s="60">
        <v>0</v>
      </c>
    </row>
    <row r="105" spans="1:11" ht="45">
      <c r="A105" s="66">
        <v>1401</v>
      </c>
      <c r="B105" s="62" t="s">
        <v>201</v>
      </c>
      <c r="C105" s="54">
        <v>132924.2</v>
      </c>
      <c r="D105" s="54">
        <v>132924.2</v>
      </c>
      <c r="E105" s="54">
        <f t="shared" si="12"/>
        <v>100</v>
      </c>
      <c r="F105" s="63">
        <v>0</v>
      </c>
      <c r="G105" s="63">
        <v>0</v>
      </c>
      <c r="H105" s="63">
        <v>0</v>
      </c>
      <c r="I105" s="64">
        <v>0</v>
      </c>
      <c r="J105" s="55">
        <v>0</v>
      </c>
      <c r="K105" s="65">
        <v>0</v>
      </c>
    </row>
    <row r="106" spans="1:11" ht="15">
      <c r="A106" s="66">
        <v>1402</v>
      </c>
      <c r="B106" s="62" t="s">
        <v>202</v>
      </c>
      <c r="C106" s="54">
        <v>146939.2</v>
      </c>
      <c r="D106" s="54">
        <v>146939.2</v>
      </c>
      <c r="E106" s="54">
        <f t="shared" si="12"/>
        <v>100</v>
      </c>
      <c r="F106" s="63">
        <v>0</v>
      </c>
      <c r="G106" s="63">
        <v>0</v>
      </c>
      <c r="H106" s="63">
        <v>0</v>
      </c>
      <c r="I106" s="64">
        <v>0</v>
      </c>
      <c r="J106" s="55">
        <v>0</v>
      </c>
      <c r="K106" s="65">
        <v>0</v>
      </c>
    </row>
    <row r="107" spans="1:11" ht="15" customHeight="1">
      <c r="A107" s="66">
        <v>1403</v>
      </c>
      <c r="B107" s="62" t="s">
        <v>203</v>
      </c>
      <c r="C107" s="54">
        <v>30533.6</v>
      </c>
      <c r="D107" s="54">
        <v>29628.5</v>
      </c>
      <c r="E107" s="54">
        <f t="shared" si="12"/>
        <v>97.03572457882464</v>
      </c>
      <c r="F107" s="63">
        <v>0</v>
      </c>
      <c r="G107" s="63">
        <v>0</v>
      </c>
      <c r="H107" s="63">
        <v>0</v>
      </c>
      <c r="I107" s="64">
        <v>0</v>
      </c>
      <c r="J107" s="55">
        <v>0</v>
      </c>
      <c r="K107" s="65">
        <v>0</v>
      </c>
    </row>
    <row r="108" spans="1:11" ht="15" customHeight="1" thickBot="1">
      <c r="A108" s="154" t="s">
        <v>204</v>
      </c>
      <c r="B108" s="155"/>
      <c r="C108" s="83">
        <f>C9+C18+C20+C25+C46+C71+C73+C81+C87+C89+C97+C100+C102+C104</f>
        <v>4454215.2</v>
      </c>
      <c r="D108" s="83">
        <f>D104+D102+D100+D97+D89+D87+D81+D73+D71+D46+D25+D20+D18+D9</f>
        <v>4378714.600000001</v>
      </c>
      <c r="E108" s="83">
        <f>D108/C108*100</f>
        <v>98.3049629034538</v>
      </c>
      <c r="F108" s="83">
        <f>F9+F18+F20+F25+F46+F71+F73+F81+F87+F89+F97+F100+F102+F104</f>
        <v>716898.5999999999</v>
      </c>
      <c r="G108" s="83">
        <f>G104+G102+G100+G89+G87+G81+G73+G46+G25+G21+G18+G9+G20+G97</f>
        <v>692763.6</v>
      </c>
      <c r="H108" s="84">
        <f>G108/F108*100</f>
        <v>96.63341510221949</v>
      </c>
      <c r="I108" s="83">
        <f>I104+I102+I100+I97+I89+I87+I81+I73+I71+I46+I25+I20+I18+I9</f>
        <v>4638825.300000001</v>
      </c>
      <c r="J108" s="83">
        <f>J104+J102+J100+J97+J89+J87+J81+J73+J71+J46+J25+J20+J18+J9</f>
        <v>4541126.1</v>
      </c>
      <c r="K108" s="85">
        <f t="shared" si="11"/>
        <v>97.89388059084698</v>
      </c>
    </row>
    <row r="109" spans="1:11" ht="15" customHeight="1">
      <c r="A109" s="86"/>
      <c r="B109" s="87"/>
      <c r="C109" s="88"/>
      <c r="D109" s="48"/>
      <c r="E109" s="89"/>
      <c r="F109" s="50"/>
      <c r="G109" s="51"/>
      <c r="H109" s="51"/>
      <c r="I109" s="53"/>
      <c r="J109" s="53"/>
      <c r="K109" s="53"/>
    </row>
    <row r="110" spans="1:11" ht="12.75">
      <c r="A110" s="90"/>
      <c r="B110" s="91"/>
      <c r="C110" s="92"/>
      <c r="D110" s="92"/>
      <c r="E110" s="92"/>
      <c r="F110" s="92"/>
      <c r="G110" s="92"/>
      <c r="H110" s="92"/>
      <c r="I110" s="92"/>
      <c r="J110" s="92"/>
      <c r="K110" s="92"/>
    </row>
    <row r="111" spans="1:11" ht="12.75" customHeight="1">
      <c r="A111" s="90"/>
      <c r="B111" s="91"/>
      <c r="C111" s="92"/>
      <c r="D111" s="93"/>
      <c r="E111" s="89"/>
      <c r="F111" s="50"/>
      <c r="G111" s="51"/>
      <c r="H111" s="51"/>
      <c r="I111" s="52"/>
      <c r="J111" s="52"/>
      <c r="K111" s="53"/>
    </row>
    <row r="112" spans="1:11" ht="12.75" customHeight="1">
      <c r="A112" s="140" t="s">
        <v>205</v>
      </c>
      <c r="B112" s="140"/>
      <c r="C112" s="140"/>
      <c r="D112" s="94"/>
      <c r="E112" s="95"/>
      <c r="F112" s="95"/>
      <c r="G112" s="51"/>
      <c r="H112" s="51"/>
      <c r="I112" s="53"/>
      <c r="J112" s="53"/>
      <c r="K112" s="53"/>
    </row>
    <row r="113" spans="1:11" ht="12.75" customHeight="1">
      <c r="A113" s="140" t="s">
        <v>206</v>
      </c>
      <c r="B113" s="140"/>
      <c r="C113" s="140"/>
      <c r="D113" s="96"/>
      <c r="E113" s="139" t="s">
        <v>207</v>
      </c>
      <c r="F113" s="139"/>
      <c r="G113" s="51"/>
      <c r="H113" s="51"/>
      <c r="I113" s="52"/>
      <c r="J113" s="53"/>
      <c r="K113" s="53"/>
    </row>
    <row r="114" spans="1:11" ht="12.75" customHeight="1">
      <c r="A114" s="97"/>
      <c r="B114" s="98"/>
      <c r="C114" s="99"/>
      <c r="D114" s="100"/>
      <c r="E114" s="101"/>
      <c r="F114" s="102"/>
      <c r="G114" s="51"/>
      <c r="H114" s="51"/>
      <c r="I114" s="52"/>
      <c r="J114" s="53"/>
      <c r="K114" s="53"/>
    </row>
    <row r="115" spans="1:11" ht="12.75" customHeight="1">
      <c r="A115" s="140" t="s">
        <v>214</v>
      </c>
      <c r="B115" s="140"/>
      <c r="C115" s="140"/>
      <c r="D115" s="103"/>
      <c r="E115" s="139" t="s">
        <v>208</v>
      </c>
      <c r="F115" s="139"/>
      <c r="G115" s="51"/>
      <c r="H115" s="51"/>
      <c r="I115" s="52"/>
      <c r="J115" s="53"/>
      <c r="K115" s="53"/>
    </row>
    <row r="116" spans="1:11" ht="12.75" customHeight="1">
      <c r="A116" s="97"/>
      <c r="B116" s="104"/>
      <c r="C116" s="105"/>
      <c r="D116" s="106"/>
      <c r="E116" s="101"/>
      <c r="F116" s="102"/>
      <c r="G116" s="51"/>
      <c r="H116" s="51"/>
      <c r="I116" s="52"/>
      <c r="J116" s="53"/>
      <c r="K116" s="53"/>
    </row>
    <row r="117" spans="1:11" ht="12.75" customHeight="1">
      <c r="A117" s="140" t="s">
        <v>209</v>
      </c>
      <c r="B117" s="140"/>
      <c r="C117" s="140"/>
      <c r="D117" s="103"/>
      <c r="E117" s="141" t="s">
        <v>210</v>
      </c>
      <c r="F117" s="141"/>
      <c r="G117" s="51"/>
      <c r="H117" s="51"/>
      <c r="I117" s="52"/>
      <c r="J117" s="53"/>
      <c r="K117" s="53"/>
    </row>
    <row r="118" spans="1:11" ht="12.75" customHeight="1">
      <c r="A118" s="107"/>
      <c r="B118" s="108"/>
      <c r="C118" s="109"/>
      <c r="D118" s="94"/>
      <c r="E118" s="94"/>
      <c r="F118" s="95"/>
      <c r="G118" s="51"/>
      <c r="H118" s="51"/>
      <c r="I118" s="53"/>
      <c r="J118" s="53"/>
      <c r="K118" s="53"/>
    </row>
    <row r="119" spans="1:6" ht="12.75">
      <c r="A119" s="110"/>
      <c r="B119" s="110"/>
      <c r="C119" s="111" t="s">
        <v>211</v>
      </c>
      <c r="D119" s="113"/>
      <c r="E119" s="112" t="s">
        <v>212</v>
      </c>
      <c r="F119" s="110"/>
    </row>
    <row r="120" spans="1:6" ht="12.75">
      <c r="A120" s="110"/>
      <c r="B120" s="110"/>
      <c r="C120" s="111"/>
      <c r="D120" s="113"/>
      <c r="E120" s="112"/>
      <c r="F120" s="110"/>
    </row>
  </sheetData>
  <sheetProtection/>
  <mergeCells count="35">
    <mergeCell ref="K20:K21"/>
    <mergeCell ref="A20:A21"/>
    <mergeCell ref="B20:B21"/>
    <mergeCell ref="C20:C21"/>
    <mergeCell ref="D20:D21"/>
    <mergeCell ref="E20:E21"/>
    <mergeCell ref="F20:F21"/>
    <mergeCell ref="G20:G21"/>
    <mergeCell ref="A108:B108"/>
    <mergeCell ref="I3:K3"/>
    <mergeCell ref="C4:C5"/>
    <mergeCell ref="G4:G5"/>
    <mergeCell ref="H4:H5"/>
    <mergeCell ref="I4:I5"/>
    <mergeCell ref="J4:J5"/>
    <mergeCell ref="E4:E5"/>
    <mergeCell ref="F4:F5"/>
    <mergeCell ref="D4:D5"/>
    <mergeCell ref="H20:H21"/>
    <mergeCell ref="K4:K5"/>
    <mergeCell ref="B6:K8"/>
    <mergeCell ref="A1:K1"/>
    <mergeCell ref="A3:A8"/>
    <mergeCell ref="B3:B5"/>
    <mergeCell ref="C3:E3"/>
    <mergeCell ref="F3:H3"/>
    <mergeCell ref="I20:I21"/>
    <mergeCell ref="J20:J21"/>
    <mergeCell ref="E115:F115"/>
    <mergeCell ref="A117:C117"/>
    <mergeCell ref="E117:F117"/>
    <mergeCell ref="A112:C112"/>
    <mergeCell ref="E113:F113"/>
    <mergeCell ref="A115:C115"/>
    <mergeCell ref="A113:C1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*</cp:lastModifiedBy>
  <cp:lastPrinted>2016-05-06T11:05:58Z</cp:lastPrinted>
  <dcterms:created xsi:type="dcterms:W3CDTF">2006-05-12T06:58:42Z</dcterms:created>
  <dcterms:modified xsi:type="dcterms:W3CDTF">2017-03-14T10:51:55Z</dcterms:modified>
  <cp:category/>
  <cp:version/>
  <cp:contentType/>
  <cp:contentStatus/>
</cp:coreProperties>
</file>